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7825" windowHeight="9045" activeTab="2"/>
  </bookViews>
  <sheets>
    <sheet name="Source  PAU%" sheetId="1" r:id="rId1"/>
    <sheet name="7a.Savings" sheetId="2" r:id="rId2"/>
    <sheet name="7. PAU Savings to Us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'7. PAU Savings to Use'!$A$3:$N$3</definedName>
    <definedName name="_xlnm._FilterDatabase" localSheetId="0" hidden="1">'Source  PAU%'!$A$2:$J$2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Titles" localSheetId="2">'7. PAU Savings to Use'!$2:$3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C4" i="3" l="1"/>
  <c r="C3" i="2"/>
  <c r="C5" i="2" s="1"/>
  <c r="C6" i="3" l="1"/>
  <c r="C45" i="3" l="1"/>
  <c r="C10" i="3"/>
  <c r="C50" i="3"/>
  <c r="C5" i="3"/>
  <c r="C37" i="3"/>
  <c r="C49" i="3"/>
  <c r="C18" i="3"/>
  <c r="C38" i="3"/>
  <c r="C22" i="3"/>
  <c r="C14" i="3"/>
  <c r="C32" i="3"/>
  <c r="C11" i="3"/>
  <c r="C47" i="3"/>
  <c r="C21" i="3"/>
  <c r="C20" i="3"/>
  <c r="C44" i="3"/>
  <c r="C40" i="3"/>
  <c r="C51" i="3"/>
  <c r="C7" i="3"/>
  <c r="C24" i="3"/>
  <c r="C34" i="3"/>
  <c r="C23" i="3"/>
  <c r="C28" i="3"/>
  <c r="C27" i="3"/>
  <c r="C19" i="3"/>
  <c r="C42" i="3"/>
  <c r="C26" i="3"/>
  <c r="C25" i="3"/>
  <c r="C31" i="3"/>
  <c r="C39" i="3"/>
  <c r="C17" i="3"/>
  <c r="C8" i="3"/>
  <c r="C46" i="3"/>
  <c r="C36" i="3"/>
  <c r="C16" i="3"/>
  <c r="C13" i="3"/>
  <c r="C30" i="3"/>
  <c r="C35" i="3"/>
  <c r="C9" i="3"/>
  <c r="C12" i="3"/>
  <c r="C48" i="3"/>
  <c r="C29" i="3"/>
  <c r="C33" i="3"/>
  <c r="C43" i="3"/>
  <c r="C41" i="3"/>
  <c r="C15" i="3"/>
  <c r="C53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1" i="3"/>
  <c r="G4" i="3" l="1"/>
  <c r="G53" i="3" l="1"/>
  <c r="G55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4" i="3"/>
  <c r="H52" i="1" l="1"/>
  <c r="I5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3" i="1"/>
  <c r="F4" i="1"/>
  <c r="J4" i="1" s="1"/>
  <c r="F5" i="1"/>
  <c r="J5" i="1" s="1"/>
  <c r="F6" i="1"/>
  <c r="J6" i="1" s="1"/>
  <c r="D7" i="3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D13" i="3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D30" i="3" s="1"/>
  <c r="F30" i="1"/>
  <c r="J30" i="1" s="1"/>
  <c r="F31" i="1"/>
  <c r="J31" i="1" s="1"/>
  <c r="D32" i="3" s="1"/>
  <c r="F32" i="1"/>
  <c r="J32" i="1" s="1"/>
  <c r="F33" i="1"/>
  <c r="J33" i="1" s="1"/>
  <c r="F34" i="1"/>
  <c r="J34" i="1" s="1"/>
  <c r="D35" i="3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D51" i="3" s="1"/>
  <c r="F3" i="1"/>
  <c r="J3" i="1" l="1"/>
  <c r="D4" i="3" s="1"/>
  <c r="F52" i="1"/>
  <c r="J44" i="1"/>
  <c r="B53" i="3"/>
  <c r="A53" i="3"/>
  <c r="D45" i="3"/>
  <c r="D10" i="3"/>
  <c r="D5" i="3"/>
  <c r="D50" i="3"/>
  <c r="D18" i="3"/>
  <c r="D47" i="3"/>
  <c r="D49" i="3"/>
  <c r="D22" i="3"/>
  <c r="D11" i="3"/>
  <c r="D37" i="3"/>
  <c r="D14" i="3"/>
  <c r="D38" i="3"/>
  <c r="D44" i="3"/>
  <c r="D23" i="3"/>
  <c r="D24" i="3"/>
  <c r="D40" i="3"/>
  <c r="D42" i="3"/>
  <c r="D33" i="3"/>
  <c r="D28" i="3"/>
  <c r="D26" i="3"/>
  <c r="D17" i="3"/>
  <c r="D16" i="3"/>
  <c r="D15" i="3"/>
  <c r="D12" i="3"/>
  <c r="D6" i="3"/>
  <c r="D21" i="3"/>
  <c r="D8" i="3"/>
  <c r="D34" i="3"/>
  <c r="D25" i="3"/>
  <c r="D20" i="3"/>
  <c r="D19" i="3"/>
  <c r="D39" i="3"/>
  <c r="D29" i="3"/>
  <c r="D31" i="3"/>
  <c r="D36" i="3"/>
  <c r="D43" i="3"/>
  <c r="D27" i="3"/>
  <c r="D46" i="3"/>
  <c r="D48" i="3"/>
  <c r="D41" i="3"/>
  <c r="D9" i="3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L53" i="3" l="1"/>
  <c r="J52" i="1"/>
  <c r="C52" i="1"/>
  <c r="C8" i="2" l="1"/>
  <c r="C9" i="2" s="1"/>
  <c r="C10" i="2" s="1"/>
  <c r="E31" i="3" s="1"/>
  <c r="D53" i="3"/>
  <c r="E4" i="3" l="1"/>
  <c r="E48" i="3"/>
  <c r="E53" i="3"/>
  <c r="F53" i="3" s="1"/>
  <c r="E42" i="3"/>
  <c r="F42" i="3" s="1"/>
  <c r="E9" i="3"/>
  <c r="E50" i="3"/>
  <c r="E14" i="3"/>
  <c r="E35" i="3"/>
  <c r="E17" i="3"/>
  <c r="E36" i="3"/>
  <c r="E15" i="3"/>
  <c r="E16" i="3"/>
  <c r="E44" i="3"/>
  <c r="E5" i="3"/>
  <c r="E46" i="3"/>
  <c r="E30" i="3"/>
  <c r="E39" i="3"/>
  <c r="E28" i="3"/>
  <c r="E23" i="3"/>
  <c r="E21" i="3"/>
  <c r="E41" i="3"/>
  <c r="E26" i="3"/>
  <c r="E8" i="3"/>
  <c r="E18" i="3"/>
  <c r="E24" i="3"/>
  <c r="E19" i="3"/>
  <c r="E10" i="3"/>
  <c r="E38" i="3"/>
  <c r="E49" i="3"/>
  <c r="E13" i="3"/>
  <c r="E22" i="3"/>
  <c r="E11" i="3"/>
  <c r="E34" i="3"/>
  <c r="E33" i="3"/>
  <c r="E20" i="3"/>
  <c r="E47" i="3"/>
  <c r="E45" i="3"/>
  <c r="F45" i="3" s="1"/>
  <c r="E43" i="3"/>
  <c r="E25" i="3"/>
  <c r="E37" i="3"/>
  <c r="E32" i="3"/>
  <c r="E27" i="3"/>
  <c r="E12" i="3"/>
  <c r="E6" i="3"/>
  <c r="E29" i="3"/>
  <c r="E40" i="3"/>
  <c r="F31" i="3"/>
  <c r="H31" i="3"/>
  <c r="F48" i="3"/>
  <c r="H48" i="3"/>
  <c r="F9" i="3"/>
  <c r="F4" i="3"/>
  <c r="E51" i="3"/>
  <c r="E7" i="3"/>
  <c r="H4" i="3" l="1"/>
  <c r="H51" i="3"/>
  <c r="I31" i="3"/>
  <c r="H27" i="3"/>
  <c r="H33" i="3"/>
  <c r="H19" i="3"/>
  <c r="F28" i="3"/>
  <c r="H5" i="3"/>
  <c r="H14" i="3"/>
  <c r="H17" i="3"/>
  <c r="F29" i="3"/>
  <c r="F32" i="3"/>
  <c r="F34" i="3"/>
  <c r="F49" i="3"/>
  <c r="H24" i="3"/>
  <c r="F41" i="3"/>
  <c r="H39" i="3"/>
  <c r="F44" i="3"/>
  <c r="F50" i="3"/>
  <c r="H40" i="3"/>
  <c r="H43" i="3"/>
  <c r="H13" i="3"/>
  <c r="F26" i="3"/>
  <c r="H36" i="3"/>
  <c r="H42" i="3"/>
  <c r="H37" i="3"/>
  <c r="H47" i="3"/>
  <c r="F11" i="3"/>
  <c r="H38" i="3"/>
  <c r="F18" i="3"/>
  <c r="F21" i="3"/>
  <c r="F30" i="3"/>
  <c r="F16" i="3"/>
  <c r="F17" i="3"/>
  <c r="H9" i="3"/>
  <c r="I48" i="3"/>
  <c r="H6" i="3"/>
  <c r="H7" i="3"/>
  <c r="F12" i="3"/>
  <c r="F25" i="3"/>
  <c r="F20" i="3"/>
  <c r="F22" i="3"/>
  <c r="F10" i="3"/>
  <c r="H8" i="3"/>
  <c r="F23" i="3"/>
  <c r="F46" i="3"/>
  <c r="F15" i="3"/>
  <c r="F35" i="3"/>
  <c r="H50" i="3"/>
  <c r="F36" i="3"/>
  <c r="F14" i="3"/>
  <c r="H35" i="3"/>
  <c r="H16" i="3"/>
  <c r="H20" i="3"/>
  <c r="F47" i="3"/>
  <c r="F39" i="3"/>
  <c r="H15" i="3"/>
  <c r="H22" i="3"/>
  <c r="H30" i="3"/>
  <c r="H46" i="3"/>
  <c r="F5" i="3"/>
  <c r="H26" i="3"/>
  <c r="H44" i="3"/>
  <c r="H41" i="3"/>
  <c r="H21" i="3"/>
  <c r="H23" i="3"/>
  <c r="H25" i="3"/>
  <c r="F43" i="3"/>
  <c r="F13" i="3"/>
  <c r="H28" i="3"/>
  <c r="F19" i="3"/>
  <c r="F33" i="3"/>
  <c r="H49" i="3"/>
  <c r="H34" i="3"/>
  <c r="H29" i="3"/>
  <c r="H10" i="3"/>
  <c r="F38" i="3"/>
  <c r="F24" i="3"/>
  <c r="H18" i="3"/>
  <c r="F40" i="3"/>
  <c r="H45" i="3"/>
  <c r="I45" i="3" s="1"/>
  <c r="F37" i="3"/>
  <c r="F27" i="3"/>
  <c r="H32" i="3"/>
  <c r="F6" i="3"/>
  <c r="H11" i="3"/>
  <c r="F8" i="3"/>
  <c r="H12" i="3"/>
  <c r="F7" i="3"/>
  <c r="I7" i="3"/>
  <c r="F51" i="3"/>
  <c r="I4" i="3" l="1"/>
  <c r="I12" i="3"/>
  <c r="I10" i="3"/>
  <c r="I9" i="3"/>
  <c r="I24" i="3"/>
  <c r="I18" i="3"/>
  <c r="I29" i="3"/>
  <c r="I25" i="3"/>
  <c r="I44" i="3"/>
  <c r="I30" i="3"/>
  <c r="I8" i="3"/>
  <c r="I36" i="3"/>
  <c r="I13" i="3"/>
  <c r="I40" i="3"/>
  <c r="I14" i="3"/>
  <c r="I33" i="3"/>
  <c r="I46" i="3"/>
  <c r="I35" i="3"/>
  <c r="I47" i="3"/>
  <c r="I11" i="3"/>
  <c r="I34" i="3"/>
  <c r="I28" i="3"/>
  <c r="I23" i="3"/>
  <c r="I26" i="3"/>
  <c r="I22" i="3"/>
  <c r="I20" i="3"/>
  <c r="I37" i="3"/>
  <c r="I32" i="3"/>
  <c r="I41" i="3"/>
  <c r="I38" i="3"/>
  <c r="I39" i="3"/>
  <c r="I49" i="3"/>
  <c r="I21" i="3"/>
  <c r="I15" i="3"/>
  <c r="I16" i="3"/>
  <c r="I50" i="3"/>
  <c r="I6" i="3"/>
  <c r="I42" i="3"/>
  <c r="I43" i="3"/>
  <c r="I17" i="3"/>
  <c r="I5" i="3"/>
  <c r="I19" i="3"/>
  <c r="I27" i="3"/>
  <c r="I51" i="3"/>
  <c r="I53" i="3" l="1"/>
  <c r="J55" i="3" s="1"/>
  <c r="I55" i="3" s="1"/>
  <c r="I54" i="3" l="1"/>
  <c r="J23" i="3"/>
  <c r="J20" i="3"/>
  <c r="J42" i="3"/>
  <c r="J9" i="3"/>
  <c r="J39" i="3"/>
  <c r="J14" i="3"/>
  <c r="J49" i="3"/>
  <c r="J18" i="3"/>
  <c r="J37" i="3"/>
  <c r="J48" i="3"/>
  <c r="J11" i="3"/>
  <c r="J8" i="3"/>
  <c r="J30" i="3"/>
  <c r="J24" i="3"/>
  <c r="J26" i="3"/>
  <c r="J45" i="3"/>
  <c r="J44" i="3"/>
  <c r="J38" i="3"/>
  <c r="J31" i="3"/>
  <c r="J7" i="3"/>
  <c r="J47" i="3"/>
  <c r="J27" i="3"/>
  <c r="J4" i="3"/>
  <c r="J21" i="3"/>
  <c r="J40" i="3"/>
  <c r="J43" i="3"/>
  <c r="J10" i="3"/>
  <c r="J29" i="3"/>
  <c r="J16" i="3"/>
  <c r="J22" i="3"/>
  <c r="J41" i="3"/>
  <c r="J51" i="3"/>
  <c r="J33" i="3"/>
  <c r="J50" i="3"/>
  <c r="J12" i="3"/>
  <c r="J5" i="3"/>
  <c r="J28" i="3"/>
  <c r="J17" i="3"/>
  <c r="J15" i="3"/>
  <c r="J32" i="3"/>
  <c r="J13" i="3"/>
  <c r="J35" i="3"/>
  <c r="J6" i="3"/>
  <c r="J25" i="3"/>
  <c r="J46" i="3"/>
  <c r="J36" i="3"/>
  <c r="J34" i="3"/>
  <c r="J19" i="3"/>
  <c r="K28" i="3"/>
  <c r="M17" i="3"/>
  <c r="M15" i="3"/>
  <c r="M32" i="3"/>
  <c r="M23" i="3"/>
  <c r="M39" i="3"/>
  <c r="M9" i="3"/>
  <c r="M8" i="3"/>
  <c r="K37" i="3"/>
  <c r="M45" i="3"/>
  <c r="K47" i="3"/>
  <c r="K21" i="3"/>
  <c r="K5" i="3"/>
  <c r="J53" i="3" l="1"/>
  <c r="K53" i="3" s="1"/>
  <c r="K33" i="3"/>
  <c r="M24" i="3"/>
  <c r="N24" i="3" s="1"/>
  <c r="K39" i="3"/>
  <c r="K26" i="3"/>
  <c r="M42" i="3"/>
  <c r="K49" i="3"/>
  <c r="M14" i="3"/>
  <c r="K20" i="3"/>
  <c r="N39" i="3"/>
  <c r="M36" i="3"/>
  <c r="K46" i="3"/>
  <c r="K13" i="3"/>
  <c r="M33" i="3"/>
  <c r="M16" i="3"/>
  <c r="M40" i="3"/>
  <c r="K30" i="3"/>
  <c r="M37" i="3"/>
  <c r="K23" i="3"/>
  <c r="N9" i="3"/>
  <c r="N23" i="3"/>
  <c r="M27" i="3"/>
  <c r="M38" i="3"/>
  <c r="M48" i="3"/>
  <c r="N45" i="3"/>
  <c r="N42" i="3"/>
  <c r="N32" i="3"/>
  <c r="M19" i="3"/>
  <c r="M25" i="3"/>
  <c r="K51" i="3"/>
  <c r="K29" i="3"/>
  <c r="M7" i="3"/>
  <c r="K8" i="3"/>
  <c r="M18" i="3"/>
  <c r="K9" i="3"/>
  <c r="N17" i="3"/>
  <c r="M35" i="3"/>
  <c r="N8" i="3"/>
  <c r="M20" i="3"/>
  <c r="K14" i="3"/>
  <c r="K48" i="3"/>
  <c r="N15" i="3"/>
  <c r="K34" i="3"/>
  <c r="M6" i="3"/>
  <c r="K15" i="3"/>
  <c r="M12" i="3"/>
  <c r="K41" i="3"/>
  <c r="M10" i="3"/>
  <c r="M4" i="3"/>
  <c r="M31" i="3"/>
  <c r="M26" i="3"/>
  <c r="M11" i="3"/>
  <c r="M49" i="3"/>
  <c r="K42" i="3"/>
  <c r="M41" i="3"/>
  <c r="K4" i="3"/>
  <c r="K31" i="3"/>
  <c r="K10" i="3"/>
  <c r="K11" i="3"/>
  <c r="K12" i="3"/>
  <c r="K18" i="3"/>
  <c r="K6" i="3"/>
  <c r="M34" i="3"/>
  <c r="K16" i="3"/>
  <c r="K40" i="3"/>
  <c r="K50" i="3"/>
  <c r="K22" i="3"/>
  <c r="K43" i="3"/>
  <c r="M47" i="3"/>
  <c r="M44" i="3"/>
  <c r="M30" i="3"/>
  <c r="M46" i="3"/>
  <c r="M13" i="3"/>
  <c r="M28" i="3"/>
  <c r="M5" i="3"/>
  <c r="M50" i="3"/>
  <c r="M51" i="3"/>
  <c r="M22" i="3"/>
  <c r="M29" i="3"/>
  <c r="M43" i="3"/>
  <c r="M21" i="3"/>
  <c r="K27" i="3"/>
  <c r="K7" i="3"/>
  <c r="K38" i="3"/>
  <c r="K45" i="3"/>
  <c r="K24" i="3"/>
  <c r="K19" i="3"/>
  <c r="K36" i="3"/>
  <c r="K25" i="3"/>
  <c r="K35" i="3"/>
  <c r="K32" i="3"/>
  <c r="K17" i="3"/>
  <c r="K44" i="3"/>
  <c r="N51" i="3" l="1"/>
  <c r="N47" i="3"/>
  <c r="N20" i="3"/>
  <c r="N18" i="3"/>
  <c r="N27" i="3"/>
  <c r="N14" i="3"/>
  <c r="N43" i="3"/>
  <c r="N50" i="3"/>
  <c r="N46" i="3"/>
  <c r="N11" i="3"/>
  <c r="N31" i="3"/>
  <c r="N10" i="3"/>
  <c r="N12" i="3"/>
  <c r="N6" i="3"/>
  <c r="N37" i="3"/>
  <c r="N16" i="3"/>
  <c r="N29" i="3"/>
  <c r="N30" i="3"/>
  <c r="N35" i="3"/>
  <c r="N25" i="3"/>
  <c r="N38" i="3"/>
  <c r="N21" i="3"/>
  <c r="N13" i="3"/>
  <c r="N19" i="3"/>
  <c r="N48" i="3"/>
  <c r="N5" i="3"/>
  <c r="N22" i="3"/>
  <c r="N28" i="3"/>
  <c r="N44" i="3"/>
  <c r="N34" i="3"/>
  <c r="N41" i="3"/>
  <c r="N49" i="3"/>
  <c r="N26" i="3"/>
  <c r="N4" i="3"/>
  <c r="N7" i="3"/>
  <c r="N40" i="3"/>
  <c r="N33" i="3"/>
  <c r="N36" i="3"/>
  <c r="J54" i="3"/>
  <c r="C13" i="2" s="1"/>
  <c r="C14" i="2" s="1"/>
  <c r="M53" i="3"/>
  <c r="N53" i="3" l="1"/>
</calcChain>
</file>

<file path=xl/sharedStrings.xml><?xml version="1.0" encoding="utf-8"?>
<sst xmlns="http://schemas.openxmlformats.org/spreadsheetml/2006/main" count="156" uniqueCount="119">
  <si>
    <t>HOSPID</t>
  </si>
  <si>
    <t>hospname</t>
  </si>
  <si>
    <t>NOPAU</t>
  </si>
  <si>
    <t>Readmissions</t>
  </si>
  <si>
    <t>PQI</t>
  </si>
  <si>
    <t>Total PAU Charges</t>
  </si>
  <si>
    <t>Total Charges</t>
  </si>
  <si>
    <t>% Readmission</t>
  </si>
  <si>
    <t>% PQI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</si>
  <si>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</si>
  <si>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</si>
  <si>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</si>
  <si>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</si>
  <si>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</si>
  <si>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</si>
  <si>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</si>
  <si>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</si>
  <si>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</si>
  <si>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</si>
  <si>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</si>
  <si>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</si>
  <si>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</si>
  <si>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</si>
  <si>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</si>
  <si>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</si>
  <si>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</si>
  <si>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</si>
  <si>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</si>
  <si>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</si>
  <si>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</si>
  <si>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</si>
  <si>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</si>
  <si>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</si>
  <si>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</si>
  <si>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</si>
  <si>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</si>
  <si>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</si>
  <si>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</si>
  <si>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</si>
  <si>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</si>
  <si>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</si>
  <si>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</si>
  <si>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</si>
  <si>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</si>
  <si>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</si>
  <si>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</si>
  <si>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</si>
  <si>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</si>
  <si>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</si>
  <si>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</si>
  <si>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</si>
  <si>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</si>
  <si>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</si>
  <si>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</si>
  <si>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</si>
  <si>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</si>
  <si>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</si>
  <si>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</si>
  <si>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Grand Total</t>
  </si>
  <si>
    <t>Table 2: Calculation of Statewide Reduction</t>
  </si>
  <si>
    <t>Formulas</t>
  </si>
  <si>
    <t>A</t>
  </si>
  <si>
    <t>Proposed Required Revenue Reduction %</t>
  </si>
  <si>
    <t>B</t>
  </si>
  <si>
    <t>Proposed Required Revenue Reduction ($)</t>
  </si>
  <si>
    <t>C=A*B</t>
  </si>
  <si>
    <t>Total PAU %</t>
  </si>
  <si>
    <t>D</t>
  </si>
  <si>
    <t>Total PAU $</t>
  </si>
  <si>
    <t>E=A*D</t>
  </si>
  <si>
    <t>Required Percent Reduction  PAU</t>
  </si>
  <si>
    <t>F=C/D</t>
  </si>
  <si>
    <t>Hosp ID</t>
  </si>
  <si>
    <t>Hospital Name</t>
  </si>
  <si>
    <t>C = B * Savings Adjustment</t>
  </si>
  <si>
    <t>D = A*C</t>
  </si>
  <si>
    <t>E</t>
  </si>
  <si>
    <t>F</t>
  </si>
  <si>
    <t>G = A*F</t>
  </si>
  <si>
    <t>L=K*C</t>
  </si>
  <si>
    <t>Top Percentile</t>
  </si>
  <si>
    <t>Percentages have been rounded for display but full numbers may be used in calculations. Final scaling percentages are rounded to two decimal places.</t>
  </si>
  <si>
    <t>RY18 PAU Savings with Protections Revenue Impact</t>
  </si>
  <si>
    <t>RY18 PAU Savings % Inpatient</t>
  </si>
  <si>
    <t>DOCTORS</t>
  </si>
  <si>
    <t>HOPKINS BAYVIEW</t>
  </si>
  <si>
    <t>UNION OF CECIL</t>
  </si>
  <si>
    <t>UPPER CHESAPEAKE</t>
  </si>
  <si>
    <t>HC GERMANTOWN</t>
  </si>
  <si>
    <t xml:space="preserve">CY17 PAU % </t>
  </si>
  <si>
    <t>RY19 PAU Savings Adjustment</t>
  </si>
  <si>
    <t>RY19 PAU Savings Adjustment Before Protections</t>
  </si>
  <si>
    <t>RY19 PAU Savings Adjust w/ Protection (%)</t>
  </si>
  <si>
    <t>Net Impact to RY19 Inflation Factor</t>
  </si>
  <si>
    <t>Net RY19 Revenue  Impact</t>
  </si>
  <si>
    <t>RY18 Total Approved Permanent Revenue</t>
  </si>
  <si>
    <t>RY18 PAU Savings Adjustment with Protection ($)</t>
  </si>
  <si>
    <t xml:space="preserve"> RY18 Estimated Permanent Total Revenue</t>
  </si>
  <si>
    <t>UMMC</t>
  </si>
  <si>
    <t>FREDERICK</t>
  </si>
  <si>
    <t>WASH ADVENTIST</t>
  </si>
  <si>
    <t>MONTGOMERY</t>
  </si>
  <si>
    <t>PRMC</t>
  </si>
  <si>
    <t>WESTERN MD</t>
  </si>
  <si>
    <t xml:space="preserve">CARROLL </t>
  </si>
  <si>
    <t>UMBWMC</t>
  </si>
  <si>
    <t>SOUTHERN MD</t>
  </si>
  <si>
    <t>H=(D Total-G Total)/(A Total)*A+G</t>
  </si>
  <si>
    <t>I=H/A</t>
  </si>
  <si>
    <t>J</t>
  </si>
  <si>
    <t>K = (H-G)/A</t>
  </si>
  <si>
    <t>RY19 PAU Savings with Protections Revenue Impact ($) Step 1</t>
  </si>
  <si>
    <t>CY 17 % ECMAD IPOBS&gt;23 Medicaid/Self-Pay Charity</t>
  </si>
  <si>
    <t>RY19 PAU Savings with Protections Revenue Impact ($) Step 2</t>
  </si>
  <si>
    <t>Table 1. Hospital  PAU % Charges CY 2017</t>
  </si>
  <si>
    <t>PAU Savings Reductions RY19</t>
  </si>
  <si>
    <t>P</t>
  </si>
  <si>
    <t>M = H/A</t>
  </si>
  <si>
    <t>Total Adjustment over Entire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</si>
</sst>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##,###,###,###,###,###,##0"/>
    <numFmt numFmtId="166" formatCode="##0.00%"/>
    <numFmt numFmtId="167" formatCode="_(&quot;$&quot;* #,##0_);_(&quot;$&quot;* \(#,##0\);_(&quot;$&quot;* &quot;-&quot;??_);_(@_)"/>
    <numFmt numFmtId="168" formatCode="0.00000%"/>
    <numFmt numFmtId="169" formatCode="0.0%"/>
    <numFmt numFmtId="170" formatCode="0.000%"/>
    <numFmt numFmtId="171" formatCode="0.000000000000000%"/>
    <numFmt numFmtId="172" formatCode="0.0000%"/>
    <numFmt numFmtId="173" formatCode="0.000000000000%"/>
    <numFmt numFmtId="174" formatCode="0.00000000000000000%"/>
    <numFmt numFmtId="175" formatCode="0.00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22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22222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Wingdings 2"/>
      <family val="1"/>
      <charset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/>
    <xf numFmtId="0" fontId="5" fillId="0" borderId="1" xfId="0" applyFont="1" applyFill="1" applyBorder="1" applyAlignment="1">
      <alignment horizontal="left"/>
    </xf>
    <xf numFmtId="164" fontId="6" fillId="0" borderId="2" xfId="0" applyNumberFormat="1" applyFont="1" applyBorder="1"/>
    <xf numFmtId="165" fontId="8" fillId="3" borderId="3" xfId="0" applyNumberFormat="1" applyFont="1" applyFill="1" applyBorder="1" applyAlignment="1" applyProtection="1">
      <alignment horizontal="right" wrapText="1"/>
    </xf>
    <xf numFmtId="166" fontId="8" fillId="3" borderId="3" xfId="0" applyNumberFormat="1" applyFont="1" applyFill="1" applyBorder="1" applyAlignment="1" applyProtection="1">
      <alignment horizontal="right" wrapText="1"/>
    </xf>
    <xf numFmtId="0" fontId="5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165" fontId="9" fillId="4" borderId="3" xfId="0" applyNumberFormat="1" applyFont="1" applyFill="1" applyBorder="1" applyAlignment="1" applyProtection="1">
      <alignment horizontal="right" wrapText="1"/>
    </xf>
    <xf numFmtId="166" fontId="9" fillId="4" borderId="3" xfId="0" applyNumberFormat="1" applyFont="1" applyFill="1" applyBorder="1" applyAlignment="1" applyProtection="1">
      <alignment horizontal="right" wrapText="1"/>
    </xf>
    <xf numFmtId="10" fontId="4" fillId="0" borderId="0" xfId="0" applyNumberFormat="1" applyFont="1" applyFill="1" applyBorder="1"/>
    <xf numFmtId="0" fontId="5" fillId="0" borderId="0" xfId="0" applyFont="1" applyFill="1"/>
    <xf numFmtId="0" fontId="6" fillId="0" borderId="0" xfId="0" applyFont="1" applyFill="1" applyBorder="1"/>
    <xf numFmtId="10" fontId="6" fillId="0" borderId="0" xfId="0" applyNumberFormat="1" applyFont="1" applyFill="1" applyBorder="1"/>
    <xf numFmtId="167" fontId="6" fillId="0" borderId="0" xfId="0" applyNumberFormat="1" applyFont="1" applyFill="1" applyBorder="1"/>
    <xf numFmtId="10" fontId="6" fillId="0" borderId="0" xfId="2" applyNumberFormat="1" applyFont="1" applyFill="1" applyBorder="1"/>
    <xf numFmtId="0" fontId="10" fillId="0" borderId="0" xfId="0" applyFont="1" applyFill="1"/>
    <xf numFmtId="0" fontId="10" fillId="0" borderId="0" xfId="0" applyFont="1"/>
    <xf numFmtId="167" fontId="4" fillId="0" borderId="0" xfId="0" applyNumberFormat="1" applyFont="1" applyFill="1" applyBorder="1"/>
    <xf numFmtId="10" fontId="4" fillId="0" borderId="0" xfId="2" applyNumberFormat="1" applyFont="1" applyFill="1" applyBorder="1"/>
    <xf numFmtId="0" fontId="10" fillId="0" borderId="4" xfId="0" applyFont="1" applyBorder="1" applyAlignment="1">
      <alignment vertical="center"/>
    </xf>
    <xf numFmtId="164" fontId="4" fillId="0" borderId="0" xfId="0" applyNumberFormat="1" applyFont="1" applyFill="1" applyBorder="1"/>
    <xf numFmtId="0" fontId="11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10" fontId="0" fillId="0" borderId="0" xfId="2" applyNumberFormat="1" applyFont="1"/>
    <xf numFmtId="0" fontId="12" fillId="0" borderId="7" xfId="0" applyFont="1" applyBorder="1" applyAlignment="1">
      <alignment vertical="center" wrapText="1"/>
    </xf>
    <xf numFmtId="0" fontId="12" fillId="0" borderId="7" xfId="0" applyFont="1" applyBorder="1"/>
    <xf numFmtId="170" fontId="0" fillId="0" borderId="0" xfId="2" applyNumberFormat="1" applyFont="1"/>
    <xf numFmtId="0" fontId="13" fillId="0" borderId="0" xfId="0" applyFont="1"/>
    <xf numFmtId="0" fontId="13" fillId="0" borderId="0" xfId="0" applyFont="1" applyBorder="1"/>
    <xf numFmtId="0" fontId="9" fillId="2" borderId="12" xfId="0" applyFont="1" applyFill="1" applyBorder="1" applyAlignment="1">
      <alignment horizontal="centerContinuous" vertical="center" wrapText="1"/>
    </xf>
    <xf numFmtId="0" fontId="14" fillId="2" borderId="12" xfId="0" applyFont="1" applyFill="1" applyBorder="1" applyAlignment="1">
      <alignment horizontal="centerContinuous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6" fillId="0" borderId="0" xfId="0" applyFont="1"/>
    <xf numFmtId="10" fontId="0" fillId="0" borderId="12" xfId="2" applyNumberFormat="1" applyFont="1" applyBorder="1"/>
    <xf numFmtId="0" fontId="0" fillId="0" borderId="0" xfId="0" applyFont="1"/>
    <xf numFmtId="168" fontId="0" fillId="0" borderId="0" xfId="0" applyNumberFormat="1" applyFont="1"/>
    <xf numFmtId="8" fontId="0" fillId="0" borderId="0" xfId="0" applyNumberFormat="1" applyFont="1"/>
    <xf numFmtId="0" fontId="0" fillId="0" borderId="12" xfId="0" applyFont="1" applyBorder="1"/>
    <xf numFmtId="171" fontId="0" fillId="0" borderId="0" xfId="0" applyNumberFormat="1" applyFont="1"/>
    <xf numFmtId="0" fontId="12" fillId="0" borderId="5" xfId="0" applyFont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/>
    </xf>
    <xf numFmtId="0" fontId="12" fillId="0" borderId="2" xfId="0" applyFont="1" applyFill="1" applyBorder="1" applyAlignment="1"/>
    <xf numFmtId="168" fontId="12" fillId="0" borderId="8" xfId="0" applyNumberFormat="1" applyFont="1" applyFill="1" applyBorder="1"/>
    <xf numFmtId="6" fontId="12" fillId="0" borderId="8" xfId="0" applyNumberFormat="1" applyFont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169" fontId="12" fillId="0" borderId="8" xfId="2" applyNumberFormat="1" applyFont="1" applyFill="1" applyBorder="1" applyAlignment="1">
      <alignment vertical="center"/>
    </xf>
    <xf numFmtId="6" fontId="12" fillId="0" borderId="8" xfId="0" applyNumberFormat="1" applyFont="1" applyBorder="1"/>
    <xf numFmtId="10" fontId="12" fillId="0" borderId="8" xfId="0" applyNumberFormat="1" applyFont="1" applyBorder="1"/>
    <xf numFmtId="164" fontId="12" fillId="0" borderId="8" xfId="1" applyNumberFormat="1" applyFont="1" applyBorder="1"/>
    <xf numFmtId="0" fontId="18" fillId="0" borderId="9" xfId="0" applyFont="1" applyBorder="1" applyAlignment="1">
      <alignment vertical="center"/>
    </xf>
    <xf numFmtId="0" fontId="12" fillId="0" borderId="10" xfId="0" applyFont="1" applyFill="1" applyBorder="1" applyAlignment="1"/>
    <xf numFmtId="10" fontId="11" fillId="0" borderId="11" xfId="2" applyNumberFormat="1" applyFont="1" applyFill="1" applyBorder="1"/>
    <xf numFmtId="0" fontId="19" fillId="2" borderId="12" xfId="0" applyFont="1" applyFill="1" applyBorder="1" applyAlignment="1">
      <alignment horizontal="centerContinuous" vertical="center" wrapText="1"/>
    </xf>
    <xf numFmtId="3" fontId="20" fillId="0" borderId="0" xfId="0" applyNumberFormat="1" applyFont="1"/>
    <xf numFmtId="170" fontId="6" fillId="0" borderId="0" xfId="2" applyNumberFormat="1" applyFont="1" applyFill="1" applyBorder="1"/>
    <xf numFmtId="173" fontId="0" fillId="0" borderId="12" xfId="2" applyNumberFormat="1" applyFont="1" applyBorder="1"/>
    <xf numFmtId="166" fontId="8" fillId="0" borderId="3" xfId="0" applyNumberFormat="1" applyFont="1" applyFill="1" applyBorder="1" applyAlignment="1" applyProtection="1">
      <alignment horizontal="right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 applyBorder="1"/>
    <xf numFmtId="0" fontId="6" fillId="0" borderId="13" xfId="0" applyFont="1" applyBorder="1"/>
    <xf numFmtId="164" fontId="24" fillId="0" borderId="14" xfId="0" applyNumberFormat="1" applyFont="1" applyBorder="1" applyAlignment="1">
      <alignment horizontal="right"/>
    </xf>
    <xf numFmtId="10" fontId="22" fillId="0" borderId="14" xfId="3" applyNumberFormat="1" applyFont="1" applyFill="1" applyBorder="1" applyAlignment="1">
      <alignment horizontal="right"/>
    </xf>
    <xf numFmtId="10" fontId="24" fillId="6" borderId="14" xfId="2" applyNumberFormat="1" applyFont="1" applyFill="1" applyBorder="1" applyAlignment="1">
      <alignment horizontal="right"/>
    </xf>
    <xf numFmtId="164" fontId="22" fillId="0" borderId="14" xfId="1" applyNumberFormat="1" applyFont="1" applyBorder="1" applyAlignment="1">
      <alignment horizontal="right"/>
    </xf>
    <xf numFmtId="10" fontId="25" fillId="0" borderId="14" xfId="2" applyNumberFormat="1" applyFont="1" applyFill="1" applyBorder="1" applyAlignment="1">
      <alignment horizontal="right"/>
    </xf>
    <xf numFmtId="10" fontId="25" fillId="0" borderId="12" xfId="2" applyNumberFormat="1" applyFont="1" applyFill="1" applyBorder="1" applyAlignment="1">
      <alignment horizontal="right"/>
    </xf>
    <xf numFmtId="10" fontId="22" fillId="0" borderId="14" xfId="2" applyNumberFormat="1" applyFont="1" applyBorder="1" applyAlignment="1">
      <alignment horizontal="right"/>
    </xf>
    <xf numFmtId="0" fontId="6" fillId="0" borderId="12" xfId="0" applyFont="1" applyBorder="1"/>
    <xf numFmtId="10" fontId="22" fillId="0" borderId="12" xfId="3" applyNumberFormat="1" applyFont="1" applyFill="1" applyBorder="1" applyAlignment="1">
      <alignment horizontal="right"/>
    </xf>
    <xf numFmtId="10" fontId="24" fillId="6" borderId="12" xfId="2" applyNumberFormat="1" applyFont="1" applyFill="1" applyBorder="1" applyAlignment="1">
      <alignment horizontal="right"/>
    </xf>
    <xf numFmtId="0" fontId="6" fillId="0" borderId="12" xfId="0" applyFont="1" applyFill="1" applyBorder="1"/>
    <xf numFmtId="10" fontId="24" fillId="0" borderId="12" xfId="2" applyNumberFormat="1" applyFont="1" applyFill="1" applyBorder="1" applyAlignment="1">
      <alignment horizontal="right"/>
    </xf>
    <xf numFmtId="0" fontId="22" fillId="0" borderId="0" xfId="0" applyFont="1" applyFill="1"/>
    <xf numFmtId="0" fontId="21" fillId="0" borderId="0" xfId="0" applyFont="1" applyBorder="1" applyAlignment="1">
      <alignment vertical="center"/>
    </xf>
    <xf numFmtId="0" fontId="22" fillId="0" borderId="15" xfId="0" applyFont="1" applyBorder="1"/>
    <xf numFmtId="164" fontId="24" fillId="0" borderId="0" xfId="0" applyNumberFormat="1" applyFont="1" applyBorder="1" applyAlignment="1">
      <alignment horizontal="right"/>
    </xf>
    <xf numFmtId="10" fontId="22" fillId="0" borderId="0" xfId="3" applyNumberFormat="1" applyFont="1" applyFill="1" applyBorder="1" applyAlignment="1">
      <alignment horizontal="right"/>
    </xf>
    <xf numFmtId="10" fontId="24" fillId="0" borderId="0" xfId="2" applyNumberFormat="1" applyFont="1" applyFill="1" applyBorder="1" applyAlignment="1">
      <alignment horizontal="right"/>
    </xf>
    <xf numFmtId="10" fontId="25" fillId="0" borderId="0" xfId="2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0" fontId="22" fillId="0" borderId="0" xfId="2" applyNumberFormat="1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Fill="1" applyAlignment="1">
      <alignment horizontal="right"/>
    </xf>
    <xf numFmtId="10" fontId="22" fillId="0" borderId="0" xfId="0" applyNumberFormat="1" applyFont="1" applyAlignment="1">
      <alignment horizontal="right"/>
    </xf>
    <xf numFmtId="10" fontId="22" fillId="5" borderId="0" xfId="2" applyNumberFormat="1" applyFont="1" applyFill="1" applyAlignment="1">
      <alignment horizontal="center" vertical="center"/>
    </xf>
    <xf numFmtId="10" fontId="22" fillId="0" borderId="0" xfId="2" applyNumberFormat="1" applyFont="1" applyFill="1" applyAlignment="1">
      <alignment horizontal="center" vertical="center"/>
    </xf>
    <xf numFmtId="10" fontId="22" fillId="0" borderId="0" xfId="0" applyNumberFormat="1" applyFont="1"/>
    <xf numFmtId="6" fontId="22" fillId="0" borderId="0" xfId="0" applyNumberFormat="1" applyFont="1"/>
    <xf numFmtId="164" fontId="22" fillId="0" borderId="16" xfId="1" applyNumberFormat="1" applyFont="1" applyBorder="1" applyAlignment="1">
      <alignment horizontal="right"/>
    </xf>
    <xf numFmtId="164" fontId="22" fillId="0" borderId="12" xfId="1" applyNumberFormat="1" applyFont="1" applyBorder="1" applyAlignment="1">
      <alignment horizontal="right"/>
    </xf>
    <xf numFmtId="0" fontId="5" fillId="8" borderId="12" xfId="0" applyFont="1" applyFill="1" applyBorder="1" applyAlignment="1"/>
    <xf numFmtId="3" fontId="27" fillId="8" borderId="12" xfId="0" applyNumberFormat="1" applyFont="1" applyFill="1" applyBorder="1" applyAlignment="1">
      <alignment horizontal="right"/>
    </xf>
    <xf numFmtId="10" fontId="21" fillId="8" borderId="12" xfId="3" applyNumberFormat="1" applyFont="1" applyFill="1" applyBorder="1" applyAlignment="1">
      <alignment horizontal="right"/>
    </xf>
    <xf numFmtId="172" fontId="23" fillId="8" borderId="12" xfId="2" applyNumberFormat="1" applyFont="1" applyFill="1" applyBorder="1" applyAlignment="1">
      <alignment horizontal="right"/>
    </xf>
    <xf numFmtId="164" fontId="21" fillId="8" borderId="12" xfId="1" applyNumberFormat="1" applyFont="1" applyFill="1" applyBorder="1" applyAlignment="1">
      <alignment horizontal="right"/>
    </xf>
    <xf numFmtId="10" fontId="21" fillId="8" borderId="12" xfId="0" applyNumberFormat="1" applyFont="1" applyFill="1" applyBorder="1" applyAlignment="1">
      <alignment horizontal="right"/>
    </xf>
    <xf numFmtId="10" fontId="26" fillId="8" borderId="12" xfId="2" applyNumberFormat="1" applyFont="1" applyFill="1" applyBorder="1" applyAlignment="1">
      <alignment horizontal="right"/>
    </xf>
    <xf numFmtId="10" fontId="21" fillId="8" borderId="12" xfId="2" applyNumberFormat="1" applyFont="1" applyFill="1" applyBorder="1" applyAlignment="1">
      <alignment horizontal="right"/>
    </xf>
    <xf numFmtId="0" fontId="1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74" fontId="22" fillId="0" borderId="0" xfId="0" applyNumberFormat="1" applyFont="1"/>
    <xf numFmtId="164" fontId="9" fillId="2" borderId="12" xfId="0" applyNumberFormat="1" applyFont="1" applyFill="1" applyBorder="1" applyAlignment="1">
      <alignment horizontal="centerContinuous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175" fontId="21" fillId="7" borderId="12" xfId="2" applyNumberFormat="1" applyFont="1" applyFill="1" applyBorder="1" applyAlignment="1">
      <alignment horizontal="right"/>
    </xf>
    <xf numFmtId="168" fontId="21" fillId="7" borderId="12" xfId="2" applyNumberFormat="1" applyFont="1" applyFill="1" applyBorder="1" applyAlignment="1">
      <alignment horizontal="right"/>
    </xf>
    <xf numFmtId="172" fontId="21" fillId="8" borderId="12" xfId="2" applyNumberFormat="1" applyFont="1" applyFill="1" applyBorder="1" applyAlignment="1">
      <alignment horizontal="right"/>
    </xf>
    <xf numFmtId="168" fontId="21" fillId="0" borderId="0" xfId="2" applyNumberFormat="1" applyFont="1" applyFill="1" applyBorder="1" applyAlignment="1">
      <alignment horizontal="right"/>
    </xf>
    <xf numFmtId="164" fontId="22" fillId="0" borderId="0" xfId="0" applyNumberFormat="1" applyFont="1"/>
    <xf numFmtId="0" fontId="29" fillId="0" borderId="0" xfId="0" applyFont="1" applyAlignment="1">
      <alignment horizontal="center"/>
    </xf>
    <xf numFmtId="10" fontId="22" fillId="0" borderId="12" xfId="2" applyNumberFormat="1" applyFont="1" applyBorder="1" applyAlignment="1">
      <alignment horizontal="right"/>
    </xf>
    <xf numFmtId="0" fontId="30" fillId="2" borderId="12" xfId="0" applyFont="1" applyFill="1" applyBorder="1" applyAlignment="1">
      <alignment horizontal="centerContinuous" vertical="center" wrapText="1"/>
    </xf>
  </cellXfs>
  <cellStyles count="4">
    <cellStyle name="Currency" xfId="1" builtinId="4"/>
    <cellStyle name="Normal" xfId="0" builtinId="0"/>
    <cellStyle name="Percent" xfId="2" builtinId="5"/>
    <cellStyle name="Percent 3 6" xfId="3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9\RY19%20Source%20Revenue%20in%20RY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18%20Source%20Revenue%20in%20RY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Y%2019%20Source%20Medicai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18%20PAU%20Savings%20Scal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SharedSavings\FY%202017\Shared%20Savings%20Scaling%20FY2017_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Quality Program Totals"/>
      <sheetName val="b.Consolidated"/>
      <sheetName val="Source Revenue"/>
      <sheetName val="Source Medicaid"/>
      <sheetName val="CMS VBP"/>
      <sheetName val="CMS Readmissions"/>
      <sheetName val="CMS HAC"/>
      <sheetName val="Source MHAC"/>
      <sheetName val="1.MHAC Scaling"/>
      <sheetName val="2.MHAC Modeling Results"/>
      <sheetName val="Source Readmission"/>
      <sheetName val="3.Readmission Scaling"/>
      <sheetName val="4.RRIP Modeling Results"/>
      <sheetName val="6.QBR Modeling Results"/>
      <sheetName val="RY17 QBR"/>
      <sheetName val="Source  PAU%"/>
      <sheetName val="7a.Savings"/>
      <sheetName val="7. PAU Savings to Use"/>
      <sheetName val="7. PAU Savings Compare Methods"/>
      <sheetName val="SourceCMMI CY13 - CY15 MayRPT"/>
    </sheetNames>
    <sheetDataSet>
      <sheetData sheetId="0"/>
      <sheetData sheetId="1"/>
      <sheetData sheetId="2"/>
      <sheetData sheetId="3">
        <row r="52">
          <cell r="C52">
            <v>15753659372.135414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D52">
            <v>0.32197272727272719</v>
          </cell>
        </row>
        <row r="57">
          <cell r="B57">
            <v>0.10979999999999999</v>
          </cell>
          <cell r="C57">
            <v>-0.02</v>
          </cell>
        </row>
        <row r="58">
          <cell r="B58">
            <v>0.60029999999999994</v>
          </cell>
          <cell r="C58">
            <v>0.01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8 Permanent GBR"/>
      <sheetName val="OLD"/>
      <sheetName val="IP percentages"/>
    </sheetNames>
    <sheetDataSet>
      <sheetData sheetId="0">
        <row r="3">
          <cell r="A3">
            <v>210001</v>
          </cell>
          <cell r="B3" t="str">
            <v>MERITUS</v>
          </cell>
          <cell r="C3">
            <v>321955559.91474116</v>
          </cell>
          <cell r="D3">
            <v>0.59262669451526495</v>
          </cell>
          <cell r="E3">
            <v>190799459.25308439</v>
          </cell>
        </row>
        <row r="4">
          <cell r="A4">
            <v>210002</v>
          </cell>
          <cell r="B4" t="str">
            <v>UNIVERSITY OF MARYLAND</v>
          </cell>
          <cell r="C4">
            <v>1399559923.8071165</v>
          </cell>
          <cell r="D4">
            <v>0.65681631873545843</v>
          </cell>
          <cell r="E4">
            <v>919253797.00466895</v>
          </cell>
        </row>
        <row r="5">
          <cell r="A5">
            <v>210003</v>
          </cell>
          <cell r="B5" t="str">
            <v>PRINCE GEORGE</v>
          </cell>
          <cell r="C5">
            <v>287707710.10856968</v>
          </cell>
          <cell r="D5">
            <v>0.74890111703227624</v>
          </cell>
          <cell r="E5">
            <v>215464625.47910616</v>
          </cell>
        </row>
        <row r="6">
          <cell r="A6">
            <v>210004</v>
          </cell>
          <cell r="B6" t="str">
            <v>HOLY CROSS</v>
          </cell>
          <cell r="C6">
            <v>489724685.75063366</v>
          </cell>
          <cell r="D6">
            <v>0.69510906695873764</v>
          </cell>
          <cell r="E6">
            <v>340412069.37878394</v>
          </cell>
        </row>
        <row r="7">
          <cell r="A7">
            <v>210005</v>
          </cell>
          <cell r="B7" t="str">
            <v>FREDERICK MEMORIAL</v>
          </cell>
          <cell r="C7">
            <v>338085918.23302591</v>
          </cell>
          <cell r="D7">
            <v>0.65359818547597859</v>
          </cell>
          <cell r="E7">
            <v>220972342.6920858</v>
          </cell>
        </row>
        <row r="8">
          <cell r="A8">
            <v>210006</v>
          </cell>
          <cell r="B8" t="str">
            <v>HARFORD</v>
          </cell>
          <cell r="C8">
            <v>102314326.75911014</v>
          </cell>
          <cell r="D8">
            <v>0.47459414927617183</v>
          </cell>
          <cell r="E8">
            <v>48557780.867004141</v>
          </cell>
        </row>
        <row r="9">
          <cell r="A9">
            <v>210008</v>
          </cell>
          <cell r="B9" t="str">
            <v>MERCY</v>
          </cell>
          <cell r="C9">
            <v>516410170.18262321</v>
          </cell>
          <cell r="D9">
            <v>0.43363364034477192</v>
          </cell>
          <cell r="E9">
            <v>223932822.00735408</v>
          </cell>
        </row>
        <row r="10">
          <cell r="A10">
            <v>210009</v>
          </cell>
          <cell r="B10" t="str">
            <v>JOHNS HOPKINS</v>
          </cell>
          <cell r="C10">
            <v>2352963223.3712864</v>
          </cell>
          <cell r="D10">
            <v>0.585754969285331</v>
          </cell>
          <cell r="E10">
            <v>1378259900.6353612</v>
          </cell>
        </row>
        <row r="11">
          <cell r="A11">
            <v>210010</v>
          </cell>
          <cell r="B11" t="str">
            <v>DORCHESTER</v>
          </cell>
          <cell r="C11">
            <v>49226291.660124123</v>
          </cell>
          <cell r="D11">
            <v>0.52860413992365518</v>
          </cell>
          <cell r="E11">
            <v>26021221.564630911</v>
          </cell>
        </row>
        <row r="12">
          <cell r="A12">
            <v>210011</v>
          </cell>
          <cell r="B12" t="str">
            <v>ST. AGNES</v>
          </cell>
          <cell r="C12">
            <v>422820202.13967508</v>
          </cell>
          <cell r="D12">
            <v>0.56262504584567219</v>
          </cell>
          <cell r="E12">
            <v>237889235.61331108</v>
          </cell>
        </row>
        <row r="13">
          <cell r="A13">
            <v>210012</v>
          </cell>
          <cell r="B13" t="str">
            <v>SINAI</v>
          </cell>
          <cell r="C13">
            <v>752409746.26519561</v>
          </cell>
          <cell r="D13">
            <v>0.52901561924501883</v>
          </cell>
          <cell r="E13">
            <v>398036507.84646994</v>
          </cell>
        </row>
        <row r="14">
          <cell r="A14">
            <v>210013</v>
          </cell>
          <cell r="B14" t="str">
            <v>BON SECOURS</v>
          </cell>
          <cell r="C14">
            <v>115902722.16579702</v>
          </cell>
          <cell r="D14">
            <v>0.56770057402106255</v>
          </cell>
          <cell r="E14">
            <v>65798041.904126704</v>
          </cell>
        </row>
        <row r="15">
          <cell r="A15">
            <v>210015</v>
          </cell>
          <cell r="B15" t="str">
            <v>FRANKLIN SQUARE</v>
          </cell>
          <cell r="C15">
            <v>522059008.50967693</v>
          </cell>
          <cell r="D15">
            <v>0.57584289766596353</v>
          </cell>
          <cell r="E15">
            <v>300623972.21283227</v>
          </cell>
        </row>
        <row r="16">
          <cell r="A16">
            <v>210016</v>
          </cell>
          <cell r="B16" t="str">
            <v>WASHINGTON ADVENTIST</v>
          </cell>
          <cell r="C16">
            <v>265729172.41023228</v>
          </cell>
          <cell r="D16">
            <v>0.59586082593886835</v>
          </cell>
          <cell r="E16">
            <v>158337604.14841294</v>
          </cell>
        </row>
        <row r="17">
          <cell r="A17">
            <v>210017</v>
          </cell>
          <cell r="B17" t="str">
            <v>GARRETT COUNTY</v>
          </cell>
          <cell r="C17">
            <v>54328266.371631004</v>
          </cell>
          <cell r="D17">
            <v>0.38792576566822867</v>
          </cell>
          <cell r="E17">
            <v>21075334.329642437</v>
          </cell>
        </row>
        <row r="18">
          <cell r="A18">
            <v>210018</v>
          </cell>
          <cell r="B18" t="str">
            <v>MONTGOMERY GENERAL</v>
          </cell>
          <cell r="C18">
            <v>172101071.49599501</v>
          </cell>
          <cell r="D18">
            <v>0.45211024235364744</v>
          </cell>
          <cell r="E18">
            <v>77808657.143376708</v>
          </cell>
        </row>
        <row r="19">
          <cell r="A19">
            <v>210019</v>
          </cell>
          <cell r="B19" t="str">
            <v>PENINSULA REGIONAL</v>
          </cell>
          <cell r="C19">
            <v>431713669.50853997</v>
          </cell>
          <cell r="D19">
            <v>0.55932167557943002</v>
          </cell>
          <cell r="E19">
            <v>241466813.00006086</v>
          </cell>
        </row>
        <row r="20">
          <cell r="A20">
            <v>210022</v>
          </cell>
          <cell r="B20" t="str">
            <v>SUBURBAN</v>
          </cell>
          <cell r="C20">
            <v>313631832.19152868</v>
          </cell>
          <cell r="D20">
            <v>0.62950049125989915</v>
          </cell>
          <cell r="E20">
            <v>197431392.43930957</v>
          </cell>
        </row>
        <row r="21">
          <cell r="A21">
            <v>210023</v>
          </cell>
          <cell r="B21" t="str">
            <v>ANNE ARUNDEL</v>
          </cell>
          <cell r="C21">
            <v>609013272.65717053</v>
          </cell>
          <cell r="D21">
            <v>0.4913932233825935</v>
          </cell>
          <cell r="E21">
            <v>299264995.1337893</v>
          </cell>
        </row>
        <row r="22">
          <cell r="A22">
            <v>210024</v>
          </cell>
          <cell r="B22" t="str">
            <v>UNION MEMORIAL</v>
          </cell>
          <cell r="C22">
            <v>421547475.77072507</v>
          </cell>
          <cell r="D22">
            <v>0.55829160028258129</v>
          </cell>
          <cell r="E22">
            <v>235346414.84312075</v>
          </cell>
        </row>
        <row r="23">
          <cell r="A23">
            <v>210027</v>
          </cell>
          <cell r="B23" t="str">
            <v>WESTERN MARYLAND HEALTH SYSTEM</v>
          </cell>
          <cell r="C23">
            <v>320642518.52413172</v>
          </cell>
          <cell r="D23">
            <v>0.53330476380333969</v>
          </cell>
          <cell r="E23">
            <v>171000182.60682005</v>
          </cell>
        </row>
        <row r="24">
          <cell r="A24">
            <v>210028</v>
          </cell>
          <cell r="B24" t="str">
            <v>ST. MARY</v>
          </cell>
          <cell r="C24">
            <v>177161733.10999241</v>
          </cell>
          <cell r="D24">
            <v>0.4306971733905639</v>
          </cell>
          <cell r="E24">
            <v>76303057.683447212</v>
          </cell>
        </row>
        <row r="25">
          <cell r="A25">
            <v>210029</v>
          </cell>
          <cell r="B25" t="str">
            <v>HOPKINS BAYVIEW MED CTR</v>
          </cell>
          <cell r="C25">
            <v>647476457.79074168</v>
          </cell>
          <cell r="D25">
            <v>0.5523298650376377</v>
          </cell>
          <cell r="E25">
            <v>357620584.54660809</v>
          </cell>
        </row>
        <row r="26">
          <cell r="A26">
            <v>210030</v>
          </cell>
          <cell r="B26" t="str">
            <v>CHESTERTOWN</v>
          </cell>
          <cell r="C26">
            <v>55473722.194609955</v>
          </cell>
          <cell r="D26">
            <v>0.38108018712535541</v>
          </cell>
          <cell r="E26">
            <v>21139936.434461944</v>
          </cell>
        </row>
        <row r="27">
          <cell r="A27">
            <v>210032</v>
          </cell>
          <cell r="B27" t="str">
            <v>UNION HOSPITAL  OF CECIL COUNT</v>
          </cell>
          <cell r="C27">
            <v>158683869.94630226</v>
          </cell>
          <cell r="D27">
            <v>0.41916245120903378</v>
          </cell>
          <cell r="E27">
            <v>66514319.894027583</v>
          </cell>
        </row>
        <row r="28">
          <cell r="A28">
            <v>210033</v>
          </cell>
          <cell r="B28" t="str">
            <v>CARROLL COUNTY</v>
          </cell>
          <cell r="C28">
            <v>225263358.630611</v>
          </cell>
          <cell r="D28">
            <v>0.58953670080392262</v>
          </cell>
          <cell r="E28">
            <v>132801017.25910124</v>
          </cell>
        </row>
        <row r="29">
          <cell r="A29">
            <v>210034</v>
          </cell>
          <cell r="B29" t="str">
            <v>HARBOR</v>
          </cell>
          <cell r="C29">
            <v>186978444.37045556</v>
          </cell>
          <cell r="D29">
            <v>0.60181717857257455</v>
          </cell>
          <cell r="E29">
            <v>112526839.84491666</v>
          </cell>
        </row>
        <row r="30">
          <cell r="A30">
            <v>210035</v>
          </cell>
          <cell r="B30" t="str">
            <v>CHARLES REGIONAL</v>
          </cell>
          <cell r="C30">
            <v>148909451.23965517</v>
          </cell>
          <cell r="D30">
            <v>0.5049989195694462</v>
          </cell>
          <cell r="E30">
            <v>75199111.989704996</v>
          </cell>
        </row>
        <row r="31">
          <cell r="A31">
            <v>210037</v>
          </cell>
          <cell r="B31" t="str">
            <v>EASTON</v>
          </cell>
          <cell r="C31">
            <v>202561562.84157383</v>
          </cell>
          <cell r="D31">
            <v>0.51945834673599012</v>
          </cell>
          <cell r="E31">
            <v>105222294.54594231</v>
          </cell>
        </row>
        <row r="32">
          <cell r="A32">
            <v>210038</v>
          </cell>
          <cell r="B32" t="str">
            <v>UMMC MIDTOWN</v>
          </cell>
          <cell r="C32">
            <v>234227769.69172686</v>
          </cell>
          <cell r="D32">
            <v>0.50044333719391598</v>
          </cell>
          <cell r="E32">
            <v>117217726.72801577</v>
          </cell>
        </row>
        <row r="33">
          <cell r="A33">
            <v>210039</v>
          </cell>
          <cell r="B33" t="str">
            <v>CALVERT</v>
          </cell>
          <cell r="C33">
            <v>143263199.33140904</v>
          </cell>
          <cell r="D33">
            <v>0.44448066772280481</v>
          </cell>
          <cell r="E33">
            <v>63677722.49892997</v>
          </cell>
        </row>
        <row r="34">
          <cell r="A34">
            <v>210040</v>
          </cell>
          <cell r="B34" t="str">
            <v>NORTHWEST</v>
          </cell>
          <cell r="C34">
            <v>255493814.35119659</v>
          </cell>
          <cell r="D34">
            <v>0.52380429617047386</v>
          </cell>
          <cell r="E34">
            <v>133828757.60213824</v>
          </cell>
        </row>
        <row r="35">
          <cell r="A35">
            <v>210043</v>
          </cell>
          <cell r="B35" t="str">
            <v>BALTIMORE WASHINGTON MEDICAL CENTER</v>
          </cell>
          <cell r="C35">
            <v>409703662.08081722</v>
          </cell>
          <cell r="D35">
            <v>0.55931106498985961</v>
          </cell>
          <cell r="E35">
            <v>229151791.56866744</v>
          </cell>
        </row>
        <row r="36">
          <cell r="A36">
            <v>210044</v>
          </cell>
          <cell r="B36" t="str">
            <v>G.B.M.C.</v>
          </cell>
          <cell r="C36">
            <v>442204395.73804218</v>
          </cell>
          <cell r="D36">
            <v>0.50914401572187495</v>
          </cell>
          <cell r="E36">
            <v>225145721.81593195</v>
          </cell>
        </row>
        <row r="37">
          <cell r="A37">
            <v>210045</v>
          </cell>
          <cell r="B37" t="str">
            <v>MCCREADY</v>
          </cell>
          <cell r="C37">
            <v>15618329.328133162</v>
          </cell>
          <cell r="D37">
            <v>0.1942529699970014</v>
          </cell>
          <cell r="E37">
            <v>3033906.8583811382</v>
          </cell>
        </row>
        <row r="38">
          <cell r="A38">
            <v>210048</v>
          </cell>
          <cell r="B38" t="str">
            <v>HOWARD COUNTY</v>
          </cell>
          <cell r="C38">
            <v>298460107.25571972</v>
          </cell>
          <cell r="D38">
            <v>0.61431506110200207</v>
          </cell>
          <cell r="E38">
            <v>183348539.02530757</v>
          </cell>
        </row>
        <row r="39">
          <cell r="A39">
            <v>210049</v>
          </cell>
          <cell r="B39" t="str">
            <v>UPPER CHESAPEAKE HEALTH</v>
          </cell>
          <cell r="C39">
            <v>334751758.52551895</v>
          </cell>
          <cell r="D39">
            <v>0.3887966558498544</v>
          </cell>
          <cell r="E39">
            <v>130150364.25457975</v>
          </cell>
        </row>
        <row r="40">
          <cell r="A40">
            <v>210051</v>
          </cell>
          <cell r="B40" t="str">
            <v>DOCTORS COMMUNITY</v>
          </cell>
          <cell r="C40">
            <v>239227749.57479373</v>
          </cell>
          <cell r="D40">
            <v>0.60480522019440375</v>
          </cell>
          <cell r="E40">
            <v>144686191.7581948</v>
          </cell>
        </row>
        <row r="41">
          <cell r="A41">
            <v>210055</v>
          </cell>
          <cell r="B41" t="str">
            <v>LAUREL REGIONAL</v>
          </cell>
          <cell r="C41">
            <v>99871376.285903111</v>
          </cell>
          <cell r="D41">
            <v>0.59007172959642229</v>
          </cell>
          <cell r="E41">
            <v>58931275.742197961</v>
          </cell>
        </row>
        <row r="42">
          <cell r="A42">
            <v>210056</v>
          </cell>
          <cell r="B42" t="str">
            <v>GOOD SAMARITAN</v>
          </cell>
          <cell r="C42">
            <v>264597391.76665741</v>
          </cell>
          <cell r="D42">
            <v>0.53165621400743668</v>
          </cell>
          <cell r="E42">
            <v>140674847.54290357</v>
          </cell>
        </row>
        <row r="43">
          <cell r="A43">
            <v>210057</v>
          </cell>
          <cell r="B43" t="str">
            <v>SHADY GROVE</v>
          </cell>
          <cell r="C43">
            <v>387674359.24834466</v>
          </cell>
          <cell r="D43">
            <v>0.59828440795685933</v>
          </cell>
          <cell r="E43">
            <v>231939524.50295067</v>
          </cell>
        </row>
        <row r="44">
          <cell r="A44">
            <v>210058</v>
          </cell>
          <cell r="B44" t="str">
            <v>REHAB &amp; ORTHO</v>
          </cell>
          <cell r="C44">
            <v>120638692.27232622</v>
          </cell>
          <cell r="D44">
            <v>0.57996615789272687</v>
          </cell>
          <cell r="E44">
            <v>69966358.850384042</v>
          </cell>
        </row>
        <row r="45">
          <cell r="A45">
            <v>210060</v>
          </cell>
          <cell r="B45" t="str">
            <v>FT. WASHINGTON</v>
          </cell>
          <cell r="C45">
            <v>48244588.294327505</v>
          </cell>
          <cell r="D45">
            <v>0.40519626835703138</v>
          </cell>
          <cell r="E45">
            <v>19548527.145282824</v>
          </cell>
        </row>
        <row r="46">
          <cell r="A46">
            <v>210061</v>
          </cell>
          <cell r="B46" t="str">
            <v>ATLANTIC GENERAL</v>
          </cell>
          <cell r="C46">
            <v>105151501.51613671</v>
          </cell>
          <cell r="D46">
            <v>0.35488051184522879</v>
          </cell>
          <cell r="E46">
            <v>37316218.679340944</v>
          </cell>
        </row>
        <row r="47">
          <cell r="A47">
            <v>210062</v>
          </cell>
          <cell r="B47" t="str">
            <v>SOUTHERN MARYLAND</v>
          </cell>
          <cell r="C47">
            <v>271260317.58742768</v>
          </cell>
          <cell r="D47">
            <v>0.6040102142001561</v>
          </cell>
          <cell r="E47">
            <v>163844002.52998456</v>
          </cell>
        </row>
        <row r="48">
          <cell r="A48">
            <v>210063</v>
          </cell>
          <cell r="B48" t="str">
            <v>UM ST. JOSEPH</v>
          </cell>
          <cell r="C48">
            <v>398711781.45443678</v>
          </cell>
          <cell r="D48">
            <v>0.59673335363983493</v>
          </cell>
          <cell r="E48">
            <v>237924618.48301899</v>
          </cell>
        </row>
        <row r="49">
          <cell r="A49">
            <v>210064</v>
          </cell>
          <cell r="B49" t="str">
            <v>Levindale</v>
          </cell>
          <cell r="C49">
            <v>58867710.087362573</v>
          </cell>
          <cell r="D49">
            <v>0.95308220246414665</v>
          </cell>
          <cell r="E49">
            <v>56105766.784084387</v>
          </cell>
        </row>
        <row r="50">
          <cell r="A50">
            <v>210065</v>
          </cell>
          <cell r="B50" t="str">
            <v>HOLY CROSS GERMANTOWN</v>
          </cell>
          <cell r="C50">
            <v>102303759.88960856</v>
          </cell>
          <cell r="D50">
            <v>0.59266802038098965</v>
          </cell>
          <cell r="E50">
            <v>60632166.851306401</v>
          </cell>
        </row>
        <row r="52">
          <cell r="C52">
            <v>16292627632.201357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Sheet1"/>
    </sheetNames>
    <sheetDataSet>
      <sheetData sheetId="0">
        <row r="52">
          <cell r="E52">
            <v>8971214597.3944817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edicaid"/>
    </sheetNames>
    <sheetDataSet>
      <sheetData sheetId="0" refreshError="1">
        <row r="2">
          <cell r="A2" t="str">
            <v>Hospid</v>
          </cell>
          <cell r="B2" t="str">
            <v>HospitalName</v>
          </cell>
          <cell r="C2" t="str">
            <v>Medicaid/SelfPay</v>
          </cell>
          <cell r="D2" t="str">
            <v>Total IP ECMAD</v>
          </cell>
          <cell r="E2" t="str">
            <v>% Medicaid SelftPay</v>
          </cell>
        </row>
        <row r="3">
          <cell r="A3">
            <v>210001</v>
          </cell>
          <cell r="B3" t="str">
            <v>MERITUS</v>
          </cell>
          <cell r="C3">
            <v>3442.3634280000006</v>
          </cell>
          <cell r="D3">
            <v>18119.636702999975</v>
          </cell>
          <cell r="E3">
            <v>0.18997971562145427</v>
          </cell>
          <cell r="F3">
            <v>0</v>
          </cell>
        </row>
        <row r="4">
          <cell r="A4">
            <v>210002</v>
          </cell>
          <cell r="B4" t="str">
            <v>UNIVERSITY OF MARYLAND</v>
          </cell>
          <cell r="C4">
            <v>17352.498228000011</v>
          </cell>
          <cell r="D4">
            <v>56732.463251999841</v>
          </cell>
          <cell r="E4">
            <v>0.30586541167659115</v>
          </cell>
        </row>
        <row r="5">
          <cell r="A5">
            <v>210003</v>
          </cell>
          <cell r="B5" t="str">
            <v>PRINCE GEORGE</v>
          </cell>
          <cell r="C5">
            <v>6551.0431030000027</v>
          </cell>
          <cell r="D5">
            <v>15198.838776000019</v>
          </cell>
          <cell r="E5">
            <v>0.43102260636809553</v>
          </cell>
        </row>
        <row r="6">
          <cell r="A6">
            <v>210004</v>
          </cell>
          <cell r="B6" t="str">
            <v>HOLY CROSS</v>
          </cell>
          <cell r="C6">
            <v>6952.6076510000048</v>
          </cell>
          <cell r="D6">
            <v>30954.626292000037</v>
          </cell>
          <cell r="E6">
            <v>0.2246064153840826</v>
          </cell>
        </row>
        <row r="7">
          <cell r="A7">
            <v>210005</v>
          </cell>
          <cell r="B7" t="str">
            <v>FREDERICK MEMORIAL</v>
          </cell>
          <cell r="C7">
            <v>1411.4266220000004</v>
          </cell>
          <cell r="D7">
            <v>19040.152477000018</v>
          </cell>
          <cell r="E7">
            <v>7.4128955831890789E-2</v>
          </cell>
        </row>
        <row r="8">
          <cell r="A8">
            <v>210006</v>
          </cell>
          <cell r="B8" t="str">
            <v>HARFORD</v>
          </cell>
          <cell r="C8">
            <v>909.5999710000001</v>
          </cell>
          <cell r="D8">
            <v>4948.760028000007</v>
          </cell>
          <cell r="E8">
            <v>0.18380361259254796</v>
          </cell>
        </row>
        <row r="9">
          <cell r="A9">
            <v>210008</v>
          </cell>
          <cell r="B9" t="str">
            <v>MERCY</v>
          </cell>
          <cell r="C9">
            <v>4861.2418630000057</v>
          </cell>
          <cell r="D9">
            <v>19499.911606999929</v>
          </cell>
          <cell r="E9">
            <v>0.24929558456331435</v>
          </cell>
        </row>
        <row r="10">
          <cell r="A10">
            <v>210009</v>
          </cell>
          <cell r="B10" t="str">
            <v>JOHNS HOPKINS</v>
          </cell>
          <cell r="C10">
            <v>16906.808952999982</v>
          </cell>
          <cell r="D10">
            <v>72253.051917000019</v>
          </cell>
          <cell r="E10">
            <v>0.23399439199359373</v>
          </cell>
        </row>
        <row r="11">
          <cell r="A11">
            <v>210010</v>
          </cell>
          <cell r="B11" t="str">
            <v>DORCHESTER</v>
          </cell>
          <cell r="C11">
            <v>505.19338899999963</v>
          </cell>
          <cell r="D11">
            <v>1978.5411799999997</v>
          </cell>
          <cell r="E11">
            <v>0.25533630237607674</v>
          </cell>
        </row>
        <row r="12">
          <cell r="A12">
            <v>210011</v>
          </cell>
          <cell r="B12" t="str">
            <v>ST. AGNES</v>
          </cell>
          <cell r="C12">
            <v>4732.7673170000035</v>
          </cell>
          <cell r="D12">
            <v>20005.080357000003</v>
          </cell>
          <cell r="E12">
            <v>0.23657827074630844</v>
          </cell>
        </row>
        <row r="13">
          <cell r="A13">
            <v>210012</v>
          </cell>
          <cell r="B13" t="str">
            <v>SINAI</v>
          </cell>
          <cell r="C13">
            <v>6810.3559290000012</v>
          </cell>
          <cell r="D13">
            <v>28042.055262999984</v>
          </cell>
          <cell r="E13">
            <v>0.24286222479512432</v>
          </cell>
        </row>
        <row r="14">
          <cell r="A14">
            <v>210013</v>
          </cell>
          <cell r="B14" t="str">
            <v>BON SECOURS</v>
          </cell>
          <cell r="C14">
            <v>2379.5681530000006</v>
          </cell>
          <cell r="D14">
            <v>3945.8898549999985</v>
          </cell>
          <cell r="E14">
            <v>0.60304981650330469</v>
          </cell>
        </row>
        <row r="15">
          <cell r="A15">
            <v>210015</v>
          </cell>
          <cell r="B15" t="str">
            <v>FRANKLIN SQUARE</v>
          </cell>
          <cell r="C15">
            <v>6899.9203320000006</v>
          </cell>
          <cell r="D15">
            <v>25471.507348999967</v>
          </cell>
          <cell r="E15">
            <v>0.27088778993171353</v>
          </cell>
        </row>
        <row r="16">
          <cell r="A16">
            <v>210016</v>
          </cell>
          <cell r="B16" t="str">
            <v>WASHINGTON ADVENTIST</v>
          </cell>
          <cell r="C16">
            <v>3913.5429919999992</v>
          </cell>
          <cell r="D16">
            <v>12668.319619</v>
          </cell>
          <cell r="E16">
            <v>0.30892360705286048</v>
          </cell>
        </row>
        <row r="17">
          <cell r="A17">
            <v>210017</v>
          </cell>
          <cell r="B17" t="str">
            <v>GARRETT COUNTY</v>
          </cell>
          <cell r="C17">
            <v>355.30875099999975</v>
          </cell>
          <cell r="D17">
            <v>2208.3807599999982</v>
          </cell>
          <cell r="E17">
            <v>0.16089107342159603</v>
          </cell>
        </row>
        <row r="18">
          <cell r="A18">
            <v>210018</v>
          </cell>
          <cell r="B18" t="str">
            <v>MONTGOMERY GENERAL</v>
          </cell>
          <cell r="C18">
            <v>1250.9843619999988</v>
          </cell>
          <cell r="D18">
            <v>8018.5644120000243</v>
          </cell>
          <cell r="E18">
            <v>0.15601101365823822</v>
          </cell>
        </row>
        <row r="19">
          <cell r="A19">
            <v>210019</v>
          </cell>
          <cell r="B19" t="str">
            <v>PENINSULA REGIONAL</v>
          </cell>
          <cell r="C19">
            <v>3856.5630610000067</v>
          </cell>
          <cell r="D19">
            <v>21328.802491999995</v>
          </cell>
          <cell r="E19">
            <v>0.18081479550699228</v>
          </cell>
        </row>
        <row r="20">
          <cell r="A20">
            <v>210022</v>
          </cell>
          <cell r="B20" t="str">
            <v>SUBURBAN</v>
          </cell>
          <cell r="C20">
            <v>1649.2139620000005</v>
          </cell>
          <cell r="D20">
            <v>19122.913014000049</v>
          </cell>
          <cell r="E20">
            <v>8.6242820892015598E-2</v>
          </cell>
        </row>
        <row r="21">
          <cell r="A21">
            <v>210023</v>
          </cell>
          <cell r="B21" t="str">
            <v>ANNE ARUNDEL</v>
          </cell>
          <cell r="C21">
            <v>3645.1868130000039</v>
          </cell>
          <cell r="D21">
            <v>30260.144763000069</v>
          </cell>
          <cell r="E21">
            <v>0.12046164489791458</v>
          </cell>
        </row>
        <row r="22">
          <cell r="A22">
            <v>210024</v>
          </cell>
          <cell r="B22" t="str">
            <v>UNION MEMORIAL</v>
          </cell>
          <cell r="C22">
            <v>3329.087766000001</v>
          </cell>
          <cell r="D22">
            <v>17449.433989999994</v>
          </cell>
          <cell r="E22">
            <v>0.19078485685597887</v>
          </cell>
        </row>
        <row r="23">
          <cell r="A23">
            <v>210027</v>
          </cell>
          <cell r="B23" t="str">
            <v>WESTERN MARYLAND HEALTH SYSTEM</v>
          </cell>
          <cell r="C23">
            <v>1991.4904950000011</v>
          </cell>
          <cell r="D23">
            <v>13744.555862999981</v>
          </cell>
          <cell r="E23">
            <v>0.14489304091382438</v>
          </cell>
        </row>
        <row r="24">
          <cell r="A24">
            <v>210028</v>
          </cell>
          <cell r="B24" t="str">
            <v>ST. MARY</v>
          </cell>
          <cell r="C24">
            <v>1600.7291900000007</v>
          </cell>
          <cell r="D24">
            <v>8053.5068939999974</v>
          </cell>
          <cell r="E24">
            <v>0.19876175820903211</v>
          </cell>
        </row>
        <row r="25">
          <cell r="A25">
            <v>210029</v>
          </cell>
          <cell r="B25" t="str">
            <v>HOPKINS BAYVIEW MED CTR</v>
          </cell>
          <cell r="C25">
            <v>6609.1864069999929</v>
          </cell>
          <cell r="D25">
            <v>22722.276479000055</v>
          </cell>
          <cell r="E25">
            <v>0.29086814488452367</v>
          </cell>
        </row>
        <row r="26">
          <cell r="A26">
            <v>210030</v>
          </cell>
          <cell r="B26" t="str">
            <v>CHESTERTOWN</v>
          </cell>
          <cell r="C26">
            <v>205.64786000000004</v>
          </cell>
          <cell r="D26">
            <v>1656.0601220000019</v>
          </cell>
          <cell r="E26">
            <v>0.12417898195123607</v>
          </cell>
        </row>
        <row r="27">
          <cell r="A27">
            <v>210032</v>
          </cell>
          <cell r="B27" t="str">
            <v>UNION HOSPITAL  OF CECIL COUNT</v>
          </cell>
          <cell r="C27">
            <v>1502.7535310000007</v>
          </cell>
          <cell r="D27">
            <v>5631.3267170000026</v>
          </cell>
          <cell r="E27">
            <v>0.26685603704424526</v>
          </cell>
        </row>
        <row r="28">
          <cell r="A28">
            <v>210033</v>
          </cell>
          <cell r="B28" t="str">
            <v>CARROLL COUNTY</v>
          </cell>
          <cell r="C28">
            <v>1535.6355559999995</v>
          </cell>
          <cell r="D28">
            <v>11080.230376999982</v>
          </cell>
          <cell r="E28">
            <v>0.13859238515361799</v>
          </cell>
        </row>
        <row r="29">
          <cell r="A29">
            <v>210034</v>
          </cell>
          <cell r="B29" t="str">
            <v>HARBOR</v>
          </cell>
          <cell r="C29">
            <v>2784.2497630000021</v>
          </cell>
          <cell r="D29">
            <v>8534.5880779999916</v>
          </cell>
          <cell r="E29">
            <v>0.32623129992378819</v>
          </cell>
        </row>
        <row r="30">
          <cell r="A30">
            <v>210035</v>
          </cell>
          <cell r="B30" t="str">
            <v>CHARLES REGIONAL</v>
          </cell>
          <cell r="C30">
            <v>1279.1267420000001</v>
          </cell>
          <cell r="D30">
            <v>7101.9835520000006</v>
          </cell>
          <cell r="E30">
            <v>0.18010837854443965</v>
          </cell>
        </row>
        <row r="31">
          <cell r="A31">
            <v>210037</v>
          </cell>
          <cell r="B31" t="str">
            <v>EASTON</v>
          </cell>
          <cell r="C31">
            <v>1448.5652429999998</v>
          </cell>
          <cell r="D31">
            <v>8369.4329219999927</v>
          </cell>
          <cell r="E31">
            <v>0.1730780635319131</v>
          </cell>
        </row>
        <row r="32">
          <cell r="A32">
            <v>210038</v>
          </cell>
          <cell r="B32" t="str">
            <v>UMMC MIDTOWN</v>
          </cell>
          <cell r="C32">
            <v>2290.5636790000035</v>
          </cell>
          <cell r="D32">
            <v>5431.4159030000055</v>
          </cell>
          <cell r="E32">
            <v>0.42172496452257069</v>
          </cell>
        </row>
        <row r="33">
          <cell r="A33">
            <v>210039</v>
          </cell>
          <cell r="B33" t="str">
            <v>CALVERT</v>
          </cell>
          <cell r="C33">
            <v>897.18493700000056</v>
          </cell>
          <cell r="D33">
            <v>5381.59878200001</v>
          </cell>
          <cell r="E33">
            <v>0.16671345697506124</v>
          </cell>
        </row>
        <row r="34">
          <cell r="A34">
            <v>210040</v>
          </cell>
          <cell r="B34" t="str">
            <v>NORTHWEST</v>
          </cell>
          <cell r="C34">
            <v>2224.3078160000014</v>
          </cell>
          <cell r="D34">
            <v>10267.267324999986</v>
          </cell>
          <cell r="E34">
            <v>0.2166406839903727</v>
          </cell>
        </row>
        <row r="35">
          <cell r="A35">
            <v>210043</v>
          </cell>
          <cell r="B35" t="str">
            <v>BALTIMORE WASHINGTON MEDICAL CENTER</v>
          </cell>
          <cell r="C35">
            <v>3687.3713210000001</v>
          </cell>
          <cell r="D35">
            <v>20992.628469999927</v>
          </cell>
          <cell r="E35">
            <v>0.17565076837660115</v>
          </cell>
        </row>
        <row r="36">
          <cell r="A36">
            <v>210044</v>
          </cell>
          <cell r="B36" t="str">
            <v>G.B.M.C.</v>
          </cell>
          <cell r="C36">
            <v>1898.898862</v>
          </cell>
          <cell r="D36">
            <v>18233.876466000005</v>
          </cell>
          <cell r="E36">
            <v>0.1041412595692859</v>
          </cell>
        </row>
        <row r="37">
          <cell r="A37">
            <v>210045</v>
          </cell>
          <cell r="B37" t="str">
            <v>MCCREADY</v>
          </cell>
          <cell r="C37">
            <v>49.475199000000018</v>
          </cell>
          <cell r="D37">
            <v>335.10776900000036</v>
          </cell>
          <cell r="E37">
            <v>0.14763966573392084</v>
          </cell>
        </row>
        <row r="38">
          <cell r="A38">
            <v>210048</v>
          </cell>
          <cell r="B38" t="str">
            <v>HOWARD COUNTY</v>
          </cell>
          <cell r="C38">
            <v>2806.8429250000017</v>
          </cell>
          <cell r="D38">
            <v>17934.273171000019</v>
          </cell>
          <cell r="E38">
            <v>0.1565072026191007</v>
          </cell>
        </row>
        <row r="39">
          <cell r="A39">
            <v>210049</v>
          </cell>
          <cell r="B39" t="str">
            <v>UPPER CHESAPEAKE HEALTH</v>
          </cell>
          <cell r="C39">
            <v>1793.0523949999979</v>
          </cell>
          <cell r="D39">
            <v>15573.728614999984</v>
          </cell>
          <cell r="E39">
            <v>0.11513314757989314</v>
          </cell>
        </row>
        <row r="40">
          <cell r="A40">
            <v>210051</v>
          </cell>
          <cell r="B40" t="str">
            <v>DOCTORS COMMUNITY</v>
          </cell>
          <cell r="C40">
            <v>2269.1280979999992</v>
          </cell>
          <cell r="D40">
            <v>11964.273070999991</v>
          </cell>
          <cell r="E40">
            <v>0.18965866831475975</v>
          </cell>
        </row>
        <row r="41">
          <cell r="A41">
            <v>210055</v>
          </cell>
          <cell r="B41" t="str">
            <v>LAUREL REGIONAL</v>
          </cell>
          <cell r="C41">
            <v>1218.047590000001</v>
          </cell>
          <cell r="D41">
            <v>4099.8125059999984</v>
          </cell>
          <cell r="E41">
            <v>0.29709836442944926</v>
          </cell>
        </row>
        <row r="42">
          <cell r="A42">
            <v>210056</v>
          </cell>
          <cell r="B42" t="str">
            <v>GOOD SAMARITAN</v>
          </cell>
          <cell r="C42">
            <v>2629.8227950000023</v>
          </cell>
          <cell r="D42">
            <v>12887.12295999997</v>
          </cell>
          <cell r="E42">
            <v>0.20406593489971703</v>
          </cell>
        </row>
        <row r="43">
          <cell r="A43">
            <v>210057</v>
          </cell>
          <cell r="B43" t="str">
            <v>SHADY GROVE</v>
          </cell>
          <cell r="C43">
            <v>3981.679904000001</v>
          </cell>
          <cell r="D43">
            <v>20395.377415000003</v>
          </cell>
          <cell r="E43">
            <v>0.19522462482462477</v>
          </cell>
        </row>
        <row r="44">
          <cell r="A44">
            <v>210058</v>
          </cell>
          <cell r="B44" t="str">
            <v>REHAB &amp; ORTHO</v>
          </cell>
          <cell r="C44">
            <v>887.93687599999987</v>
          </cell>
          <cell r="D44">
            <v>3639.9711000000029</v>
          </cell>
          <cell r="E44">
            <v>0.24394063897924881</v>
          </cell>
        </row>
        <row r="45">
          <cell r="A45">
            <v>210060</v>
          </cell>
          <cell r="B45" t="str">
            <v>FT. WASHINGTON</v>
          </cell>
          <cell r="C45">
            <v>430.54594199999974</v>
          </cell>
          <cell r="D45">
            <v>2320.8675340000032</v>
          </cell>
          <cell r="E45">
            <v>0.18551077805718452</v>
          </cell>
        </row>
        <row r="46">
          <cell r="A46">
            <v>210061</v>
          </cell>
          <cell r="B46" t="str">
            <v>ATLANTIC GENERAL</v>
          </cell>
          <cell r="C46">
            <v>502.85020399999985</v>
          </cell>
          <cell r="D46">
            <v>3912.6973879999982</v>
          </cell>
          <cell r="E46">
            <v>0.12851753001451388</v>
          </cell>
        </row>
        <row r="47">
          <cell r="A47">
            <v>210062</v>
          </cell>
          <cell r="B47" t="str">
            <v>SOUTHERN MARYLAND</v>
          </cell>
          <cell r="C47">
            <v>2741.089018000001</v>
          </cell>
          <cell r="D47">
            <v>12840.117907999977</v>
          </cell>
          <cell r="E47">
            <v>0.21347849277086295</v>
          </cell>
        </row>
        <row r="48">
          <cell r="A48">
            <v>210063</v>
          </cell>
          <cell r="B48" t="str">
            <v>UM ST. JOSEPH</v>
          </cell>
          <cell r="C48">
            <v>2412.6561139999994</v>
          </cell>
          <cell r="D48">
            <v>21001.212015000005</v>
          </cell>
          <cell r="E48">
            <v>0.11488175598040593</v>
          </cell>
        </row>
        <row r="49">
          <cell r="A49">
            <v>210064</v>
          </cell>
          <cell r="B49" t="str">
            <v>LEVINDALE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210065</v>
          </cell>
          <cell r="B50" t="str">
            <v>HOLY CROSS GERMANTOWN</v>
          </cell>
          <cell r="C50">
            <v>1119.9812880000002</v>
          </cell>
          <cell r="D50">
            <v>5067.1977490000072</v>
          </cell>
          <cell r="E50">
            <v>0.22102577074696253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 PAU%"/>
      <sheetName val="7a.Savings"/>
      <sheetName val="7. PAU Savings to Use"/>
      <sheetName val="7. PAU Savings Compare Methods"/>
    </sheetNames>
    <sheetDataSet>
      <sheetData sheetId="0"/>
      <sheetData sheetId="1"/>
      <sheetData sheetId="2">
        <row r="1">
          <cell r="A1" t="str">
            <v>PAU  Savings Reductions FY2018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Hosp ID</v>
          </cell>
          <cell r="B2" t="str">
            <v>Hospital Name</v>
          </cell>
          <cell r="C2" t="str">
            <v xml:space="preserve"> RY17 Permanent Total Revenue</v>
          </cell>
          <cell r="D2" t="str">
            <v xml:space="preserve">CY16 PAU % </v>
          </cell>
          <cell r="E2" t="str">
            <v>RY18 PAU Savings Adjustment</v>
          </cell>
          <cell r="F2" t="str">
            <v>RY18 PAU Savings Adjustment Before Protections</v>
          </cell>
          <cell r="G2" t="str">
            <v>CY 16 % ECMAD Inpatient Medicaid &amp; Self-Pay Charity</v>
          </cell>
          <cell r="H2" t="str">
            <v>RY18 PAU Savings Adjust w/ Protection (%)</v>
          </cell>
          <cell r="I2" t="str">
            <v>RY18 PAU Savings with Protections Revenue Impact ($)</v>
          </cell>
        </row>
        <row r="3">
          <cell r="A3">
            <v>0</v>
          </cell>
          <cell r="B3">
            <v>0</v>
          </cell>
          <cell r="C3" t="str">
            <v>A</v>
          </cell>
          <cell r="D3" t="str">
            <v>B</v>
          </cell>
          <cell r="E3" t="str">
            <v>C = B * Savings Adjustment</v>
          </cell>
          <cell r="F3" t="str">
            <v>D = A*C</v>
          </cell>
          <cell r="G3" t="str">
            <v>E</v>
          </cell>
          <cell r="H3" t="str">
            <v>F</v>
          </cell>
          <cell r="I3" t="str">
            <v>G = A*F</v>
          </cell>
        </row>
        <row r="4">
          <cell r="A4">
            <v>210006</v>
          </cell>
          <cell r="B4" t="str">
            <v>HARFORD</v>
          </cell>
          <cell r="C4">
            <v>99998181.674917936</v>
          </cell>
          <cell r="D4">
            <v>0.1817</v>
          </cell>
          <cell r="E4">
            <v>-2.5247265193370165E-2</v>
          </cell>
          <cell r="F4">
            <v>-2524680.6116014617</v>
          </cell>
          <cell r="G4">
            <v>0.1801233286812273</v>
          </cell>
          <cell r="H4">
            <v>-2.5247265193370165E-2</v>
          </cell>
          <cell r="I4">
            <v>-2524680.6116014617</v>
          </cell>
        </row>
        <row r="5">
          <cell r="A5">
            <v>210051</v>
          </cell>
          <cell r="B5" t="str">
            <v>DOCTORS</v>
          </cell>
          <cell r="C5">
            <v>226126371.44084978</v>
          </cell>
          <cell r="D5">
            <v>0.16889999999999999</v>
          </cell>
          <cell r="E5">
            <v>-2.3468701657458561E-2</v>
          </cell>
          <cell r="F5">
            <v>-5306892.3482289612</v>
          </cell>
          <cell r="G5">
            <v>0.18748402401145148</v>
          </cell>
          <cell r="H5">
            <v>-2.3468701657458561E-2</v>
          </cell>
          <cell r="I5">
            <v>-5306892.3482289612</v>
          </cell>
        </row>
        <row r="6">
          <cell r="A6">
            <v>210040</v>
          </cell>
          <cell r="B6" t="str">
            <v>NORTHWEST</v>
          </cell>
          <cell r="C6">
            <v>248058563.70547232</v>
          </cell>
          <cell r="D6">
            <v>0.1623</v>
          </cell>
          <cell r="E6">
            <v>-2.2551629834254142E-2</v>
          </cell>
          <cell r="F6">
            <v>-5594124.9059025608</v>
          </cell>
          <cell r="G6">
            <v>0.21222640656172975</v>
          </cell>
          <cell r="H6">
            <v>-2.2551629834254142E-2</v>
          </cell>
          <cell r="I6">
            <v>-5594124.9059025608</v>
          </cell>
        </row>
        <row r="7">
          <cell r="A7">
            <v>210062</v>
          </cell>
          <cell r="B7" t="str">
            <v>SOUTHERN MARYLAND</v>
          </cell>
          <cell r="C7">
            <v>269769527.89929265</v>
          </cell>
          <cell r="D7">
            <v>0.1552</v>
          </cell>
          <cell r="E7">
            <v>-2.1565082872928177E-2</v>
          </cell>
          <cell r="F7">
            <v>-5817602.2257389557</v>
          </cell>
          <cell r="G7">
            <v>0.21045523030934513</v>
          </cell>
          <cell r="H7">
            <v>-2.1565082872928177E-2</v>
          </cell>
          <cell r="I7">
            <v>-5817602.2257389557</v>
          </cell>
        </row>
        <row r="8">
          <cell r="A8">
            <v>210060</v>
          </cell>
          <cell r="B8" t="str">
            <v>FT. WASHINGTON</v>
          </cell>
          <cell r="C8">
            <v>47023363.200475924</v>
          </cell>
          <cell r="D8">
            <v>0.1547</v>
          </cell>
          <cell r="E8">
            <v>-2.1495607734806629E-2</v>
          </cell>
          <cell r="F8">
            <v>-1010795.7697287716</v>
          </cell>
          <cell r="G8">
            <v>0.18458502175298511</v>
          </cell>
          <cell r="H8">
            <v>-2.1495607734806629E-2</v>
          </cell>
          <cell r="I8">
            <v>-1010795.7697287716</v>
          </cell>
        </row>
        <row r="9">
          <cell r="A9">
            <v>210030</v>
          </cell>
          <cell r="B9" t="str">
            <v>CHESTERTOWN</v>
          </cell>
          <cell r="C9">
            <v>54289889.476789556</v>
          </cell>
          <cell r="D9">
            <v>0.14810000000000001</v>
          </cell>
          <cell r="E9">
            <v>-2.0578535911602209E-2</v>
          </cell>
          <cell r="F9">
            <v>-1117206.4402350287</v>
          </cell>
          <cell r="G9">
            <v>0.12332440091742483</v>
          </cell>
          <cell r="H9">
            <v>-2.0578535911602209E-2</v>
          </cell>
          <cell r="I9">
            <v>-1117206.4402350287</v>
          </cell>
        </row>
        <row r="10">
          <cell r="A10">
            <v>210056</v>
          </cell>
          <cell r="B10" t="str">
            <v>GOOD SAMARITAN</v>
          </cell>
          <cell r="C10">
            <v>284642444.60345876</v>
          </cell>
          <cell r="D10">
            <v>0.14779999999999999</v>
          </cell>
          <cell r="E10">
            <v>-2.0536850828729279E-2</v>
          </cell>
          <cell r="F10">
            <v>-5845659.4243460698</v>
          </cell>
          <cell r="G10">
            <v>0.20393336187509101</v>
          </cell>
          <cell r="H10">
            <v>-2.0536850828729279E-2</v>
          </cell>
          <cell r="I10">
            <v>-5845659.4243460698</v>
          </cell>
        </row>
        <row r="11">
          <cell r="A11">
            <v>210043</v>
          </cell>
          <cell r="B11" t="str">
            <v>BALTIMORE WASHINGTON</v>
          </cell>
          <cell r="C11">
            <v>398733080.05136144</v>
          </cell>
          <cell r="D11">
            <v>0.14630000000000001</v>
          </cell>
          <cell r="E11">
            <v>-2.032842541436464E-2</v>
          </cell>
          <cell r="F11">
            <v>-8105615.6780639868</v>
          </cell>
          <cell r="G11">
            <v>0.17497640899829275</v>
          </cell>
          <cell r="H11">
            <v>-2.032842541436464E-2</v>
          </cell>
          <cell r="I11">
            <v>-8105615.6780639868</v>
          </cell>
        </row>
        <row r="12">
          <cell r="A12">
            <v>210035</v>
          </cell>
          <cell r="B12" t="str">
            <v>CHARLES REGIONAL</v>
          </cell>
          <cell r="C12">
            <v>143723289.00523552</v>
          </cell>
          <cell r="D12">
            <v>0.1404</v>
          </cell>
          <cell r="E12">
            <v>-1.9508618784530387E-2</v>
          </cell>
          <cell r="F12">
            <v>-2803842.8556620274</v>
          </cell>
          <cell r="G12">
            <v>0.17945516609231005</v>
          </cell>
          <cell r="H12">
            <v>-1.9508618784530387E-2</v>
          </cell>
          <cell r="I12">
            <v>-2803842.8556620274</v>
          </cell>
        </row>
        <row r="13">
          <cell r="A13">
            <v>210033</v>
          </cell>
          <cell r="B13" t="str">
            <v>CARROLL COUNTY</v>
          </cell>
          <cell r="C13">
            <v>223662684.12126514</v>
          </cell>
          <cell r="D13">
            <v>0.13969999999999999</v>
          </cell>
          <cell r="E13">
            <v>-1.9411353591160221E-2</v>
          </cell>
          <cell r="F13">
            <v>-4341595.4466258539</v>
          </cell>
          <cell r="G13">
            <v>0.13668174278253953</v>
          </cell>
          <cell r="H13">
            <v>-1.9411353591160221E-2</v>
          </cell>
          <cell r="I13">
            <v>-4341595.4466258539</v>
          </cell>
        </row>
        <row r="14">
          <cell r="A14">
            <v>210011</v>
          </cell>
          <cell r="B14" t="str">
            <v>ST. AGNES</v>
          </cell>
          <cell r="C14">
            <v>416466585.77068943</v>
          </cell>
          <cell r="D14">
            <v>0.13950000000000001</v>
          </cell>
          <cell r="E14">
            <v>-1.9383563535911603E-2</v>
          </cell>
          <cell r="F14">
            <v>-8072606.5258703372</v>
          </cell>
          <cell r="G14">
            <v>0.23429277389044456</v>
          </cell>
          <cell r="H14">
            <v>-1.9383563535911603E-2</v>
          </cell>
          <cell r="I14">
            <v>-8072606.5258703372</v>
          </cell>
        </row>
        <row r="15">
          <cell r="A15">
            <v>210001</v>
          </cell>
          <cell r="B15" t="str">
            <v>MERITUS</v>
          </cell>
          <cell r="C15">
            <v>314827421.54032868</v>
          </cell>
          <cell r="D15">
            <v>0.12620000000000001</v>
          </cell>
          <cell r="E15">
            <v>-1.7535524861878454E-2</v>
          </cell>
          <cell r="F15">
            <v>-5520664.0776215224</v>
          </cell>
          <cell r="G15">
            <v>0.18695781866458891</v>
          </cell>
          <cell r="H15">
            <v>-1.7535524861878454E-2</v>
          </cell>
          <cell r="I15">
            <v>-5520664.0776215224</v>
          </cell>
        </row>
        <row r="16">
          <cell r="A16">
            <v>210048</v>
          </cell>
          <cell r="B16" t="str">
            <v>HOWARD COUNTY</v>
          </cell>
          <cell r="C16">
            <v>291104867.36417735</v>
          </cell>
          <cell r="D16">
            <v>0.1245</v>
          </cell>
          <cell r="E16">
            <v>-1.7299309392265191E-2</v>
          </cell>
          <cell r="F16">
            <v>-5035913.1661272263</v>
          </cell>
          <cell r="G16">
            <v>0.15499649855671738</v>
          </cell>
          <cell r="H16">
            <v>-1.7299309392265191E-2</v>
          </cell>
          <cell r="I16">
            <v>-5035913.1661272263</v>
          </cell>
        </row>
        <row r="17">
          <cell r="A17">
            <v>210018</v>
          </cell>
          <cell r="B17" t="str">
            <v>MONTGOMERY GENERAL</v>
          </cell>
          <cell r="C17">
            <v>169927186.4268879</v>
          </cell>
          <cell r="D17">
            <v>0.1191</v>
          </cell>
          <cell r="E17">
            <v>-1.6548977900552486E-2</v>
          </cell>
          <cell r="F17">
            <v>-2812121.2528816303</v>
          </cell>
          <cell r="G17">
            <v>0.15256282452936382</v>
          </cell>
          <cell r="H17">
            <v>-1.6548977900552486E-2</v>
          </cell>
          <cell r="I17">
            <v>-2812121.2528816303</v>
          </cell>
        </row>
        <row r="18">
          <cell r="A18">
            <v>210004</v>
          </cell>
          <cell r="B18" t="str">
            <v>HOLY CROSS</v>
          </cell>
          <cell r="C18">
            <v>479646982.67091691</v>
          </cell>
          <cell r="D18">
            <v>0.11844076454234481</v>
          </cell>
          <cell r="E18">
            <v>-1.6457376951602053E-2</v>
          </cell>
          <cell r="F18">
            <v>-7893731.1975138178</v>
          </cell>
          <cell r="G18">
            <v>0.22237996931205087</v>
          </cell>
          <cell r="H18">
            <v>-1.6457376951602053E-2</v>
          </cell>
          <cell r="I18">
            <v>-7893731.1975138178</v>
          </cell>
        </row>
        <row r="19">
          <cell r="A19">
            <v>210065</v>
          </cell>
          <cell r="B19" t="str">
            <v>HC GERMANTOWN</v>
          </cell>
          <cell r="C19">
            <v>100218430.75360398</v>
          </cell>
          <cell r="D19">
            <v>0.11844076454234481</v>
          </cell>
          <cell r="E19">
            <v>-1.6457376951602053E-2</v>
          </cell>
          <cell r="F19">
            <v>-1649332.4924100887</v>
          </cell>
          <cell r="G19">
            <v>0.21980687712968106</v>
          </cell>
          <cell r="H19">
            <v>-1.6457376951602053E-2</v>
          </cell>
          <cell r="I19">
            <v>-1649332.4924100887</v>
          </cell>
        </row>
        <row r="20">
          <cell r="A20">
            <v>210019</v>
          </cell>
          <cell r="B20" t="str">
            <v>PENINSULA REGIONAL</v>
          </cell>
          <cell r="C20">
            <v>419622018.07330406</v>
          </cell>
          <cell r="D20">
            <v>0.11650000000000001</v>
          </cell>
          <cell r="E20">
            <v>-1.6187707182320443E-2</v>
          </cell>
          <cell r="F20">
            <v>-6792718.3558250228</v>
          </cell>
          <cell r="G20">
            <v>0.18007738358076714</v>
          </cell>
          <cell r="H20">
            <v>-1.6187707182320443E-2</v>
          </cell>
          <cell r="I20">
            <v>-6792718.3558250228</v>
          </cell>
        </row>
        <row r="21">
          <cell r="A21">
            <v>210028</v>
          </cell>
          <cell r="B21" t="str">
            <v>ST. MARY</v>
          </cell>
          <cell r="C21">
            <v>172574583.12305424</v>
          </cell>
          <cell r="D21">
            <v>0.11409999999999999</v>
          </cell>
          <cell r="E21">
            <v>-1.5854226519337013E-2</v>
          </cell>
          <cell r="F21">
            <v>-2736036.5323130563</v>
          </cell>
          <cell r="G21">
            <v>0.19466216581256487</v>
          </cell>
          <cell r="H21">
            <v>-1.5854226519337013E-2</v>
          </cell>
          <cell r="I21">
            <v>-2736036.5323130563</v>
          </cell>
        </row>
        <row r="22">
          <cell r="A22">
            <v>210037</v>
          </cell>
          <cell r="B22" t="str">
            <v>EASTON</v>
          </cell>
          <cell r="C22">
            <v>195481707.33592737</v>
          </cell>
          <cell r="D22">
            <v>0.114</v>
          </cell>
          <cell r="E22">
            <v>-1.5840331491712708E-2</v>
          </cell>
          <cell r="F22">
            <v>-3096495.0447670575</v>
          </cell>
          <cell r="G22">
            <v>0.17245873435127057</v>
          </cell>
          <cell r="H22">
            <v>-1.5840331491712708E-2</v>
          </cell>
          <cell r="I22">
            <v>-3096495.0447670575</v>
          </cell>
        </row>
        <row r="23">
          <cell r="A23">
            <v>210039</v>
          </cell>
          <cell r="B23" t="str">
            <v>CALVERT</v>
          </cell>
          <cell r="C23">
            <v>141821982.83853084</v>
          </cell>
          <cell r="D23">
            <v>0.1139</v>
          </cell>
          <cell r="E23">
            <v>-1.5826436464088399E-2</v>
          </cell>
          <cell r="F23">
            <v>-2244536.6006050436</v>
          </cell>
          <cell r="G23">
            <v>0.16250723104476514</v>
          </cell>
          <cell r="H23">
            <v>-1.5826436464088399E-2</v>
          </cell>
          <cell r="I23">
            <v>-2244536.6006050436</v>
          </cell>
        </row>
        <row r="24">
          <cell r="A24">
            <v>210005</v>
          </cell>
          <cell r="B24" t="str">
            <v>FREDERICK MEMORIAL</v>
          </cell>
          <cell r="C24">
            <v>329156555.26745152</v>
          </cell>
          <cell r="D24">
            <v>0.1108</v>
          </cell>
          <cell r="E24">
            <v>-1.5395690607734805E-2</v>
          </cell>
          <cell r="F24">
            <v>-5067592.4864054462</v>
          </cell>
          <cell r="G24">
            <v>7.3618914585116768E-2</v>
          </cell>
          <cell r="H24">
            <v>-1.5395690607734805E-2</v>
          </cell>
          <cell r="I24">
            <v>-5067592.4864054462</v>
          </cell>
        </row>
        <row r="25">
          <cell r="A25">
            <v>210022</v>
          </cell>
          <cell r="B25" t="str">
            <v>SUBURBAN</v>
          </cell>
          <cell r="C25">
            <v>296104139.9732101</v>
          </cell>
          <cell r="D25">
            <v>0.109</v>
          </cell>
          <cell r="E25">
            <v>-1.5145580110497237E-2</v>
          </cell>
          <cell r="F25">
            <v>-4484668.9730141405</v>
          </cell>
          <cell r="G25">
            <v>8.4666429777591937E-2</v>
          </cell>
          <cell r="H25">
            <v>-1.5145580110497237E-2</v>
          </cell>
          <cell r="I25">
            <v>-4484668.9730141405</v>
          </cell>
        </row>
        <row r="26">
          <cell r="A26">
            <v>210003</v>
          </cell>
          <cell r="B26" t="str">
            <v>PRINCE GEORGE</v>
          </cell>
          <cell r="C26">
            <v>286573599.34172285</v>
          </cell>
          <cell r="D26">
            <v>0.13189999999999999</v>
          </cell>
          <cell r="E26">
            <v>-1.8327541436464086E-2</v>
          </cell>
          <cell r="F26">
            <v>-5252189.516532083</v>
          </cell>
          <cell r="G26">
            <v>0.42752867280351731</v>
          </cell>
          <cell r="H26">
            <v>-1.5089999999999999E-2</v>
          </cell>
          <cell r="I26">
            <v>-4324395.6140665971</v>
          </cell>
        </row>
        <row r="27">
          <cell r="A27">
            <v>210010</v>
          </cell>
          <cell r="B27" t="str">
            <v>DORCHESTER</v>
          </cell>
          <cell r="C27">
            <v>48094356.639089793</v>
          </cell>
          <cell r="D27">
            <v>0.1971</v>
          </cell>
          <cell r="E27">
            <v>-2.7387099447513812E-2</v>
          </cell>
          <cell r="F27">
            <v>-1317164.9281389483</v>
          </cell>
          <cell r="G27">
            <v>0.25452045898973108</v>
          </cell>
          <cell r="H27">
            <v>-1.5089999999999999E-2</v>
          </cell>
          <cell r="I27">
            <v>-725743.84168386494</v>
          </cell>
        </row>
        <row r="28">
          <cell r="A28">
            <v>210013</v>
          </cell>
          <cell r="B28" t="str">
            <v>BON SECOURS</v>
          </cell>
          <cell r="C28">
            <v>114232762.97600678</v>
          </cell>
          <cell r="D28">
            <v>0.1888</v>
          </cell>
          <cell r="E28">
            <v>-2.623381215469613E-2</v>
          </cell>
          <cell r="F28">
            <v>-2996760.8458244884</v>
          </cell>
          <cell r="G28">
            <v>0.5997253317737401</v>
          </cell>
          <cell r="H28">
            <v>-1.5089999999999999E-2</v>
          </cell>
          <cell r="I28">
            <v>-1723772.3933079422</v>
          </cell>
        </row>
        <row r="29">
          <cell r="A29">
            <v>210015</v>
          </cell>
          <cell r="B29" t="str">
            <v>FRANKLIN SQUARE</v>
          </cell>
          <cell r="C29">
            <v>492402641.10535282</v>
          </cell>
          <cell r="D29">
            <v>0.1502</v>
          </cell>
          <cell r="E29">
            <v>-2.0870331491712708E-2</v>
          </cell>
          <cell r="F29">
            <v>-10276606.347263556</v>
          </cell>
          <cell r="G29">
            <v>0.26747387011928803</v>
          </cell>
          <cell r="H29">
            <v>-1.5089999999999999E-2</v>
          </cell>
          <cell r="I29">
            <v>-7430355.8542797733</v>
          </cell>
        </row>
        <row r="30">
          <cell r="A30">
            <v>210016</v>
          </cell>
          <cell r="B30" t="str">
            <v>WASHINGTON ADVENTIST</v>
          </cell>
          <cell r="C30">
            <v>258319310.34354857</v>
          </cell>
          <cell r="D30">
            <v>0.1242</v>
          </cell>
          <cell r="E30">
            <v>-1.7257624309392264E-2</v>
          </cell>
          <cell r="F30">
            <v>-4457977.6097702682</v>
          </cell>
          <cell r="G30">
            <v>0.30467071834925741</v>
          </cell>
          <cell r="H30">
            <v>-1.5089999999999999E-2</v>
          </cell>
          <cell r="I30">
            <v>-3898038.3930841475</v>
          </cell>
        </row>
        <row r="31">
          <cell r="A31">
            <v>210029</v>
          </cell>
          <cell r="B31" t="str">
            <v>HOPKINS BAYVIEW</v>
          </cell>
          <cell r="C31">
            <v>620440468.66345155</v>
          </cell>
          <cell r="D31">
            <v>0.12379999999999999</v>
          </cell>
          <cell r="E31">
            <v>-1.7202044198895025E-2</v>
          </cell>
          <cell r="F31">
            <v>-10672844.364731837</v>
          </cell>
          <cell r="G31">
            <v>0.29091001440476127</v>
          </cell>
          <cell r="H31">
            <v>-1.5089999999999999E-2</v>
          </cell>
          <cell r="I31">
            <v>-9362446.6721314844</v>
          </cell>
        </row>
        <row r="32">
          <cell r="A32">
            <v>210032</v>
          </cell>
          <cell r="B32" t="str">
            <v>UNION OF CECIL</v>
          </cell>
          <cell r="C32">
            <v>156358285.34786147</v>
          </cell>
          <cell r="D32">
            <v>0.12609999999999999</v>
          </cell>
          <cell r="E32">
            <v>-1.7521629834254142E-2</v>
          </cell>
          <cell r="F32">
            <v>-2739651.9973839116</v>
          </cell>
          <cell r="G32">
            <v>0.26427855515882831</v>
          </cell>
          <cell r="H32">
            <v>-1.5089999999999999E-2</v>
          </cell>
          <cell r="I32">
            <v>-2359446.5258992296</v>
          </cell>
        </row>
        <row r="33">
          <cell r="A33">
            <v>210034</v>
          </cell>
          <cell r="B33" t="str">
            <v>HARBOR</v>
          </cell>
          <cell r="C33">
            <v>190469978.92774805</v>
          </cell>
          <cell r="D33">
            <v>0.14030000000000001</v>
          </cell>
          <cell r="E33">
            <v>-1.9494723756906078E-2</v>
          </cell>
          <cell r="F33">
            <v>-3713159.6231801701</v>
          </cell>
          <cell r="G33">
            <v>0.32386274396254255</v>
          </cell>
          <cell r="H33">
            <v>-1.5089999999999999E-2</v>
          </cell>
          <cell r="I33">
            <v>-2874191.9820197178</v>
          </cell>
        </row>
        <row r="34">
          <cell r="A34">
            <v>210038</v>
          </cell>
          <cell r="B34" t="str">
            <v>UMMC MIDTOWN</v>
          </cell>
          <cell r="C34">
            <v>228124869.21804473</v>
          </cell>
          <cell r="D34">
            <v>0.15040000000000001</v>
          </cell>
          <cell r="E34">
            <v>-2.0898121546961326E-2</v>
          </cell>
          <cell r="F34">
            <v>-4767381.2448033551</v>
          </cell>
          <cell r="G34">
            <v>0.42150373875533775</v>
          </cell>
          <cell r="H34">
            <v>-1.5089999999999999E-2</v>
          </cell>
          <cell r="I34">
            <v>-3442404.2765002949</v>
          </cell>
        </row>
        <row r="35">
          <cell r="A35">
            <v>210055</v>
          </cell>
          <cell r="B35" t="str">
            <v>LAUREL REGIONAL</v>
          </cell>
          <cell r="C35">
            <v>98343285.555873096</v>
          </cell>
          <cell r="D35">
            <v>0.14030000000000001</v>
          </cell>
          <cell r="E35">
            <v>-1.9494723756906078E-2</v>
          </cell>
          <cell r="F35">
            <v>-1917175.1852582777</v>
          </cell>
          <cell r="G35">
            <v>0.29369244228517782</v>
          </cell>
          <cell r="H35">
            <v>-1.5089999999999999E-2</v>
          </cell>
          <cell r="I35">
            <v>-1484000.1790381249</v>
          </cell>
        </row>
        <row r="36">
          <cell r="A36">
            <v>210049</v>
          </cell>
          <cell r="B36" t="str">
            <v>UPPER CHESAPEAKE</v>
          </cell>
          <cell r="C36">
            <v>325619299.75845551</v>
          </cell>
          <cell r="D36">
            <v>0.1085</v>
          </cell>
          <cell r="E36">
            <v>-1.507610497237569E-2</v>
          </cell>
          <cell r="F36">
            <v>-4909070.7441899413</v>
          </cell>
          <cell r="G36">
            <v>0.11394384088741014</v>
          </cell>
          <cell r="H36">
            <v>-1.507610497237569E-2</v>
          </cell>
          <cell r="I36">
            <v>-4909070.7441899413</v>
          </cell>
        </row>
        <row r="37">
          <cell r="A37">
            <v>210027</v>
          </cell>
          <cell r="B37" t="str">
            <v>WESTERN MARYLAND</v>
          </cell>
          <cell r="C37">
            <v>316661093.46698833</v>
          </cell>
          <cell r="D37">
            <v>0.1071</v>
          </cell>
          <cell r="E37">
            <v>-1.4881574585635359E-2</v>
          </cell>
          <cell r="F37">
            <v>-4712415.6807978367</v>
          </cell>
          <cell r="G37">
            <v>0.14370693442897625</v>
          </cell>
          <cell r="H37">
            <v>-1.4881574585635359E-2</v>
          </cell>
          <cell r="I37">
            <v>-4712415.6807978367</v>
          </cell>
        </row>
        <row r="38">
          <cell r="A38">
            <v>210024</v>
          </cell>
          <cell r="B38" t="str">
            <v>UNION MEMORIAL</v>
          </cell>
          <cell r="C38">
            <v>414710551.96141511</v>
          </cell>
          <cell r="D38">
            <v>9.9900000000000003E-2</v>
          </cell>
          <cell r="E38">
            <v>-1.3881132596685082E-2</v>
          </cell>
          <cell r="F38">
            <v>-5756652.1610208619</v>
          </cell>
          <cell r="G38">
            <v>0.18792885928076192</v>
          </cell>
          <cell r="H38">
            <v>-1.3881132596685082E-2</v>
          </cell>
          <cell r="I38">
            <v>-5756652.1610208619</v>
          </cell>
        </row>
        <row r="39">
          <cell r="A39">
            <v>210057</v>
          </cell>
          <cell r="B39" t="str">
            <v>SHADY GROVE</v>
          </cell>
          <cell r="C39">
            <v>376694222.12761396</v>
          </cell>
          <cell r="D39">
            <v>9.8599999999999993E-2</v>
          </cell>
          <cell r="E39">
            <v>-1.3700497237569059E-2</v>
          </cell>
          <cell r="F39">
            <v>-5160898.1496676002</v>
          </cell>
          <cell r="G39">
            <v>0.19173601397049636</v>
          </cell>
          <cell r="H39">
            <v>-1.3700497237569059E-2</v>
          </cell>
          <cell r="I39">
            <v>-5160898.1496676002</v>
          </cell>
        </row>
        <row r="40">
          <cell r="A40">
            <v>210045</v>
          </cell>
          <cell r="B40" t="str">
            <v>MCCREADY</v>
          </cell>
          <cell r="C40">
            <v>15530983.951463172</v>
          </cell>
          <cell r="D40">
            <v>9.6500000000000002E-2</v>
          </cell>
          <cell r="E40">
            <v>-1.3408701657458564E-2</v>
          </cell>
          <cell r="F40">
            <v>-208250.33025194658</v>
          </cell>
          <cell r="G40">
            <v>0.14526148717854589</v>
          </cell>
          <cell r="H40">
            <v>-1.3408701657458564E-2</v>
          </cell>
          <cell r="I40">
            <v>-208250.33025194658</v>
          </cell>
        </row>
        <row r="41">
          <cell r="A41">
            <v>210012</v>
          </cell>
          <cell r="B41" t="str">
            <v>SINAI</v>
          </cell>
          <cell r="C41">
            <v>709153889.58606744</v>
          </cell>
          <cell r="D41">
            <v>9.2600000000000002E-2</v>
          </cell>
          <cell r="E41">
            <v>-1.2866795580110496E-2</v>
          </cell>
          <cell r="F41">
            <v>-9124538.1321441792</v>
          </cell>
          <cell r="G41">
            <v>0.24007751817488948</v>
          </cell>
          <cell r="H41">
            <v>-1.2866795580110496E-2</v>
          </cell>
          <cell r="I41">
            <v>-9124538.1321441792</v>
          </cell>
        </row>
        <row r="42">
          <cell r="A42">
            <v>210044</v>
          </cell>
          <cell r="B42" t="str">
            <v>G.B.M.C.</v>
          </cell>
          <cell r="C42">
            <v>435420575.16373044</v>
          </cell>
          <cell r="D42">
            <v>8.7800000000000003E-2</v>
          </cell>
          <cell r="E42">
            <v>-1.2199834254143647E-2</v>
          </cell>
          <cell r="F42">
            <v>-5312058.8478414072</v>
          </cell>
          <cell r="G42">
            <v>0.10338047897472989</v>
          </cell>
          <cell r="H42">
            <v>-1.2199834254143647E-2</v>
          </cell>
          <cell r="I42">
            <v>-5312058.8478414072</v>
          </cell>
        </row>
        <row r="43">
          <cell r="A43">
            <v>210009</v>
          </cell>
          <cell r="B43" t="str">
            <v>JOHNS HOPKINS</v>
          </cell>
          <cell r="C43">
            <v>2229450835.1653261</v>
          </cell>
          <cell r="D43">
            <v>8.6099999999999996E-2</v>
          </cell>
          <cell r="E43">
            <v>-1.1963618784530386E-2</v>
          </cell>
          <cell r="F43">
            <v>-26672299.890770853</v>
          </cell>
          <cell r="G43">
            <v>0.23440859608980114</v>
          </cell>
          <cell r="H43">
            <v>-1.1963618784530386E-2</v>
          </cell>
          <cell r="I43">
            <v>-26672299.890770853</v>
          </cell>
        </row>
        <row r="44">
          <cell r="A44">
            <v>210023</v>
          </cell>
          <cell r="B44" t="str">
            <v>ANNE ARUNDEL</v>
          </cell>
          <cell r="C44">
            <v>575908245.48075807</v>
          </cell>
          <cell r="D44">
            <v>8.5999999999999993E-2</v>
          </cell>
          <cell r="E44">
            <v>-1.1949723756906077E-2</v>
          </cell>
          <cell r="F44">
            <v>-6881944.4428195115</v>
          </cell>
          <cell r="G44">
            <v>0.11898177767019182</v>
          </cell>
          <cell r="H44">
            <v>-1.1949723756906077E-2</v>
          </cell>
          <cell r="I44">
            <v>-6881944.4428195115</v>
          </cell>
        </row>
        <row r="45">
          <cell r="A45">
            <v>210063</v>
          </cell>
          <cell r="B45" t="str">
            <v>UM ST. JOSEPH</v>
          </cell>
          <cell r="C45">
            <v>388253806.68760508</v>
          </cell>
          <cell r="D45">
            <v>8.5699999999999998E-2</v>
          </cell>
          <cell r="E45">
            <v>-1.1908038674033148E-2</v>
          </cell>
          <cell r="F45">
            <v>-4623341.3453765912</v>
          </cell>
          <cell r="G45">
            <v>0.11266778885132996</v>
          </cell>
          <cell r="H45">
            <v>-1.1908038674033148E-2</v>
          </cell>
          <cell r="I45">
            <v>-4623341.3453765912</v>
          </cell>
        </row>
        <row r="46">
          <cell r="A46">
            <v>210061</v>
          </cell>
          <cell r="B46" t="str">
            <v>ATLANTIC GENERAL</v>
          </cell>
          <cell r="C46">
            <v>102841659.37371093</v>
          </cell>
          <cell r="D46">
            <v>8.2600000000000007E-2</v>
          </cell>
          <cell r="E46">
            <v>-1.1477292817679558E-2</v>
          </cell>
          <cell r="F46">
            <v>-1180343.8384881401</v>
          </cell>
          <cell r="G46">
            <v>0.12820553440203322</v>
          </cell>
          <cell r="H46">
            <v>-1.1477292817679558E-2</v>
          </cell>
          <cell r="I46">
            <v>-1180343.8384881401</v>
          </cell>
        </row>
        <row r="47">
          <cell r="A47">
            <v>210017</v>
          </cell>
          <cell r="B47" t="str">
            <v>GARRETT COUNTY</v>
          </cell>
          <cell r="C47">
            <v>53507634.245051563</v>
          </cell>
          <cell r="D47">
            <v>8.1500000000000003E-2</v>
          </cell>
          <cell r="E47">
            <v>-1.1324447513812154E-2</v>
          </cell>
          <cell r="F47">
            <v>-605944.39559634426</v>
          </cell>
          <cell r="G47">
            <v>0.15878475344993692</v>
          </cell>
          <cell r="H47">
            <v>-1.1324447513812154E-2</v>
          </cell>
          <cell r="I47">
            <v>-605944.39559634426</v>
          </cell>
        </row>
        <row r="48">
          <cell r="A48">
            <v>210064</v>
          </cell>
          <cell r="B48" t="str">
            <v>LEVINDALE</v>
          </cell>
          <cell r="C48">
            <v>57520942.329999201</v>
          </cell>
          <cell r="D48">
            <v>7.6499999999999999E-2</v>
          </cell>
          <cell r="E48">
            <v>-1.0629696132596685E-2</v>
          </cell>
          <cell r="F48">
            <v>-611430.13822850946</v>
          </cell>
          <cell r="G48">
            <v>5.7032807347420306E-2</v>
          </cell>
          <cell r="H48">
            <v>-1.0629696132596685E-2</v>
          </cell>
          <cell r="I48">
            <v>-611430.13822850946</v>
          </cell>
        </row>
        <row r="49">
          <cell r="A49">
            <v>210002</v>
          </cell>
          <cell r="B49" t="str">
            <v>UNIVERSITY OF MARYLAND</v>
          </cell>
          <cell r="C49">
            <v>1316372490.8554552</v>
          </cell>
          <cell r="D49">
            <v>7.3800000000000004E-2</v>
          </cell>
          <cell r="E49">
            <v>-1.0254530386740332E-2</v>
          </cell>
          <cell r="F49">
            <v>-13498781.707746325</v>
          </cell>
          <cell r="G49">
            <v>0.30644855930898979</v>
          </cell>
          <cell r="H49">
            <v>-1.0254530386740332E-2</v>
          </cell>
          <cell r="I49">
            <v>-13498781.707746325</v>
          </cell>
        </row>
        <row r="50">
          <cell r="A50">
            <v>210008</v>
          </cell>
          <cell r="B50" t="str">
            <v>MERCY</v>
          </cell>
          <cell r="C50">
            <v>502208026.60543424</v>
          </cell>
          <cell r="D50">
            <v>5.2499999999999998E-2</v>
          </cell>
          <cell r="E50">
            <v>-7.2948895027624304E-3</v>
          </cell>
          <cell r="F50">
            <v>-3663552.0614870177</v>
          </cell>
          <cell r="G50">
            <v>0.24459207803615776</v>
          </cell>
          <cell r="H50">
            <v>-7.2948895027624304E-3</v>
          </cell>
          <cell r="I50">
            <v>-3663552.0614870177</v>
          </cell>
        </row>
        <row r="51">
          <cell r="A51">
            <v>210058</v>
          </cell>
          <cell r="B51" t="str">
            <v>REHAB &amp; ORTHO</v>
          </cell>
          <cell r="C51">
            <v>117465700.94043674</v>
          </cell>
          <cell r="D51">
            <v>3.2000000000000002E-3</v>
          </cell>
          <cell r="E51">
            <v>-4.4464088397790053E-4</v>
          </cell>
          <cell r="F51">
            <v>-8356.8084965183189</v>
          </cell>
          <cell r="G51">
            <v>0.24037348299486275</v>
          </cell>
          <cell r="H51">
            <v>-7.1142541436464081E-5</v>
          </cell>
          <cell r="I51">
            <v>-8356.8084965183189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Total</v>
          </cell>
          <cell r="B53" t="str">
            <v>Total</v>
          </cell>
          <cell r="C53">
            <v>15753659372.135414</v>
          </cell>
          <cell r="D53">
            <v>0.1086</v>
          </cell>
          <cell r="E53">
            <v>-1.5089999999999999E-2</v>
          </cell>
          <cell r="F53">
            <v>-237722719.9255234</v>
          </cell>
          <cell r="G53">
            <v>0.20849853689304235</v>
          </cell>
          <cell r="H53">
            <v>0</v>
          </cell>
          <cell r="I53">
            <v>-228429106.81842282</v>
          </cell>
        </row>
        <row r="54">
          <cell r="I54">
            <v>-1.4500066392349523E-2</v>
          </cell>
        </row>
        <row r="55">
          <cell r="E55" t="str">
            <v>Top Percentile</v>
          </cell>
          <cell r="G55">
            <v>0.24142813175518651</v>
          </cell>
          <cell r="H55">
            <v>0</v>
          </cell>
          <cell r="I55">
            <v>0</v>
          </cell>
        </row>
        <row r="57">
          <cell r="A57" t="str">
            <v>Rehab and Ortho Revenue is adjusted to 16% of total FY 17 Permanent Inpatient Revenue </v>
          </cell>
        </row>
        <row r="58">
          <cell r="A58" t="str">
            <v>Percentages have been rounded for display but full numbers may be used in calculations. Final scaling percentages are rounded to two decimal places.</v>
          </cell>
        </row>
        <row r="59">
          <cell r="A59" t="str">
            <v xml:space="preserve">A combined PAU percent is used for Holy Cross and Holy Cross Germantown for savings but results are presented separately for reference 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1.PAU%"/>
      <sheetName val="2.Calculate Reduction"/>
      <sheetName val="3 Shared Savings "/>
      <sheetName val="4. Revenue"/>
      <sheetName val="5.% Medicaid"/>
      <sheetName val="6. ADI CY15"/>
      <sheetName val="7.%Dual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210010</v>
          </cell>
        </row>
        <row r="50">
          <cell r="A50" t="str">
            <v>Total</v>
          </cell>
          <cell r="B50" t="str">
            <v>Total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1"/>
  <sheetViews>
    <sheetView topLeftCell="A28" workbookViewId="0">
      <selection activeCell="L31" sqref="L31"/>
    </sheetView>
  </sheetViews>
  <sheetFormatPr defaultColWidth="9.28515625" defaultRowHeight="15" x14ac:dyDescent="0.2"/>
  <cols>
    <col min="1" max="1" width="12.28515625" style="3" customWidth="1"/>
    <col min="2" max="2" width="47.42578125" style="3" customWidth="1"/>
    <col min="3" max="3" width="20.28515625" style="2" customWidth="1"/>
    <col min="4" max="4" width="18.42578125" style="2" customWidth="1"/>
    <col min="5" max="5" width="20.28515625" style="2" customWidth="1"/>
    <col min="6" max="6" width="18.28515625" style="2" customWidth="1"/>
    <col min="7" max="7" width="16" style="2" customWidth="1"/>
    <col min="8" max="8" width="15.28515625" style="2" customWidth="1"/>
    <col min="9" max="9" width="9.42578125" style="2" customWidth="1"/>
    <col min="10" max="10" width="12.42578125" style="2" customWidth="1"/>
    <col min="11" max="226" width="9.28515625" style="3"/>
    <col min="227" max="227" width="12.28515625" style="3" customWidth="1"/>
    <col min="228" max="228" width="47.42578125" style="3" customWidth="1"/>
    <col min="229" max="229" width="21.7109375" style="3" customWidth="1"/>
    <col min="230" max="230" width="17.7109375" style="3" customWidth="1"/>
    <col min="231" max="232" width="18.28515625" style="3" customWidth="1"/>
    <col min="233" max="233" width="19.42578125" style="3" customWidth="1"/>
    <col min="234" max="234" width="9.28515625" style="3"/>
    <col min="235" max="235" width="17.7109375" style="3" customWidth="1"/>
    <col min="236" max="482" width="9.28515625" style="3"/>
    <col min="483" max="483" width="12.28515625" style="3" customWidth="1"/>
    <col min="484" max="484" width="47.42578125" style="3" customWidth="1"/>
    <col min="485" max="485" width="21.7109375" style="3" customWidth="1"/>
    <col min="486" max="486" width="17.7109375" style="3" customWidth="1"/>
    <col min="487" max="488" width="18.28515625" style="3" customWidth="1"/>
    <col min="489" max="489" width="19.42578125" style="3" customWidth="1"/>
    <col min="490" max="490" width="9.28515625" style="3"/>
    <col min="491" max="491" width="17.7109375" style="3" customWidth="1"/>
    <col min="492" max="738" width="9.28515625" style="3"/>
    <col min="739" max="739" width="12.28515625" style="3" customWidth="1"/>
    <col min="740" max="740" width="47.42578125" style="3" customWidth="1"/>
    <col min="741" max="741" width="21.7109375" style="3" customWidth="1"/>
    <col min="742" max="742" width="17.7109375" style="3" customWidth="1"/>
    <col min="743" max="744" width="18.28515625" style="3" customWidth="1"/>
    <col min="745" max="745" width="19.42578125" style="3" customWidth="1"/>
    <col min="746" max="746" width="9.28515625" style="3"/>
    <col min="747" max="747" width="17.7109375" style="3" customWidth="1"/>
    <col min="748" max="994" width="9.28515625" style="3"/>
    <col min="995" max="995" width="12.28515625" style="3" customWidth="1"/>
    <col min="996" max="996" width="47.42578125" style="3" customWidth="1"/>
    <col min="997" max="997" width="21.7109375" style="3" customWidth="1"/>
    <col min="998" max="998" width="17.7109375" style="3" customWidth="1"/>
    <col min="999" max="1000" width="18.28515625" style="3" customWidth="1"/>
    <col min="1001" max="1001" width="19.42578125" style="3" customWidth="1"/>
    <col min="1002" max="1002" width="9.28515625" style="3"/>
    <col min="1003" max="1003" width="17.7109375" style="3" customWidth="1"/>
    <col min="1004" max="1250" width="9.28515625" style="3"/>
    <col min="1251" max="1251" width="12.28515625" style="3" customWidth="1"/>
    <col min="1252" max="1252" width="47.42578125" style="3" customWidth="1"/>
    <col min="1253" max="1253" width="21.7109375" style="3" customWidth="1"/>
    <col min="1254" max="1254" width="17.7109375" style="3" customWidth="1"/>
    <col min="1255" max="1256" width="18.28515625" style="3" customWidth="1"/>
    <col min="1257" max="1257" width="19.42578125" style="3" customWidth="1"/>
    <col min="1258" max="1258" width="9.28515625" style="3"/>
    <col min="1259" max="1259" width="17.7109375" style="3" customWidth="1"/>
    <col min="1260" max="1506" width="9.28515625" style="3"/>
    <col min="1507" max="1507" width="12.28515625" style="3" customWidth="1"/>
    <col min="1508" max="1508" width="47.42578125" style="3" customWidth="1"/>
    <col min="1509" max="1509" width="21.7109375" style="3" customWidth="1"/>
    <col min="1510" max="1510" width="17.7109375" style="3" customWidth="1"/>
    <col min="1511" max="1512" width="18.28515625" style="3" customWidth="1"/>
    <col min="1513" max="1513" width="19.42578125" style="3" customWidth="1"/>
    <col min="1514" max="1514" width="9.28515625" style="3"/>
    <col min="1515" max="1515" width="17.7109375" style="3" customWidth="1"/>
    <col min="1516" max="1762" width="9.28515625" style="3"/>
    <col min="1763" max="1763" width="12.28515625" style="3" customWidth="1"/>
    <col min="1764" max="1764" width="47.42578125" style="3" customWidth="1"/>
    <col min="1765" max="1765" width="21.7109375" style="3" customWidth="1"/>
    <col min="1766" max="1766" width="17.7109375" style="3" customWidth="1"/>
    <col min="1767" max="1768" width="18.28515625" style="3" customWidth="1"/>
    <col min="1769" max="1769" width="19.42578125" style="3" customWidth="1"/>
    <col min="1770" max="1770" width="9.28515625" style="3"/>
    <col min="1771" max="1771" width="17.7109375" style="3" customWidth="1"/>
    <col min="1772" max="2018" width="9.28515625" style="3"/>
    <col min="2019" max="2019" width="12.28515625" style="3" customWidth="1"/>
    <col min="2020" max="2020" width="47.42578125" style="3" customWidth="1"/>
    <col min="2021" max="2021" width="21.7109375" style="3" customWidth="1"/>
    <col min="2022" max="2022" width="17.7109375" style="3" customWidth="1"/>
    <col min="2023" max="2024" width="18.28515625" style="3" customWidth="1"/>
    <col min="2025" max="2025" width="19.42578125" style="3" customWidth="1"/>
    <col min="2026" max="2026" width="9.28515625" style="3"/>
    <col min="2027" max="2027" width="17.7109375" style="3" customWidth="1"/>
    <col min="2028" max="2274" width="9.28515625" style="3"/>
    <col min="2275" max="2275" width="12.28515625" style="3" customWidth="1"/>
    <col min="2276" max="2276" width="47.42578125" style="3" customWidth="1"/>
    <col min="2277" max="2277" width="21.7109375" style="3" customWidth="1"/>
    <col min="2278" max="2278" width="17.7109375" style="3" customWidth="1"/>
    <col min="2279" max="2280" width="18.28515625" style="3" customWidth="1"/>
    <col min="2281" max="2281" width="19.42578125" style="3" customWidth="1"/>
    <col min="2282" max="2282" width="9.28515625" style="3"/>
    <col min="2283" max="2283" width="17.7109375" style="3" customWidth="1"/>
    <col min="2284" max="2530" width="9.28515625" style="3"/>
    <col min="2531" max="2531" width="12.28515625" style="3" customWidth="1"/>
    <col min="2532" max="2532" width="47.42578125" style="3" customWidth="1"/>
    <col min="2533" max="2533" width="21.7109375" style="3" customWidth="1"/>
    <col min="2534" max="2534" width="17.7109375" style="3" customWidth="1"/>
    <col min="2535" max="2536" width="18.28515625" style="3" customWidth="1"/>
    <col min="2537" max="2537" width="19.42578125" style="3" customWidth="1"/>
    <col min="2538" max="2538" width="9.28515625" style="3"/>
    <col min="2539" max="2539" width="17.7109375" style="3" customWidth="1"/>
    <col min="2540" max="2786" width="9.28515625" style="3"/>
    <col min="2787" max="2787" width="12.28515625" style="3" customWidth="1"/>
    <col min="2788" max="2788" width="47.42578125" style="3" customWidth="1"/>
    <col min="2789" max="2789" width="21.7109375" style="3" customWidth="1"/>
    <col min="2790" max="2790" width="17.7109375" style="3" customWidth="1"/>
    <col min="2791" max="2792" width="18.28515625" style="3" customWidth="1"/>
    <col min="2793" max="2793" width="19.42578125" style="3" customWidth="1"/>
    <col min="2794" max="2794" width="9.28515625" style="3"/>
    <col min="2795" max="2795" width="17.7109375" style="3" customWidth="1"/>
    <col min="2796" max="3042" width="9.28515625" style="3"/>
    <col min="3043" max="3043" width="12.28515625" style="3" customWidth="1"/>
    <col min="3044" max="3044" width="47.42578125" style="3" customWidth="1"/>
    <col min="3045" max="3045" width="21.7109375" style="3" customWidth="1"/>
    <col min="3046" max="3046" width="17.7109375" style="3" customWidth="1"/>
    <col min="3047" max="3048" width="18.28515625" style="3" customWidth="1"/>
    <col min="3049" max="3049" width="19.42578125" style="3" customWidth="1"/>
    <col min="3050" max="3050" width="9.28515625" style="3"/>
    <col min="3051" max="3051" width="17.7109375" style="3" customWidth="1"/>
    <col min="3052" max="3298" width="9.28515625" style="3"/>
    <col min="3299" max="3299" width="12.28515625" style="3" customWidth="1"/>
    <col min="3300" max="3300" width="47.42578125" style="3" customWidth="1"/>
    <col min="3301" max="3301" width="21.7109375" style="3" customWidth="1"/>
    <col min="3302" max="3302" width="17.7109375" style="3" customWidth="1"/>
    <col min="3303" max="3304" width="18.28515625" style="3" customWidth="1"/>
    <col min="3305" max="3305" width="19.42578125" style="3" customWidth="1"/>
    <col min="3306" max="3306" width="9.28515625" style="3"/>
    <col min="3307" max="3307" width="17.7109375" style="3" customWidth="1"/>
    <col min="3308" max="3554" width="9.28515625" style="3"/>
    <col min="3555" max="3555" width="12.28515625" style="3" customWidth="1"/>
    <col min="3556" max="3556" width="47.42578125" style="3" customWidth="1"/>
    <col min="3557" max="3557" width="21.7109375" style="3" customWidth="1"/>
    <col min="3558" max="3558" width="17.7109375" style="3" customWidth="1"/>
    <col min="3559" max="3560" width="18.28515625" style="3" customWidth="1"/>
    <col min="3561" max="3561" width="19.42578125" style="3" customWidth="1"/>
    <col min="3562" max="3562" width="9.28515625" style="3"/>
    <col min="3563" max="3563" width="17.7109375" style="3" customWidth="1"/>
    <col min="3564" max="3810" width="9.28515625" style="3"/>
    <col min="3811" max="3811" width="12.28515625" style="3" customWidth="1"/>
    <col min="3812" max="3812" width="47.42578125" style="3" customWidth="1"/>
    <col min="3813" max="3813" width="21.7109375" style="3" customWidth="1"/>
    <col min="3814" max="3814" width="17.7109375" style="3" customWidth="1"/>
    <col min="3815" max="3816" width="18.28515625" style="3" customWidth="1"/>
    <col min="3817" max="3817" width="19.42578125" style="3" customWidth="1"/>
    <col min="3818" max="3818" width="9.28515625" style="3"/>
    <col min="3819" max="3819" width="17.7109375" style="3" customWidth="1"/>
    <col min="3820" max="4066" width="9.28515625" style="3"/>
    <col min="4067" max="4067" width="12.28515625" style="3" customWidth="1"/>
    <col min="4068" max="4068" width="47.42578125" style="3" customWidth="1"/>
    <col min="4069" max="4069" width="21.7109375" style="3" customWidth="1"/>
    <col min="4070" max="4070" width="17.7109375" style="3" customWidth="1"/>
    <col min="4071" max="4072" width="18.28515625" style="3" customWidth="1"/>
    <col min="4073" max="4073" width="19.42578125" style="3" customWidth="1"/>
    <col min="4074" max="4074" width="9.28515625" style="3"/>
    <col min="4075" max="4075" width="17.7109375" style="3" customWidth="1"/>
    <col min="4076" max="4322" width="9.28515625" style="3"/>
    <col min="4323" max="4323" width="12.28515625" style="3" customWidth="1"/>
    <col min="4324" max="4324" width="47.42578125" style="3" customWidth="1"/>
    <col min="4325" max="4325" width="21.7109375" style="3" customWidth="1"/>
    <col min="4326" max="4326" width="17.7109375" style="3" customWidth="1"/>
    <col min="4327" max="4328" width="18.28515625" style="3" customWidth="1"/>
    <col min="4329" max="4329" width="19.42578125" style="3" customWidth="1"/>
    <col min="4330" max="4330" width="9.28515625" style="3"/>
    <col min="4331" max="4331" width="17.7109375" style="3" customWidth="1"/>
    <col min="4332" max="4578" width="9.28515625" style="3"/>
    <col min="4579" max="4579" width="12.28515625" style="3" customWidth="1"/>
    <col min="4580" max="4580" width="47.42578125" style="3" customWidth="1"/>
    <col min="4581" max="4581" width="21.7109375" style="3" customWidth="1"/>
    <col min="4582" max="4582" width="17.7109375" style="3" customWidth="1"/>
    <col min="4583" max="4584" width="18.28515625" style="3" customWidth="1"/>
    <col min="4585" max="4585" width="19.42578125" style="3" customWidth="1"/>
    <col min="4586" max="4586" width="9.28515625" style="3"/>
    <col min="4587" max="4587" width="17.7109375" style="3" customWidth="1"/>
    <col min="4588" max="4834" width="9.28515625" style="3"/>
    <col min="4835" max="4835" width="12.28515625" style="3" customWidth="1"/>
    <col min="4836" max="4836" width="47.42578125" style="3" customWidth="1"/>
    <col min="4837" max="4837" width="21.7109375" style="3" customWidth="1"/>
    <col min="4838" max="4838" width="17.7109375" style="3" customWidth="1"/>
    <col min="4839" max="4840" width="18.28515625" style="3" customWidth="1"/>
    <col min="4841" max="4841" width="19.42578125" style="3" customWidth="1"/>
    <col min="4842" max="4842" width="9.28515625" style="3"/>
    <col min="4843" max="4843" width="17.7109375" style="3" customWidth="1"/>
    <col min="4844" max="5090" width="9.28515625" style="3"/>
    <col min="5091" max="5091" width="12.28515625" style="3" customWidth="1"/>
    <col min="5092" max="5092" width="47.42578125" style="3" customWidth="1"/>
    <col min="5093" max="5093" width="21.7109375" style="3" customWidth="1"/>
    <col min="5094" max="5094" width="17.7109375" style="3" customWidth="1"/>
    <col min="5095" max="5096" width="18.28515625" style="3" customWidth="1"/>
    <col min="5097" max="5097" width="19.42578125" style="3" customWidth="1"/>
    <col min="5098" max="5098" width="9.28515625" style="3"/>
    <col min="5099" max="5099" width="17.7109375" style="3" customWidth="1"/>
    <col min="5100" max="5346" width="9.28515625" style="3"/>
    <col min="5347" max="5347" width="12.28515625" style="3" customWidth="1"/>
    <col min="5348" max="5348" width="47.42578125" style="3" customWidth="1"/>
    <col min="5349" max="5349" width="21.7109375" style="3" customWidth="1"/>
    <col min="5350" max="5350" width="17.7109375" style="3" customWidth="1"/>
    <col min="5351" max="5352" width="18.28515625" style="3" customWidth="1"/>
    <col min="5353" max="5353" width="19.42578125" style="3" customWidth="1"/>
    <col min="5354" max="5354" width="9.28515625" style="3"/>
    <col min="5355" max="5355" width="17.7109375" style="3" customWidth="1"/>
    <col min="5356" max="5602" width="9.28515625" style="3"/>
    <col min="5603" max="5603" width="12.28515625" style="3" customWidth="1"/>
    <col min="5604" max="5604" width="47.42578125" style="3" customWidth="1"/>
    <col min="5605" max="5605" width="21.7109375" style="3" customWidth="1"/>
    <col min="5606" max="5606" width="17.7109375" style="3" customWidth="1"/>
    <col min="5607" max="5608" width="18.28515625" style="3" customWidth="1"/>
    <col min="5609" max="5609" width="19.42578125" style="3" customWidth="1"/>
    <col min="5610" max="5610" width="9.28515625" style="3"/>
    <col min="5611" max="5611" width="17.7109375" style="3" customWidth="1"/>
    <col min="5612" max="5858" width="9.28515625" style="3"/>
    <col min="5859" max="5859" width="12.28515625" style="3" customWidth="1"/>
    <col min="5860" max="5860" width="47.42578125" style="3" customWidth="1"/>
    <col min="5861" max="5861" width="21.7109375" style="3" customWidth="1"/>
    <col min="5862" max="5862" width="17.7109375" style="3" customWidth="1"/>
    <col min="5863" max="5864" width="18.28515625" style="3" customWidth="1"/>
    <col min="5865" max="5865" width="19.42578125" style="3" customWidth="1"/>
    <col min="5866" max="5866" width="9.28515625" style="3"/>
    <col min="5867" max="5867" width="17.7109375" style="3" customWidth="1"/>
    <col min="5868" max="6114" width="9.28515625" style="3"/>
    <col min="6115" max="6115" width="12.28515625" style="3" customWidth="1"/>
    <col min="6116" max="6116" width="47.42578125" style="3" customWidth="1"/>
    <col min="6117" max="6117" width="21.7109375" style="3" customWidth="1"/>
    <col min="6118" max="6118" width="17.7109375" style="3" customWidth="1"/>
    <col min="6119" max="6120" width="18.28515625" style="3" customWidth="1"/>
    <col min="6121" max="6121" width="19.42578125" style="3" customWidth="1"/>
    <col min="6122" max="6122" width="9.28515625" style="3"/>
    <col min="6123" max="6123" width="17.7109375" style="3" customWidth="1"/>
    <col min="6124" max="6370" width="9.28515625" style="3"/>
    <col min="6371" max="6371" width="12.28515625" style="3" customWidth="1"/>
    <col min="6372" max="6372" width="47.42578125" style="3" customWidth="1"/>
    <col min="6373" max="6373" width="21.7109375" style="3" customWidth="1"/>
    <col min="6374" max="6374" width="17.7109375" style="3" customWidth="1"/>
    <col min="6375" max="6376" width="18.28515625" style="3" customWidth="1"/>
    <col min="6377" max="6377" width="19.42578125" style="3" customWidth="1"/>
    <col min="6378" max="6378" width="9.28515625" style="3"/>
    <col min="6379" max="6379" width="17.7109375" style="3" customWidth="1"/>
    <col min="6380" max="6626" width="9.28515625" style="3"/>
    <col min="6627" max="6627" width="12.28515625" style="3" customWidth="1"/>
    <col min="6628" max="6628" width="47.42578125" style="3" customWidth="1"/>
    <col min="6629" max="6629" width="21.7109375" style="3" customWidth="1"/>
    <col min="6630" max="6630" width="17.7109375" style="3" customWidth="1"/>
    <col min="6631" max="6632" width="18.28515625" style="3" customWidth="1"/>
    <col min="6633" max="6633" width="19.42578125" style="3" customWidth="1"/>
    <col min="6634" max="6634" width="9.28515625" style="3"/>
    <col min="6635" max="6635" width="17.7109375" style="3" customWidth="1"/>
    <col min="6636" max="6882" width="9.28515625" style="3"/>
    <col min="6883" max="6883" width="12.28515625" style="3" customWidth="1"/>
    <col min="6884" max="6884" width="47.42578125" style="3" customWidth="1"/>
    <col min="6885" max="6885" width="21.7109375" style="3" customWidth="1"/>
    <col min="6886" max="6886" width="17.7109375" style="3" customWidth="1"/>
    <col min="6887" max="6888" width="18.28515625" style="3" customWidth="1"/>
    <col min="6889" max="6889" width="19.42578125" style="3" customWidth="1"/>
    <col min="6890" max="6890" width="9.28515625" style="3"/>
    <col min="6891" max="6891" width="17.7109375" style="3" customWidth="1"/>
    <col min="6892" max="7138" width="9.28515625" style="3"/>
    <col min="7139" max="7139" width="12.28515625" style="3" customWidth="1"/>
    <col min="7140" max="7140" width="47.42578125" style="3" customWidth="1"/>
    <col min="7141" max="7141" width="21.7109375" style="3" customWidth="1"/>
    <col min="7142" max="7142" width="17.7109375" style="3" customWidth="1"/>
    <col min="7143" max="7144" width="18.28515625" style="3" customWidth="1"/>
    <col min="7145" max="7145" width="19.42578125" style="3" customWidth="1"/>
    <col min="7146" max="7146" width="9.28515625" style="3"/>
    <col min="7147" max="7147" width="17.7109375" style="3" customWidth="1"/>
    <col min="7148" max="7394" width="9.28515625" style="3"/>
    <col min="7395" max="7395" width="12.28515625" style="3" customWidth="1"/>
    <col min="7396" max="7396" width="47.42578125" style="3" customWidth="1"/>
    <col min="7397" max="7397" width="21.7109375" style="3" customWidth="1"/>
    <col min="7398" max="7398" width="17.7109375" style="3" customWidth="1"/>
    <col min="7399" max="7400" width="18.28515625" style="3" customWidth="1"/>
    <col min="7401" max="7401" width="19.42578125" style="3" customWidth="1"/>
    <col min="7402" max="7402" width="9.28515625" style="3"/>
    <col min="7403" max="7403" width="17.7109375" style="3" customWidth="1"/>
    <col min="7404" max="7650" width="9.28515625" style="3"/>
    <col min="7651" max="7651" width="12.28515625" style="3" customWidth="1"/>
    <col min="7652" max="7652" width="47.42578125" style="3" customWidth="1"/>
    <col min="7653" max="7653" width="21.7109375" style="3" customWidth="1"/>
    <col min="7654" max="7654" width="17.7109375" style="3" customWidth="1"/>
    <col min="7655" max="7656" width="18.28515625" style="3" customWidth="1"/>
    <col min="7657" max="7657" width="19.42578125" style="3" customWidth="1"/>
    <col min="7658" max="7658" width="9.28515625" style="3"/>
    <col min="7659" max="7659" width="17.7109375" style="3" customWidth="1"/>
    <col min="7660" max="7906" width="9.28515625" style="3"/>
    <col min="7907" max="7907" width="12.28515625" style="3" customWidth="1"/>
    <col min="7908" max="7908" width="47.42578125" style="3" customWidth="1"/>
    <col min="7909" max="7909" width="21.7109375" style="3" customWidth="1"/>
    <col min="7910" max="7910" width="17.7109375" style="3" customWidth="1"/>
    <col min="7911" max="7912" width="18.28515625" style="3" customWidth="1"/>
    <col min="7913" max="7913" width="19.42578125" style="3" customWidth="1"/>
    <col min="7914" max="7914" width="9.28515625" style="3"/>
    <col min="7915" max="7915" width="17.7109375" style="3" customWidth="1"/>
    <col min="7916" max="8162" width="9.28515625" style="3"/>
    <col min="8163" max="8163" width="12.28515625" style="3" customWidth="1"/>
    <col min="8164" max="8164" width="47.42578125" style="3" customWidth="1"/>
    <col min="8165" max="8165" width="21.7109375" style="3" customWidth="1"/>
    <col min="8166" max="8166" width="17.7109375" style="3" customWidth="1"/>
    <col min="8167" max="8168" width="18.28515625" style="3" customWidth="1"/>
    <col min="8169" max="8169" width="19.42578125" style="3" customWidth="1"/>
    <col min="8170" max="8170" width="9.28515625" style="3"/>
    <col min="8171" max="8171" width="17.7109375" style="3" customWidth="1"/>
    <col min="8172" max="8418" width="9.28515625" style="3"/>
    <col min="8419" max="8419" width="12.28515625" style="3" customWidth="1"/>
    <col min="8420" max="8420" width="47.42578125" style="3" customWidth="1"/>
    <col min="8421" max="8421" width="21.7109375" style="3" customWidth="1"/>
    <col min="8422" max="8422" width="17.7109375" style="3" customWidth="1"/>
    <col min="8423" max="8424" width="18.28515625" style="3" customWidth="1"/>
    <col min="8425" max="8425" width="19.42578125" style="3" customWidth="1"/>
    <col min="8426" max="8426" width="9.28515625" style="3"/>
    <col min="8427" max="8427" width="17.7109375" style="3" customWidth="1"/>
    <col min="8428" max="8674" width="9.28515625" style="3"/>
    <col min="8675" max="8675" width="12.28515625" style="3" customWidth="1"/>
    <col min="8676" max="8676" width="47.42578125" style="3" customWidth="1"/>
    <col min="8677" max="8677" width="21.7109375" style="3" customWidth="1"/>
    <col min="8678" max="8678" width="17.7109375" style="3" customWidth="1"/>
    <col min="8679" max="8680" width="18.28515625" style="3" customWidth="1"/>
    <col min="8681" max="8681" width="19.42578125" style="3" customWidth="1"/>
    <col min="8682" max="8682" width="9.28515625" style="3"/>
    <col min="8683" max="8683" width="17.7109375" style="3" customWidth="1"/>
    <col min="8684" max="8930" width="9.28515625" style="3"/>
    <col min="8931" max="8931" width="12.28515625" style="3" customWidth="1"/>
    <col min="8932" max="8932" width="47.42578125" style="3" customWidth="1"/>
    <col min="8933" max="8933" width="21.7109375" style="3" customWidth="1"/>
    <col min="8934" max="8934" width="17.7109375" style="3" customWidth="1"/>
    <col min="8935" max="8936" width="18.28515625" style="3" customWidth="1"/>
    <col min="8937" max="8937" width="19.42578125" style="3" customWidth="1"/>
    <col min="8938" max="8938" width="9.28515625" style="3"/>
    <col min="8939" max="8939" width="17.7109375" style="3" customWidth="1"/>
    <col min="8940" max="9186" width="9.28515625" style="3"/>
    <col min="9187" max="9187" width="12.28515625" style="3" customWidth="1"/>
    <col min="9188" max="9188" width="47.42578125" style="3" customWidth="1"/>
    <col min="9189" max="9189" width="21.7109375" style="3" customWidth="1"/>
    <col min="9190" max="9190" width="17.7109375" style="3" customWidth="1"/>
    <col min="9191" max="9192" width="18.28515625" style="3" customWidth="1"/>
    <col min="9193" max="9193" width="19.42578125" style="3" customWidth="1"/>
    <col min="9194" max="9194" width="9.28515625" style="3"/>
    <col min="9195" max="9195" width="17.7109375" style="3" customWidth="1"/>
    <col min="9196" max="9442" width="9.28515625" style="3"/>
    <col min="9443" max="9443" width="12.28515625" style="3" customWidth="1"/>
    <col min="9444" max="9444" width="47.42578125" style="3" customWidth="1"/>
    <col min="9445" max="9445" width="21.7109375" style="3" customWidth="1"/>
    <col min="9446" max="9446" width="17.7109375" style="3" customWidth="1"/>
    <col min="9447" max="9448" width="18.28515625" style="3" customWidth="1"/>
    <col min="9449" max="9449" width="19.42578125" style="3" customWidth="1"/>
    <col min="9450" max="9450" width="9.28515625" style="3"/>
    <col min="9451" max="9451" width="17.7109375" style="3" customWidth="1"/>
    <col min="9452" max="9698" width="9.28515625" style="3"/>
    <col min="9699" max="9699" width="12.28515625" style="3" customWidth="1"/>
    <col min="9700" max="9700" width="47.42578125" style="3" customWidth="1"/>
    <col min="9701" max="9701" width="21.7109375" style="3" customWidth="1"/>
    <col min="9702" max="9702" width="17.7109375" style="3" customWidth="1"/>
    <col min="9703" max="9704" width="18.28515625" style="3" customWidth="1"/>
    <col min="9705" max="9705" width="19.42578125" style="3" customWidth="1"/>
    <col min="9706" max="9706" width="9.28515625" style="3"/>
    <col min="9707" max="9707" width="17.7109375" style="3" customWidth="1"/>
    <col min="9708" max="9954" width="9.28515625" style="3"/>
    <col min="9955" max="9955" width="12.28515625" style="3" customWidth="1"/>
    <col min="9956" max="9956" width="47.42578125" style="3" customWidth="1"/>
    <col min="9957" max="9957" width="21.7109375" style="3" customWidth="1"/>
    <col min="9958" max="9958" width="17.7109375" style="3" customWidth="1"/>
    <col min="9959" max="9960" width="18.28515625" style="3" customWidth="1"/>
    <col min="9961" max="9961" width="19.42578125" style="3" customWidth="1"/>
    <col min="9962" max="9962" width="9.28515625" style="3"/>
    <col min="9963" max="9963" width="17.7109375" style="3" customWidth="1"/>
    <col min="9964" max="10210" width="9.28515625" style="3"/>
    <col min="10211" max="10211" width="12.28515625" style="3" customWidth="1"/>
    <col min="10212" max="10212" width="47.42578125" style="3" customWidth="1"/>
    <col min="10213" max="10213" width="21.7109375" style="3" customWidth="1"/>
    <col min="10214" max="10214" width="17.7109375" style="3" customWidth="1"/>
    <col min="10215" max="10216" width="18.28515625" style="3" customWidth="1"/>
    <col min="10217" max="10217" width="19.42578125" style="3" customWidth="1"/>
    <col min="10218" max="10218" width="9.28515625" style="3"/>
    <col min="10219" max="10219" width="17.7109375" style="3" customWidth="1"/>
    <col min="10220" max="10466" width="9.28515625" style="3"/>
    <col min="10467" max="10467" width="12.28515625" style="3" customWidth="1"/>
    <col min="10468" max="10468" width="47.42578125" style="3" customWidth="1"/>
    <col min="10469" max="10469" width="21.7109375" style="3" customWidth="1"/>
    <col min="10470" max="10470" width="17.7109375" style="3" customWidth="1"/>
    <col min="10471" max="10472" width="18.28515625" style="3" customWidth="1"/>
    <col min="10473" max="10473" width="19.42578125" style="3" customWidth="1"/>
    <col min="10474" max="10474" width="9.28515625" style="3"/>
    <col min="10475" max="10475" width="17.7109375" style="3" customWidth="1"/>
    <col min="10476" max="10722" width="9.28515625" style="3"/>
    <col min="10723" max="10723" width="12.28515625" style="3" customWidth="1"/>
    <col min="10724" max="10724" width="47.42578125" style="3" customWidth="1"/>
    <col min="10725" max="10725" width="21.7109375" style="3" customWidth="1"/>
    <col min="10726" max="10726" width="17.7109375" style="3" customWidth="1"/>
    <col min="10727" max="10728" width="18.28515625" style="3" customWidth="1"/>
    <col min="10729" max="10729" width="19.42578125" style="3" customWidth="1"/>
    <col min="10730" max="10730" width="9.28515625" style="3"/>
    <col min="10731" max="10731" width="17.7109375" style="3" customWidth="1"/>
    <col min="10732" max="10978" width="9.28515625" style="3"/>
    <col min="10979" max="10979" width="12.28515625" style="3" customWidth="1"/>
    <col min="10980" max="10980" width="47.42578125" style="3" customWidth="1"/>
    <col min="10981" max="10981" width="21.7109375" style="3" customWidth="1"/>
    <col min="10982" max="10982" width="17.7109375" style="3" customWidth="1"/>
    <col min="10983" max="10984" width="18.28515625" style="3" customWidth="1"/>
    <col min="10985" max="10985" width="19.42578125" style="3" customWidth="1"/>
    <col min="10986" max="10986" width="9.28515625" style="3"/>
    <col min="10987" max="10987" width="17.7109375" style="3" customWidth="1"/>
    <col min="10988" max="11234" width="9.28515625" style="3"/>
    <col min="11235" max="11235" width="12.28515625" style="3" customWidth="1"/>
    <col min="11236" max="11236" width="47.42578125" style="3" customWidth="1"/>
    <col min="11237" max="11237" width="21.7109375" style="3" customWidth="1"/>
    <col min="11238" max="11238" width="17.7109375" style="3" customWidth="1"/>
    <col min="11239" max="11240" width="18.28515625" style="3" customWidth="1"/>
    <col min="11241" max="11241" width="19.42578125" style="3" customWidth="1"/>
    <col min="11242" max="11242" width="9.28515625" style="3"/>
    <col min="11243" max="11243" width="17.7109375" style="3" customWidth="1"/>
    <col min="11244" max="11490" width="9.28515625" style="3"/>
    <col min="11491" max="11491" width="12.28515625" style="3" customWidth="1"/>
    <col min="11492" max="11492" width="47.42578125" style="3" customWidth="1"/>
    <col min="11493" max="11493" width="21.7109375" style="3" customWidth="1"/>
    <col min="11494" max="11494" width="17.7109375" style="3" customWidth="1"/>
    <col min="11495" max="11496" width="18.28515625" style="3" customWidth="1"/>
    <col min="11497" max="11497" width="19.42578125" style="3" customWidth="1"/>
    <col min="11498" max="11498" width="9.28515625" style="3"/>
    <col min="11499" max="11499" width="17.7109375" style="3" customWidth="1"/>
    <col min="11500" max="11746" width="9.28515625" style="3"/>
    <col min="11747" max="11747" width="12.28515625" style="3" customWidth="1"/>
    <col min="11748" max="11748" width="47.42578125" style="3" customWidth="1"/>
    <col min="11749" max="11749" width="21.7109375" style="3" customWidth="1"/>
    <col min="11750" max="11750" width="17.7109375" style="3" customWidth="1"/>
    <col min="11751" max="11752" width="18.28515625" style="3" customWidth="1"/>
    <col min="11753" max="11753" width="19.42578125" style="3" customWidth="1"/>
    <col min="11754" max="11754" width="9.28515625" style="3"/>
    <col min="11755" max="11755" width="17.7109375" style="3" customWidth="1"/>
    <col min="11756" max="12002" width="9.28515625" style="3"/>
    <col min="12003" max="12003" width="12.28515625" style="3" customWidth="1"/>
    <col min="12004" max="12004" width="47.42578125" style="3" customWidth="1"/>
    <col min="12005" max="12005" width="21.7109375" style="3" customWidth="1"/>
    <col min="12006" max="12006" width="17.7109375" style="3" customWidth="1"/>
    <col min="12007" max="12008" width="18.28515625" style="3" customWidth="1"/>
    <col min="12009" max="12009" width="19.42578125" style="3" customWidth="1"/>
    <col min="12010" max="12010" width="9.28515625" style="3"/>
    <col min="12011" max="12011" width="17.7109375" style="3" customWidth="1"/>
    <col min="12012" max="12258" width="9.28515625" style="3"/>
    <col min="12259" max="12259" width="12.28515625" style="3" customWidth="1"/>
    <col min="12260" max="12260" width="47.42578125" style="3" customWidth="1"/>
    <col min="12261" max="12261" width="21.7109375" style="3" customWidth="1"/>
    <col min="12262" max="12262" width="17.7109375" style="3" customWidth="1"/>
    <col min="12263" max="12264" width="18.28515625" style="3" customWidth="1"/>
    <col min="12265" max="12265" width="19.42578125" style="3" customWidth="1"/>
    <col min="12266" max="12266" width="9.28515625" style="3"/>
    <col min="12267" max="12267" width="17.7109375" style="3" customWidth="1"/>
    <col min="12268" max="12514" width="9.28515625" style="3"/>
    <col min="12515" max="12515" width="12.28515625" style="3" customWidth="1"/>
    <col min="12516" max="12516" width="47.42578125" style="3" customWidth="1"/>
    <col min="12517" max="12517" width="21.7109375" style="3" customWidth="1"/>
    <col min="12518" max="12518" width="17.7109375" style="3" customWidth="1"/>
    <col min="12519" max="12520" width="18.28515625" style="3" customWidth="1"/>
    <col min="12521" max="12521" width="19.42578125" style="3" customWidth="1"/>
    <col min="12522" max="12522" width="9.28515625" style="3"/>
    <col min="12523" max="12523" width="17.7109375" style="3" customWidth="1"/>
    <col min="12524" max="12770" width="9.28515625" style="3"/>
    <col min="12771" max="12771" width="12.28515625" style="3" customWidth="1"/>
    <col min="12772" max="12772" width="47.42578125" style="3" customWidth="1"/>
    <col min="12773" max="12773" width="21.7109375" style="3" customWidth="1"/>
    <col min="12774" max="12774" width="17.7109375" style="3" customWidth="1"/>
    <col min="12775" max="12776" width="18.28515625" style="3" customWidth="1"/>
    <col min="12777" max="12777" width="19.42578125" style="3" customWidth="1"/>
    <col min="12778" max="12778" width="9.28515625" style="3"/>
    <col min="12779" max="12779" width="17.7109375" style="3" customWidth="1"/>
    <col min="12780" max="13026" width="9.28515625" style="3"/>
    <col min="13027" max="13027" width="12.28515625" style="3" customWidth="1"/>
    <col min="13028" max="13028" width="47.42578125" style="3" customWidth="1"/>
    <col min="13029" max="13029" width="21.7109375" style="3" customWidth="1"/>
    <col min="13030" max="13030" width="17.7109375" style="3" customWidth="1"/>
    <col min="13031" max="13032" width="18.28515625" style="3" customWidth="1"/>
    <col min="13033" max="13033" width="19.42578125" style="3" customWidth="1"/>
    <col min="13034" max="13034" width="9.28515625" style="3"/>
    <col min="13035" max="13035" width="17.7109375" style="3" customWidth="1"/>
    <col min="13036" max="13282" width="9.28515625" style="3"/>
    <col min="13283" max="13283" width="12.28515625" style="3" customWidth="1"/>
    <col min="13284" max="13284" width="47.42578125" style="3" customWidth="1"/>
    <col min="13285" max="13285" width="21.7109375" style="3" customWidth="1"/>
    <col min="13286" max="13286" width="17.7109375" style="3" customWidth="1"/>
    <col min="13287" max="13288" width="18.28515625" style="3" customWidth="1"/>
    <col min="13289" max="13289" width="19.42578125" style="3" customWidth="1"/>
    <col min="13290" max="13290" width="9.28515625" style="3"/>
    <col min="13291" max="13291" width="17.7109375" style="3" customWidth="1"/>
    <col min="13292" max="13538" width="9.28515625" style="3"/>
    <col min="13539" max="13539" width="12.28515625" style="3" customWidth="1"/>
    <col min="13540" max="13540" width="47.42578125" style="3" customWidth="1"/>
    <col min="13541" max="13541" width="21.7109375" style="3" customWidth="1"/>
    <col min="13542" max="13542" width="17.7109375" style="3" customWidth="1"/>
    <col min="13543" max="13544" width="18.28515625" style="3" customWidth="1"/>
    <col min="13545" max="13545" width="19.42578125" style="3" customWidth="1"/>
    <col min="13546" max="13546" width="9.28515625" style="3"/>
    <col min="13547" max="13547" width="17.7109375" style="3" customWidth="1"/>
    <col min="13548" max="13794" width="9.28515625" style="3"/>
    <col min="13795" max="13795" width="12.28515625" style="3" customWidth="1"/>
    <col min="13796" max="13796" width="47.42578125" style="3" customWidth="1"/>
    <col min="13797" max="13797" width="21.7109375" style="3" customWidth="1"/>
    <col min="13798" max="13798" width="17.7109375" style="3" customWidth="1"/>
    <col min="13799" max="13800" width="18.28515625" style="3" customWidth="1"/>
    <col min="13801" max="13801" width="19.42578125" style="3" customWidth="1"/>
    <col min="13802" max="13802" width="9.28515625" style="3"/>
    <col min="13803" max="13803" width="17.7109375" style="3" customWidth="1"/>
    <col min="13804" max="14050" width="9.28515625" style="3"/>
    <col min="14051" max="14051" width="12.28515625" style="3" customWidth="1"/>
    <col min="14052" max="14052" width="47.42578125" style="3" customWidth="1"/>
    <col min="14053" max="14053" width="21.7109375" style="3" customWidth="1"/>
    <col min="14054" max="14054" width="17.7109375" style="3" customWidth="1"/>
    <col min="14055" max="14056" width="18.28515625" style="3" customWidth="1"/>
    <col min="14057" max="14057" width="19.42578125" style="3" customWidth="1"/>
    <col min="14058" max="14058" width="9.28515625" style="3"/>
    <col min="14059" max="14059" width="17.7109375" style="3" customWidth="1"/>
    <col min="14060" max="14306" width="9.28515625" style="3"/>
    <col min="14307" max="14307" width="12.28515625" style="3" customWidth="1"/>
    <col min="14308" max="14308" width="47.42578125" style="3" customWidth="1"/>
    <col min="14309" max="14309" width="21.7109375" style="3" customWidth="1"/>
    <col min="14310" max="14310" width="17.7109375" style="3" customWidth="1"/>
    <col min="14311" max="14312" width="18.28515625" style="3" customWidth="1"/>
    <col min="14313" max="14313" width="19.42578125" style="3" customWidth="1"/>
    <col min="14314" max="14314" width="9.28515625" style="3"/>
    <col min="14315" max="14315" width="17.7109375" style="3" customWidth="1"/>
    <col min="14316" max="14562" width="9.28515625" style="3"/>
    <col min="14563" max="14563" width="12.28515625" style="3" customWidth="1"/>
    <col min="14564" max="14564" width="47.42578125" style="3" customWidth="1"/>
    <col min="14565" max="14565" width="21.7109375" style="3" customWidth="1"/>
    <col min="14566" max="14566" width="17.7109375" style="3" customWidth="1"/>
    <col min="14567" max="14568" width="18.28515625" style="3" customWidth="1"/>
    <col min="14569" max="14569" width="19.42578125" style="3" customWidth="1"/>
    <col min="14570" max="14570" width="9.28515625" style="3"/>
    <col min="14571" max="14571" width="17.7109375" style="3" customWidth="1"/>
    <col min="14572" max="14818" width="9.28515625" style="3"/>
    <col min="14819" max="14819" width="12.28515625" style="3" customWidth="1"/>
    <col min="14820" max="14820" width="47.42578125" style="3" customWidth="1"/>
    <col min="14821" max="14821" width="21.7109375" style="3" customWidth="1"/>
    <col min="14822" max="14822" width="17.7109375" style="3" customWidth="1"/>
    <col min="14823" max="14824" width="18.28515625" style="3" customWidth="1"/>
    <col min="14825" max="14825" width="19.42578125" style="3" customWidth="1"/>
    <col min="14826" max="14826" width="9.28515625" style="3"/>
    <col min="14827" max="14827" width="17.7109375" style="3" customWidth="1"/>
    <col min="14828" max="15074" width="9.28515625" style="3"/>
    <col min="15075" max="15075" width="12.28515625" style="3" customWidth="1"/>
    <col min="15076" max="15076" width="47.42578125" style="3" customWidth="1"/>
    <col min="15077" max="15077" width="21.7109375" style="3" customWidth="1"/>
    <col min="15078" max="15078" width="17.7109375" style="3" customWidth="1"/>
    <col min="15079" max="15080" width="18.28515625" style="3" customWidth="1"/>
    <col min="15081" max="15081" width="19.42578125" style="3" customWidth="1"/>
    <col min="15082" max="15082" width="9.28515625" style="3"/>
    <col min="15083" max="15083" width="17.7109375" style="3" customWidth="1"/>
    <col min="15084" max="15330" width="9.28515625" style="3"/>
    <col min="15331" max="15331" width="12.28515625" style="3" customWidth="1"/>
    <col min="15332" max="15332" width="47.42578125" style="3" customWidth="1"/>
    <col min="15333" max="15333" width="21.7109375" style="3" customWidth="1"/>
    <col min="15334" max="15334" width="17.7109375" style="3" customWidth="1"/>
    <col min="15335" max="15336" width="18.28515625" style="3" customWidth="1"/>
    <col min="15337" max="15337" width="19.42578125" style="3" customWidth="1"/>
    <col min="15338" max="15338" width="9.28515625" style="3"/>
    <col min="15339" max="15339" width="17.7109375" style="3" customWidth="1"/>
    <col min="15340" max="15586" width="9.28515625" style="3"/>
    <col min="15587" max="15587" width="12.28515625" style="3" customWidth="1"/>
    <col min="15588" max="15588" width="47.42578125" style="3" customWidth="1"/>
    <col min="15589" max="15589" width="21.7109375" style="3" customWidth="1"/>
    <col min="15590" max="15590" width="17.7109375" style="3" customWidth="1"/>
    <col min="15591" max="15592" width="18.28515625" style="3" customWidth="1"/>
    <col min="15593" max="15593" width="19.42578125" style="3" customWidth="1"/>
    <col min="15594" max="15594" width="9.28515625" style="3"/>
    <col min="15595" max="15595" width="17.7109375" style="3" customWidth="1"/>
    <col min="15596" max="15842" width="9.28515625" style="3"/>
    <col min="15843" max="15843" width="12.28515625" style="3" customWidth="1"/>
    <col min="15844" max="15844" width="47.42578125" style="3" customWidth="1"/>
    <col min="15845" max="15845" width="21.7109375" style="3" customWidth="1"/>
    <col min="15846" max="15846" width="17.7109375" style="3" customWidth="1"/>
    <col min="15847" max="15848" width="18.28515625" style="3" customWidth="1"/>
    <col min="15849" max="15849" width="19.42578125" style="3" customWidth="1"/>
    <col min="15850" max="15850" width="9.28515625" style="3"/>
    <col min="15851" max="15851" width="17.7109375" style="3" customWidth="1"/>
    <col min="15852" max="16098" width="9.28515625" style="3"/>
    <col min="16099" max="16099" width="12.28515625" style="3" customWidth="1"/>
    <col min="16100" max="16100" width="47.42578125" style="3" customWidth="1"/>
    <col min="16101" max="16101" width="21.7109375" style="3" customWidth="1"/>
    <col min="16102" max="16102" width="17.7109375" style="3" customWidth="1"/>
    <col min="16103" max="16104" width="18.28515625" style="3" customWidth="1"/>
    <col min="16105" max="16105" width="19.42578125" style="3" customWidth="1"/>
    <col min="16106" max="16106" width="9.28515625" style="3"/>
    <col min="16107" max="16107" width="17.7109375" style="3" customWidth="1"/>
    <col min="16108" max="16384" width="9.28515625" style="3"/>
  </cols>
  <sheetData>
    <row r="1" spans="1:11" ht="45" customHeight="1" x14ac:dyDescent="0.35">
      <c r="A1" s="1" t="s">
        <v>114</v>
      </c>
      <c r="B1" s="1"/>
    </row>
    <row r="2" spans="1:11" s="6" customFormat="1" ht="29.25" x14ac:dyDescent="0.25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1" ht="15.75" x14ac:dyDescent="0.25">
      <c r="A3" s="7">
        <v>210001</v>
      </c>
      <c r="B3" s="8" t="s">
        <v>10</v>
      </c>
      <c r="C3" s="9">
        <f>G3-F3</f>
        <v>285635782.56999999</v>
      </c>
      <c r="D3" s="10">
        <v>25133325.280000001</v>
      </c>
      <c r="E3" s="10">
        <v>19360794.530000001</v>
      </c>
      <c r="F3" s="10">
        <f>D3+E3</f>
        <v>44494119.810000002</v>
      </c>
      <c r="G3" s="10">
        <v>330129902.38</v>
      </c>
      <c r="H3" s="11">
        <f>D3/G3</f>
        <v>7.6131623033256726E-2</v>
      </c>
      <c r="I3" s="11">
        <f>E3/G3</f>
        <v>5.8645988716631084E-2</v>
      </c>
      <c r="J3" s="66">
        <f>F3/G3</f>
        <v>0.13477761174988781</v>
      </c>
      <c r="K3" s="10"/>
    </row>
    <row r="4" spans="1:11" ht="15.75" x14ac:dyDescent="0.25">
      <c r="A4" s="7">
        <v>210002</v>
      </c>
      <c r="B4" s="8" t="s">
        <v>11</v>
      </c>
      <c r="C4" s="9">
        <f t="shared" ref="C4:C50" si="0">G4-F4</f>
        <v>1508208262.3299999</v>
      </c>
      <c r="D4" s="10">
        <v>105633803.34</v>
      </c>
      <c r="E4" s="10">
        <v>32837109.02</v>
      </c>
      <c r="F4" s="10">
        <f t="shared" ref="F4:F50" si="1">D4+E4</f>
        <v>138470912.36000001</v>
      </c>
      <c r="G4" s="10">
        <v>1646679174.6900001</v>
      </c>
      <c r="H4" s="11">
        <f t="shared" ref="H4:H52" si="2">D4/G4</f>
        <v>6.4149595721878477E-2</v>
      </c>
      <c r="I4" s="11">
        <f t="shared" ref="I4:I52" si="3">E4/G4</f>
        <v>1.9941412707901549E-2</v>
      </c>
      <c r="J4" s="66">
        <f t="shared" ref="J4:J50" si="4">F4/G4</f>
        <v>8.4091008429780026E-2</v>
      </c>
      <c r="K4" s="10"/>
    </row>
    <row r="5" spans="1:11" ht="15.75" x14ac:dyDescent="0.25">
      <c r="A5" s="7">
        <v>210003</v>
      </c>
      <c r="B5" s="8" t="s">
        <v>12</v>
      </c>
      <c r="C5" s="9">
        <f t="shared" si="0"/>
        <v>257166795.38999999</v>
      </c>
      <c r="D5" s="10">
        <v>26032262.620000001</v>
      </c>
      <c r="E5" s="10">
        <v>15523671.699999999</v>
      </c>
      <c r="F5" s="10">
        <f t="shared" si="1"/>
        <v>41555934.32</v>
      </c>
      <c r="G5" s="10">
        <v>298722729.70999998</v>
      </c>
      <c r="H5" s="11">
        <f t="shared" si="2"/>
        <v>8.7145235467257956E-2</v>
      </c>
      <c r="I5" s="11">
        <f t="shared" si="3"/>
        <v>5.196682460377347E-2</v>
      </c>
      <c r="J5" s="66">
        <f t="shared" si="4"/>
        <v>0.13911206007103141</v>
      </c>
      <c r="K5" s="10"/>
    </row>
    <row r="6" spans="1:11" ht="15.75" x14ac:dyDescent="0.25">
      <c r="A6" s="7">
        <v>210004</v>
      </c>
      <c r="B6" s="8" t="s">
        <v>13</v>
      </c>
      <c r="C6" s="9">
        <f t="shared" si="0"/>
        <v>456540898.03999996</v>
      </c>
      <c r="D6" s="10">
        <v>37974536.590000004</v>
      </c>
      <c r="E6" s="10">
        <v>17771655.949999999</v>
      </c>
      <c r="F6" s="10">
        <f t="shared" si="1"/>
        <v>55746192.540000007</v>
      </c>
      <c r="G6" s="10">
        <v>512287090.57999998</v>
      </c>
      <c r="H6" s="11">
        <f t="shared" si="2"/>
        <v>7.4127451751723986E-2</v>
      </c>
      <c r="I6" s="11">
        <f t="shared" si="3"/>
        <v>3.4690813562917089E-2</v>
      </c>
      <c r="J6" s="11">
        <f t="shared" si="4"/>
        <v>0.10881826531464109</v>
      </c>
      <c r="K6" s="10"/>
    </row>
    <row r="7" spans="1:11" ht="15.75" x14ac:dyDescent="0.25">
      <c r="A7" s="7">
        <v>210005</v>
      </c>
      <c r="B7" s="8" t="s">
        <v>14</v>
      </c>
      <c r="C7" s="9">
        <f t="shared" si="0"/>
        <v>301668380.74000001</v>
      </c>
      <c r="D7" s="10">
        <v>26139960.059999999</v>
      </c>
      <c r="E7" s="10">
        <v>23078215.09</v>
      </c>
      <c r="F7" s="10">
        <f t="shared" si="1"/>
        <v>49218175.149999999</v>
      </c>
      <c r="G7" s="10">
        <v>350886555.88999999</v>
      </c>
      <c r="H7" s="11">
        <f t="shared" si="2"/>
        <v>7.4496898274423087E-2</v>
      </c>
      <c r="I7" s="11">
        <f t="shared" si="3"/>
        <v>6.5771157950077819E-2</v>
      </c>
      <c r="J7" s="11">
        <f t="shared" si="4"/>
        <v>0.14026805622450092</v>
      </c>
      <c r="K7" s="10"/>
    </row>
    <row r="8" spans="1:11" ht="15.75" x14ac:dyDescent="0.25">
      <c r="A8" s="7">
        <v>210006</v>
      </c>
      <c r="B8" s="8" t="s">
        <v>15</v>
      </c>
      <c r="C8" s="9">
        <f t="shared" si="0"/>
        <v>88978098.310000002</v>
      </c>
      <c r="D8" s="10">
        <v>10527917.16</v>
      </c>
      <c r="E8" s="10">
        <v>7108831.71</v>
      </c>
      <c r="F8" s="10">
        <f t="shared" si="1"/>
        <v>17636748.870000001</v>
      </c>
      <c r="G8" s="10">
        <v>106614847.18000001</v>
      </c>
      <c r="H8" s="11">
        <f t="shared" si="2"/>
        <v>9.874719552170351E-2</v>
      </c>
      <c r="I8" s="11">
        <f t="shared" si="3"/>
        <v>6.6677689815547128E-2</v>
      </c>
      <c r="J8" s="11">
        <f t="shared" si="4"/>
        <v>0.16542488533725064</v>
      </c>
      <c r="K8" s="10"/>
    </row>
    <row r="9" spans="1:11" ht="15.75" x14ac:dyDescent="0.25">
      <c r="A9" s="7">
        <v>210008</v>
      </c>
      <c r="B9" s="8" t="s">
        <v>16</v>
      </c>
      <c r="C9" s="9">
        <f t="shared" si="0"/>
        <v>502751427.94999999</v>
      </c>
      <c r="D9" s="10">
        <v>18289611</v>
      </c>
      <c r="E9" s="10">
        <v>9991886.3100000005</v>
      </c>
      <c r="F9" s="10">
        <f t="shared" si="1"/>
        <v>28281497.310000002</v>
      </c>
      <c r="G9" s="10">
        <v>531032925.25999999</v>
      </c>
      <c r="H9" s="11">
        <f t="shared" si="2"/>
        <v>3.4441576275228487E-2</v>
      </c>
      <c r="I9" s="11">
        <f t="shared" si="3"/>
        <v>1.8815944990807972E-2</v>
      </c>
      <c r="J9" s="11">
        <f t="shared" si="4"/>
        <v>5.3257521266036466E-2</v>
      </c>
      <c r="K9" s="10"/>
    </row>
    <row r="10" spans="1:11" ht="15.75" x14ac:dyDescent="0.25">
      <c r="A10" s="7">
        <v>210009</v>
      </c>
      <c r="B10" s="8" t="s">
        <v>17</v>
      </c>
      <c r="C10" s="9">
        <f t="shared" si="0"/>
        <v>2204647494.0299997</v>
      </c>
      <c r="D10" s="10">
        <v>168753132.16999999</v>
      </c>
      <c r="E10" s="10">
        <v>47311260.670000002</v>
      </c>
      <c r="F10" s="10">
        <f t="shared" si="1"/>
        <v>216064392.83999997</v>
      </c>
      <c r="G10" s="10">
        <v>2420711886.8699999</v>
      </c>
      <c r="H10" s="11">
        <f t="shared" si="2"/>
        <v>6.9712192138734516E-2</v>
      </c>
      <c r="I10" s="11">
        <f t="shared" si="3"/>
        <v>1.9544358387554268E-2</v>
      </c>
      <c r="J10" s="11">
        <f t="shared" si="4"/>
        <v>8.9256550526288767E-2</v>
      </c>
      <c r="K10" s="10"/>
    </row>
    <row r="11" spans="1:11" ht="15.75" x14ac:dyDescent="0.25">
      <c r="A11" s="7">
        <v>210010</v>
      </c>
      <c r="B11" s="8" t="s">
        <v>18</v>
      </c>
      <c r="C11" s="9">
        <f t="shared" si="0"/>
        <v>41315427.019999996</v>
      </c>
      <c r="D11" s="10">
        <v>4373241.4000000004</v>
      </c>
      <c r="E11" s="10">
        <v>3726824.08</v>
      </c>
      <c r="F11" s="10">
        <f t="shared" si="1"/>
        <v>8100065.4800000004</v>
      </c>
      <c r="G11" s="10">
        <v>49415492.5</v>
      </c>
      <c r="H11" s="11">
        <f t="shared" si="2"/>
        <v>8.8499399252167738E-2</v>
      </c>
      <c r="I11" s="11">
        <f t="shared" si="3"/>
        <v>7.5418130862502278E-2</v>
      </c>
      <c r="J11" s="11">
        <f t="shared" si="4"/>
        <v>0.16391753011467003</v>
      </c>
      <c r="K11" s="10"/>
    </row>
    <row r="12" spans="1:11" ht="15.75" x14ac:dyDescent="0.25">
      <c r="A12" s="7">
        <v>210011</v>
      </c>
      <c r="B12" s="8" t="s">
        <v>19</v>
      </c>
      <c r="C12" s="9">
        <f t="shared" si="0"/>
        <v>368998270.75999999</v>
      </c>
      <c r="D12" s="10">
        <v>35227133.82</v>
      </c>
      <c r="E12" s="10">
        <v>28156897.059999999</v>
      </c>
      <c r="F12" s="10">
        <f t="shared" si="1"/>
        <v>63384030.879999995</v>
      </c>
      <c r="G12" s="10">
        <v>432382301.63999999</v>
      </c>
      <c r="H12" s="11">
        <f t="shared" si="2"/>
        <v>8.1472191822804976E-2</v>
      </c>
      <c r="I12" s="11">
        <f t="shared" si="3"/>
        <v>6.5120373690603403E-2</v>
      </c>
      <c r="J12" s="11">
        <f t="shared" si="4"/>
        <v>0.14659256551340835</v>
      </c>
      <c r="K12" s="10"/>
    </row>
    <row r="13" spans="1:11" ht="15.75" x14ac:dyDescent="0.25">
      <c r="A13" s="7">
        <v>210012</v>
      </c>
      <c r="B13" s="8" t="s">
        <v>20</v>
      </c>
      <c r="C13" s="9">
        <f t="shared" si="0"/>
        <v>708583403.15999997</v>
      </c>
      <c r="D13" s="10">
        <v>42755340.729999997</v>
      </c>
      <c r="E13" s="10">
        <v>26496911.16</v>
      </c>
      <c r="F13" s="10">
        <f t="shared" si="1"/>
        <v>69252251.890000001</v>
      </c>
      <c r="G13" s="10">
        <v>777835655.04999995</v>
      </c>
      <c r="H13" s="11">
        <f t="shared" si="2"/>
        <v>5.4967062068209831E-2</v>
      </c>
      <c r="I13" s="11">
        <f t="shared" si="3"/>
        <v>3.4064922310994804E-2</v>
      </c>
      <c r="J13" s="11">
        <f t="shared" si="4"/>
        <v>8.9031984379204634E-2</v>
      </c>
      <c r="K13" s="10"/>
    </row>
    <row r="14" spans="1:11" ht="15.75" x14ac:dyDescent="0.25">
      <c r="A14" s="7">
        <v>210013</v>
      </c>
      <c r="B14" s="8" t="s">
        <v>21</v>
      </c>
      <c r="C14" s="9">
        <f t="shared" si="0"/>
        <v>86290727.370000005</v>
      </c>
      <c r="D14" s="10">
        <v>15222821.310000001</v>
      </c>
      <c r="E14" s="10">
        <v>6306889.54</v>
      </c>
      <c r="F14" s="10">
        <f t="shared" si="1"/>
        <v>21529710.850000001</v>
      </c>
      <c r="G14" s="10">
        <v>107820438.22</v>
      </c>
      <c r="H14" s="11">
        <f t="shared" si="2"/>
        <v>0.14118678760087125</v>
      </c>
      <c r="I14" s="11">
        <f t="shared" si="3"/>
        <v>5.8494378655104672E-2</v>
      </c>
      <c r="J14" s="11">
        <f t="shared" si="4"/>
        <v>0.19968116625597593</v>
      </c>
      <c r="K14" s="10"/>
    </row>
    <row r="15" spans="1:11" ht="15.75" x14ac:dyDescent="0.25">
      <c r="A15" s="7">
        <v>210015</v>
      </c>
      <c r="B15" s="8" t="s">
        <v>22</v>
      </c>
      <c r="C15" s="9">
        <f t="shared" si="0"/>
        <v>446053267.81999999</v>
      </c>
      <c r="D15" s="10">
        <v>44458713.200000003</v>
      </c>
      <c r="E15" s="10">
        <v>31801019.940000001</v>
      </c>
      <c r="F15" s="10">
        <f t="shared" si="1"/>
        <v>76259733.140000001</v>
      </c>
      <c r="G15" s="10">
        <v>522313000.95999998</v>
      </c>
      <c r="H15" s="11">
        <f t="shared" si="2"/>
        <v>8.5118909769210896E-2</v>
      </c>
      <c r="I15" s="11">
        <f t="shared" si="3"/>
        <v>6.0884986361722598E-2</v>
      </c>
      <c r="J15" s="11">
        <f t="shared" si="4"/>
        <v>0.14600389613093348</v>
      </c>
      <c r="K15" s="10"/>
    </row>
    <row r="16" spans="1:11" ht="15.75" x14ac:dyDescent="0.25">
      <c r="A16" s="7">
        <v>210016</v>
      </c>
      <c r="B16" s="8" t="s">
        <v>23</v>
      </c>
      <c r="C16" s="9">
        <f t="shared" si="0"/>
        <v>235717043.44999999</v>
      </c>
      <c r="D16" s="10">
        <v>21274073.23</v>
      </c>
      <c r="E16" s="10">
        <v>15251229.51</v>
      </c>
      <c r="F16" s="10">
        <f t="shared" si="1"/>
        <v>36525302.740000002</v>
      </c>
      <c r="G16" s="10">
        <v>272242346.19</v>
      </c>
      <c r="H16" s="11">
        <f t="shared" si="2"/>
        <v>7.8143879994160295E-2</v>
      </c>
      <c r="I16" s="11">
        <f t="shared" si="3"/>
        <v>5.6020783406546357E-2</v>
      </c>
      <c r="J16" s="11">
        <f t="shared" si="4"/>
        <v>0.13416466340070665</v>
      </c>
      <c r="K16" s="10"/>
    </row>
    <row r="17" spans="1:11" ht="15.75" x14ac:dyDescent="0.25">
      <c r="A17" s="7">
        <v>210017</v>
      </c>
      <c r="B17" s="8" t="s">
        <v>24</v>
      </c>
      <c r="C17" s="9">
        <f t="shared" si="0"/>
        <v>50771448.240000002</v>
      </c>
      <c r="D17" s="10">
        <v>1441521.36</v>
      </c>
      <c r="E17" s="10">
        <v>2951096.17</v>
      </c>
      <c r="F17" s="10">
        <f t="shared" si="1"/>
        <v>4392617.53</v>
      </c>
      <c r="G17" s="10">
        <v>55164065.770000003</v>
      </c>
      <c r="H17" s="11">
        <f t="shared" si="2"/>
        <v>2.6131528557199746E-2</v>
      </c>
      <c r="I17" s="11">
        <f t="shared" si="3"/>
        <v>5.3496712557487038E-2</v>
      </c>
      <c r="J17" s="11">
        <f t="shared" si="4"/>
        <v>7.962824111468679E-2</v>
      </c>
      <c r="K17" s="10"/>
    </row>
    <row r="18" spans="1:11" ht="15.75" x14ac:dyDescent="0.25">
      <c r="A18" s="7">
        <v>210018</v>
      </c>
      <c r="B18" s="8" t="s">
        <v>25</v>
      </c>
      <c r="C18" s="9">
        <f t="shared" si="0"/>
        <v>158627803.36000001</v>
      </c>
      <c r="D18" s="10">
        <v>13161523.060000001</v>
      </c>
      <c r="E18" s="10">
        <v>8562914.8000000007</v>
      </c>
      <c r="F18" s="10">
        <f t="shared" si="1"/>
        <v>21724437.859999999</v>
      </c>
      <c r="G18" s="10">
        <v>180352241.22</v>
      </c>
      <c r="H18" s="11">
        <f t="shared" si="2"/>
        <v>7.2976764641062106E-2</v>
      </c>
      <c r="I18" s="11">
        <f t="shared" si="3"/>
        <v>4.7478837757023801E-2</v>
      </c>
      <c r="J18" s="11">
        <f t="shared" si="4"/>
        <v>0.12045560239808591</v>
      </c>
      <c r="K18" s="10"/>
    </row>
    <row r="19" spans="1:11" ht="15.75" x14ac:dyDescent="0.25">
      <c r="A19" s="7">
        <v>210019</v>
      </c>
      <c r="B19" s="8" t="s">
        <v>26</v>
      </c>
      <c r="C19" s="9">
        <f t="shared" si="0"/>
        <v>400062314.50999999</v>
      </c>
      <c r="D19" s="10">
        <v>28311939.170000002</v>
      </c>
      <c r="E19" s="10">
        <v>18732667.550000001</v>
      </c>
      <c r="F19" s="10">
        <f t="shared" si="1"/>
        <v>47044606.719999999</v>
      </c>
      <c r="G19" s="10">
        <v>447106921.23000002</v>
      </c>
      <c r="H19" s="11">
        <f t="shared" si="2"/>
        <v>6.33225249390309E-2</v>
      </c>
      <c r="I19" s="11">
        <f t="shared" si="3"/>
        <v>4.1897511893723455E-2</v>
      </c>
      <c r="J19" s="11">
        <f t="shared" si="4"/>
        <v>0.10522003683275435</v>
      </c>
      <c r="K19" s="10"/>
    </row>
    <row r="20" spans="1:11" ht="15.75" x14ac:dyDescent="0.25">
      <c r="A20" s="7">
        <v>210022</v>
      </c>
      <c r="B20" s="8" t="s">
        <v>27</v>
      </c>
      <c r="C20" s="9">
        <f t="shared" si="0"/>
        <v>284225507.33999997</v>
      </c>
      <c r="D20" s="10">
        <v>19974015.329999998</v>
      </c>
      <c r="E20" s="10">
        <v>11474075.859999999</v>
      </c>
      <c r="F20" s="10">
        <f t="shared" si="1"/>
        <v>31448091.189999998</v>
      </c>
      <c r="G20" s="10">
        <v>315673598.52999997</v>
      </c>
      <c r="H20" s="11">
        <f t="shared" si="2"/>
        <v>6.3274266276980948E-2</v>
      </c>
      <c r="I20" s="11">
        <f t="shared" si="3"/>
        <v>3.6347910986003991E-2</v>
      </c>
      <c r="J20" s="11">
        <f t="shared" si="4"/>
        <v>9.9622177262984932E-2</v>
      </c>
      <c r="K20" s="10"/>
    </row>
    <row r="21" spans="1:11" ht="15.75" x14ac:dyDescent="0.25">
      <c r="A21" s="7">
        <v>210023</v>
      </c>
      <c r="B21" s="8" t="s">
        <v>28</v>
      </c>
      <c r="C21" s="9">
        <f t="shared" si="0"/>
        <v>563963502.73000002</v>
      </c>
      <c r="D21" s="10">
        <v>28055311.559999999</v>
      </c>
      <c r="E21" s="10">
        <v>25670592.59</v>
      </c>
      <c r="F21" s="10">
        <f t="shared" si="1"/>
        <v>53725904.149999999</v>
      </c>
      <c r="G21" s="10">
        <v>617689406.88</v>
      </c>
      <c r="H21" s="11">
        <f t="shared" si="2"/>
        <v>4.5419771243463095E-2</v>
      </c>
      <c r="I21" s="11">
        <f t="shared" si="3"/>
        <v>4.15590623767765E-2</v>
      </c>
      <c r="J21" s="11">
        <f t="shared" si="4"/>
        <v>8.6978833620239601E-2</v>
      </c>
      <c r="K21" s="10"/>
    </row>
    <row r="22" spans="1:11" ht="15.75" x14ac:dyDescent="0.25">
      <c r="A22" s="7">
        <v>210024</v>
      </c>
      <c r="B22" s="8" t="s">
        <v>29</v>
      </c>
      <c r="C22" s="9">
        <f t="shared" si="0"/>
        <v>386130697.17999995</v>
      </c>
      <c r="D22" s="10">
        <v>29198789.510000002</v>
      </c>
      <c r="E22" s="10">
        <v>21958088.710000001</v>
      </c>
      <c r="F22" s="10">
        <f t="shared" si="1"/>
        <v>51156878.219999999</v>
      </c>
      <c r="G22" s="10">
        <v>437287575.39999998</v>
      </c>
      <c r="H22" s="11">
        <f t="shared" si="2"/>
        <v>6.6772511163371143E-2</v>
      </c>
      <c r="I22" s="11">
        <f t="shared" si="3"/>
        <v>5.021429819933549E-2</v>
      </c>
      <c r="J22" s="11">
        <f t="shared" si="4"/>
        <v>0.11698680936270663</v>
      </c>
      <c r="K22" s="10"/>
    </row>
    <row r="23" spans="1:11" ht="15.75" x14ac:dyDescent="0.25">
      <c r="A23" s="7">
        <v>210027</v>
      </c>
      <c r="B23" s="8" t="s">
        <v>30</v>
      </c>
      <c r="C23" s="9">
        <f t="shared" si="0"/>
        <v>293906629.49000001</v>
      </c>
      <c r="D23" s="10">
        <v>21467836.09</v>
      </c>
      <c r="E23" s="10">
        <v>15943973.140000001</v>
      </c>
      <c r="F23" s="10">
        <f t="shared" si="1"/>
        <v>37411809.230000004</v>
      </c>
      <c r="G23" s="10">
        <v>331318438.72000003</v>
      </c>
      <c r="H23" s="11">
        <f t="shared" si="2"/>
        <v>6.479517461490468E-2</v>
      </c>
      <c r="I23" s="11">
        <f t="shared" si="3"/>
        <v>4.8122806571216474E-2</v>
      </c>
      <c r="J23" s="11">
        <f t="shared" si="4"/>
        <v>0.11291798118612117</v>
      </c>
      <c r="K23" s="10"/>
    </row>
    <row r="24" spans="1:11" ht="15.75" x14ac:dyDescent="0.25">
      <c r="A24" s="7">
        <v>210028</v>
      </c>
      <c r="B24" s="8" t="s">
        <v>31</v>
      </c>
      <c r="C24" s="9">
        <f t="shared" si="0"/>
        <v>169323829.83999997</v>
      </c>
      <c r="D24" s="10">
        <v>10878237.08</v>
      </c>
      <c r="E24" s="10">
        <v>12607910.970000001</v>
      </c>
      <c r="F24" s="10">
        <f t="shared" si="1"/>
        <v>23486148.050000001</v>
      </c>
      <c r="G24" s="10">
        <v>192809977.88999999</v>
      </c>
      <c r="H24" s="11">
        <f t="shared" si="2"/>
        <v>5.6419471642728689E-2</v>
      </c>
      <c r="I24" s="11">
        <f t="shared" si="3"/>
        <v>6.5390344980968462E-2</v>
      </c>
      <c r="J24" s="11">
        <f t="shared" si="4"/>
        <v>0.12180981662369715</v>
      </c>
      <c r="K24" s="10"/>
    </row>
    <row r="25" spans="1:11" ht="15.75" x14ac:dyDescent="0.25">
      <c r="A25" s="7">
        <v>210029</v>
      </c>
      <c r="B25" s="8" t="s">
        <v>32</v>
      </c>
      <c r="C25" s="9">
        <f t="shared" si="0"/>
        <v>577887999.84000003</v>
      </c>
      <c r="D25" s="10">
        <v>48978506.659999996</v>
      </c>
      <c r="E25" s="10">
        <v>27988007.079999998</v>
      </c>
      <c r="F25" s="10">
        <f t="shared" si="1"/>
        <v>76966513.739999995</v>
      </c>
      <c r="G25" s="10">
        <v>654854513.58000004</v>
      </c>
      <c r="H25" s="11">
        <f t="shared" si="2"/>
        <v>7.4792958808882912E-2</v>
      </c>
      <c r="I25" s="11">
        <f t="shared" si="3"/>
        <v>4.2739274907022312E-2</v>
      </c>
      <c r="J25" s="11">
        <f t="shared" si="4"/>
        <v>0.11753223371590522</v>
      </c>
      <c r="K25" s="10"/>
    </row>
    <row r="26" spans="1:11" ht="15.75" x14ac:dyDescent="0.25">
      <c r="A26" s="7">
        <v>210030</v>
      </c>
      <c r="B26" s="8" t="s">
        <v>33</v>
      </c>
      <c r="C26" s="9">
        <f t="shared" si="0"/>
        <v>50476187.469999999</v>
      </c>
      <c r="D26" s="10">
        <v>3770762.81</v>
      </c>
      <c r="E26" s="10">
        <v>2959616.77</v>
      </c>
      <c r="F26" s="10">
        <f t="shared" si="1"/>
        <v>6730379.5800000001</v>
      </c>
      <c r="G26" s="10">
        <v>57206567.049999997</v>
      </c>
      <c r="H26" s="11">
        <f t="shared" si="2"/>
        <v>6.5914859157765182E-2</v>
      </c>
      <c r="I26" s="11">
        <f t="shared" si="3"/>
        <v>5.173561223160305E-2</v>
      </c>
      <c r="J26" s="11">
        <f t="shared" si="4"/>
        <v>0.11765047138936824</v>
      </c>
      <c r="K26" s="10"/>
    </row>
    <row r="27" spans="1:11" ht="15.75" x14ac:dyDescent="0.25">
      <c r="A27" s="7">
        <v>210032</v>
      </c>
      <c r="B27" s="8" t="s">
        <v>34</v>
      </c>
      <c r="C27" s="9">
        <f t="shared" si="0"/>
        <v>142783494.84999999</v>
      </c>
      <c r="D27" s="10">
        <v>9029343.1999999993</v>
      </c>
      <c r="E27" s="10">
        <v>9869614.2899999991</v>
      </c>
      <c r="F27" s="10">
        <f t="shared" si="1"/>
        <v>18898957.489999998</v>
      </c>
      <c r="G27" s="10">
        <v>161682452.34</v>
      </c>
      <c r="H27" s="11">
        <f t="shared" si="2"/>
        <v>5.5846154417625402E-2</v>
      </c>
      <c r="I27" s="11">
        <f t="shared" si="3"/>
        <v>6.1043200094746897E-2</v>
      </c>
      <c r="J27" s="11">
        <f t="shared" si="4"/>
        <v>0.1168893545123723</v>
      </c>
      <c r="K27" s="10"/>
    </row>
    <row r="28" spans="1:11" ht="15.75" x14ac:dyDescent="0.25">
      <c r="A28" s="7">
        <v>210033</v>
      </c>
      <c r="B28" s="8" t="s">
        <v>35</v>
      </c>
      <c r="C28" s="9">
        <f t="shared" si="0"/>
        <v>196283057.88999999</v>
      </c>
      <c r="D28" s="10">
        <v>19719789.789999999</v>
      </c>
      <c r="E28" s="10">
        <v>19221880.710000001</v>
      </c>
      <c r="F28" s="10">
        <f t="shared" si="1"/>
        <v>38941670.5</v>
      </c>
      <c r="G28" s="10">
        <v>235224728.38999999</v>
      </c>
      <c r="H28" s="11">
        <f t="shared" si="2"/>
        <v>8.3833829567887971E-2</v>
      </c>
      <c r="I28" s="11">
        <f t="shared" si="3"/>
        <v>8.1717091742711412E-2</v>
      </c>
      <c r="J28" s="11">
        <f t="shared" si="4"/>
        <v>0.16555092131059937</v>
      </c>
      <c r="K28" s="10"/>
    </row>
    <row r="29" spans="1:11" ht="15.75" x14ac:dyDescent="0.25">
      <c r="A29" s="7">
        <v>210034</v>
      </c>
      <c r="B29" s="8" t="s">
        <v>36</v>
      </c>
      <c r="C29" s="9">
        <f t="shared" si="0"/>
        <v>166678134.75999999</v>
      </c>
      <c r="D29" s="10">
        <v>18508973.789999999</v>
      </c>
      <c r="E29" s="10">
        <v>11866819.98</v>
      </c>
      <c r="F29" s="10">
        <f t="shared" si="1"/>
        <v>30375793.77</v>
      </c>
      <c r="G29" s="10">
        <v>197053928.53</v>
      </c>
      <c r="H29" s="11">
        <f t="shared" si="2"/>
        <v>9.392846886167075E-2</v>
      </c>
      <c r="I29" s="11">
        <f t="shared" si="3"/>
        <v>6.0221179392489832E-2</v>
      </c>
      <c r="J29" s="11">
        <f t="shared" si="4"/>
        <v>0.15414964825416058</v>
      </c>
      <c r="K29" s="10"/>
    </row>
    <row r="30" spans="1:11" ht="15.75" x14ac:dyDescent="0.25">
      <c r="A30" s="7">
        <v>210035</v>
      </c>
      <c r="B30" s="8" t="s">
        <v>37</v>
      </c>
      <c r="C30" s="9">
        <f t="shared" si="0"/>
        <v>132285309.21999998</v>
      </c>
      <c r="D30" s="10">
        <v>10199409.279999999</v>
      </c>
      <c r="E30" s="10">
        <v>8876415.8900000006</v>
      </c>
      <c r="F30" s="10">
        <f t="shared" si="1"/>
        <v>19075825.170000002</v>
      </c>
      <c r="G30" s="10">
        <v>151361134.38999999</v>
      </c>
      <c r="H30" s="11">
        <f t="shared" si="2"/>
        <v>6.7384598570198392E-2</v>
      </c>
      <c r="I30" s="11">
        <f t="shared" si="3"/>
        <v>5.8643957220410742E-2</v>
      </c>
      <c r="J30" s="11">
        <f t="shared" si="4"/>
        <v>0.12602855579060915</v>
      </c>
      <c r="K30" s="10"/>
    </row>
    <row r="31" spans="1:11" ht="15.75" x14ac:dyDescent="0.25">
      <c r="A31" s="7">
        <v>210037</v>
      </c>
      <c r="B31" s="8" t="s">
        <v>38</v>
      </c>
      <c r="C31" s="9">
        <f t="shared" si="0"/>
        <v>187936923.52000001</v>
      </c>
      <c r="D31" s="10">
        <v>11959082.619999999</v>
      </c>
      <c r="E31" s="10">
        <v>7130502.4400000004</v>
      </c>
      <c r="F31" s="10">
        <f t="shared" si="1"/>
        <v>19089585.059999999</v>
      </c>
      <c r="G31" s="10">
        <v>207026508.58000001</v>
      </c>
      <c r="H31" s="11">
        <f t="shared" si="2"/>
        <v>5.7765948438331133E-2</v>
      </c>
      <c r="I31" s="11">
        <f t="shared" si="3"/>
        <v>3.4442460962648185E-2</v>
      </c>
      <c r="J31" s="11">
        <f t="shared" si="4"/>
        <v>9.2208409400979324E-2</v>
      </c>
      <c r="K31" s="10"/>
    </row>
    <row r="32" spans="1:11" ht="15.75" x14ac:dyDescent="0.25">
      <c r="A32" s="7">
        <v>210038</v>
      </c>
      <c r="B32" s="8" t="s">
        <v>39</v>
      </c>
      <c r="C32" s="9">
        <f t="shared" si="0"/>
        <v>205010122.68000001</v>
      </c>
      <c r="D32" s="10">
        <v>22137629.219999999</v>
      </c>
      <c r="E32" s="10">
        <v>12508788.83</v>
      </c>
      <c r="F32" s="10">
        <f t="shared" si="1"/>
        <v>34646418.049999997</v>
      </c>
      <c r="G32" s="10">
        <v>239656540.72999999</v>
      </c>
      <c r="H32" s="11">
        <f t="shared" si="2"/>
        <v>9.2372313947986603E-2</v>
      </c>
      <c r="I32" s="11">
        <f t="shared" si="3"/>
        <v>5.2194648190689509E-2</v>
      </c>
      <c r="J32" s="11">
        <f t="shared" si="4"/>
        <v>0.14456696213867612</v>
      </c>
      <c r="K32" s="10"/>
    </row>
    <row r="33" spans="1:11" ht="15.75" x14ac:dyDescent="0.25">
      <c r="A33" s="7">
        <v>210039</v>
      </c>
      <c r="B33" s="8" t="s">
        <v>40</v>
      </c>
      <c r="C33" s="9">
        <f t="shared" si="0"/>
        <v>131851278.43000001</v>
      </c>
      <c r="D33" s="10">
        <v>7432032.4699999997</v>
      </c>
      <c r="E33" s="10">
        <v>9381184.0399999991</v>
      </c>
      <c r="F33" s="10">
        <f t="shared" si="1"/>
        <v>16813216.509999998</v>
      </c>
      <c r="G33" s="10">
        <v>148664494.94</v>
      </c>
      <c r="H33" s="11">
        <f t="shared" si="2"/>
        <v>4.9991980082396394E-2</v>
      </c>
      <c r="I33" s="11">
        <f t="shared" si="3"/>
        <v>6.3103056609355057E-2</v>
      </c>
      <c r="J33" s="11">
        <f t="shared" si="4"/>
        <v>0.11309503669175146</v>
      </c>
      <c r="K33" s="10"/>
    </row>
    <row r="34" spans="1:11" ht="15.75" x14ac:dyDescent="0.25">
      <c r="A34" s="7">
        <v>210040</v>
      </c>
      <c r="B34" s="8" t="s">
        <v>41</v>
      </c>
      <c r="C34" s="9">
        <f t="shared" si="0"/>
        <v>220634164.56</v>
      </c>
      <c r="D34" s="10">
        <v>20973250.579999998</v>
      </c>
      <c r="E34" s="10">
        <v>20983988.949999999</v>
      </c>
      <c r="F34" s="10">
        <f t="shared" si="1"/>
        <v>41957239.530000001</v>
      </c>
      <c r="G34" s="10">
        <v>262591404.09</v>
      </c>
      <c r="H34" s="11">
        <f t="shared" si="2"/>
        <v>7.9870286130202764E-2</v>
      </c>
      <c r="I34" s="11">
        <f t="shared" si="3"/>
        <v>7.9911179966911605E-2</v>
      </c>
      <c r="J34" s="11">
        <f t="shared" si="4"/>
        <v>0.15978146609711438</v>
      </c>
      <c r="K34" s="10"/>
    </row>
    <row r="35" spans="1:11" ht="15.75" x14ac:dyDescent="0.25">
      <c r="A35" s="7">
        <v>210043</v>
      </c>
      <c r="B35" s="8" t="s">
        <v>42</v>
      </c>
      <c r="C35" s="9">
        <f t="shared" si="0"/>
        <v>359937624.33999997</v>
      </c>
      <c r="D35" s="10">
        <v>35289231.759999998</v>
      </c>
      <c r="E35" s="10">
        <v>25385674.66</v>
      </c>
      <c r="F35" s="10">
        <f t="shared" si="1"/>
        <v>60674906.420000002</v>
      </c>
      <c r="G35" s="10">
        <v>420612530.75999999</v>
      </c>
      <c r="H35" s="11">
        <f t="shared" si="2"/>
        <v>8.3899620622895577E-2</v>
      </c>
      <c r="I35" s="11">
        <f t="shared" si="3"/>
        <v>6.0354061763521198E-2</v>
      </c>
      <c r="J35" s="11">
        <f t="shared" si="4"/>
        <v>0.14425368238641678</v>
      </c>
      <c r="K35" s="10"/>
    </row>
    <row r="36" spans="1:11" ht="15.75" x14ac:dyDescent="0.25">
      <c r="A36" s="7">
        <v>210044</v>
      </c>
      <c r="B36" s="8" t="s">
        <v>43</v>
      </c>
      <c r="C36" s="9">
        <f t="shared" si="0"/>
        <v>436186477.97000003</v>
      </c>
      <c r="D36" s="10">
        <v>21761844.73</v>
      </c>
      <c r="E36" s="10">
        <v>14941737.41</v>
      </c>
      <c r="F36" s="10">
        <f t="shared" si="1"/>
        <v>36703582.140000001</v>
      </c>
      <c r="G36" s="10">
        <v>472890060.11000001</v>
      </c>
      <c r="H36" s="11">
        <f t="shared" si="2"/>
        <v>4.6018824597281509E-2</v>
      </c>
      <c r="I36" s="11">
        <f t="shared" si="3"/>
        <v>3.159664089053673E-2</v>
      </c>
      <c r="J36" s="11">
        <f t="shared" si="4"/>
        <v>7.7615465487818239E-2</v>
      </c>
      <c r="K36" s="10"/>
    </row>
    <row r="37" spans="1:11" ht="15.75" x14ac:dyDescent="0.25">
      <c r="A37" s="7">
        <v>210045</v>
      </c>
      <c r="B37" s="8" t="s">
        <v>44</v>
      </c>
      <c r="C37" s="9">
        <f t="shared" si="0"/>
        <v>16060387.890000001</v>
      </c>
      <c r="D37" s="10">
        <v>395109.04</v>
      </c>
      <c r="E37" s="10">
        <v>1007695.12</v>
      </c>
      <c r="F37" s="10">
        <f t="shared" si="1"/>
        <v>1402804.16</v>
      </c>
      <c r="G37" s="10">
        <v>17463192.050000001</v>
      </c>
      <c r="H37" s="11">
        <f t="shared" si="2"/>
        <v>2.2625247369938876E-2</v>
      </c>
      <c r="I37" s="11">
        <f t="shared" si="3"/>
        <v>5.7703947658297665E-2</v>
      </c>
      <c r="J37" s="11">
        <f t="shared" si="4"/>
        <v>8.0329195028236544E-2</v>
      </c>
      <c r="K37" s="10"/>
    </row>
    <row r="38" spans="1:11" ht="15.75" x14ac:dyDescent="0.25">
      <c r="A38" s="7">
        <v>210048</v>
      </c>
      <c r="B38" s="8" t="s">
        <v>45</v>
      </c>
      <c r="C38" s="9">
        <f t="shared" si="0"/>
        <v>269141884.48000002</v>
      </c>
      <c r="D38" s="10">
        <v>23253196.300000001</v>
      </c>
      <c r="E38" s="10">
        <v>15978249.09</v>
      </c>
      <c r="F38" s="10">
        <f t="shared" si="1"/>
        <v>39231445.390000001</v>
      </c>
      <c r="G38" s="10">
        <v>308373329.87</v>
      </c>
      <c r="H38" s="11">
        <f t="shared" si="2"/>
        <v>7.5405990232043668E-2</v>
      </c>
      <c r="I38" s="11">
        <f t="shared" si="3"/>
        <v>5.1814627084436585E-2</v>
      </c>
      <c r="J38" s="11">
        <f t="shared" si="4"/>
        <v>0.12722061731648027</v>
      </c>
      <c r="K38" s="10"/>
    </row>
    <row r="39" spans="1:11" ht="15.75" x14ac:dyDescent="0.25">
      <c r="A39" s="7">
        <v>210049</v>
      </c>
      <c r="B39" s="8" t="s">
        <v>46</v>
      </c>
      <c r="C39" s="9">
        <f t="shared" si="0"/>
        <v>306611922.91000003</v>
      </c>
      <c r="D39" s="10">
        <v>21116739.550000001</v>
      </c>
      <c r="E39" s="10">
        <v>16547776.4</v>
      </c>
      <c r="F39" s="10">
        <f t="shared" si="1"/>
        <v>37664515.950000003</v>
      </c>
      <c r="G39" s="10">
        <v>344276438.86000001</v>
      </c>
      <c r="H39" s="11">
        <f t="shared" si="2"/>
        <v>6.1336580626672278E-2</v>
      </c>
      <c r="I39" s="11">
        <f t="shared" si="3"/>
        <v>4.8065375762554444E-2</v>
      </c>
      <c r="J39" s="11">
        <f t="shared" si="4"/>
        <v>0.10940195638922673</v>
      </c>
      <c r="K39" s="10"/>
    </row>
    <row r="40" spans="1:11" ht="15.75" x14ac:dyDescent="0.25">
      <c r="A40" s="7">
        <v>210051</v>
      </c>
      <c r="B40" s="8" t="s">
        <v>47</v>
      </c>
      <c r="C40" s="9">
        <f t="shared" si="0"/>
        <v>196035946.60999998</v>
      </c>
      <c r="D40" s="10">
        <v>22818962.870000001</v>
      </c>
      <c r="E40" s="10">
        <v>18452713.16</v>
      </c>
      <c r="F40" s="10">
        <f t="shared" si="1"/>
        <v>41271676.030000001</v>
      </c>
      <c r="G40" s="10">
        <v>237307622.63999999</v>
      </c>
      <c r="H40" s="11">
        <f t="shared" si="2"/>
        <v>9.6157732381891445E-2</v>
      </c>
      <c r="I40" s="11">
        <f t="shared" si="3"/>
        <v>7.7758619612455962E-2</v>
      </c>
      <c r="J40" s="11">
        <f t="shared" si="4"/>
        <v>0.17391635199434741</v>
      </c>
      <c r="K40" s="10"/>
    </row>
    <row r="41" spans="1:11" ht="15.75" x14ac:dyDescent="0.25">
      <c r="A41" s="7">
        <v>210055</v>
      </c>
      <c r="B41" s="8" t="s">
        <v>48</v>
      </c>
      <c r="C41" s="9">
        <f t="shared" si="0"/>
        <v>90514175.25999999</v>
      </c>
      <c r="D41" s="10">
        <v>6139259.5</v>
      </c>
      <c r="E41" s="10">
        <v>4720685.57</v>
      </c>
      <c r="F41" s="10">
        <f t="shared" si="1"/>
        <v>10859945.07</v>
      </c>
      <c r="G41" s="10">
        <v>101374120.33</v>
      </c>
      <c r="H41" s="11">
        <f t="shared" si="2"/>
        <v>6.056042193032167E-2</v>
      </c>
      <c r="I41" s="11">
        <f t="shared" si="3"/>
        <v>4.6566969504967345E-2</v>
      </c>
      <c r="J41" s="11">
        <f t="shared" si="4"/>
        <v>0.10712739143528902</v>
      </c>
      <c r="K41" s="10"/>
    </row>
    <row r="42" spans="1:11" ht="15.75" x14ac:dyDescent="0.25">
      <c r="A42" s="7">
        <v>210056</v>
      </c>
      <c r="B42" s="8" t="s">
        <v>49</v>
      </c>
      <c r="C42" s="9">
        <f t="shared" si="0"/>
        <v>247584495.53</v>
      </c>
      <c r="D42" s="10">
        <v>28568836.289999999</v>
      </c>
      <c r="E42" s="10">
        <v>22314061.859999999</v>
      </c>
      <c r="F42" s="10">
        <f t="shared" si="1"/>
        <v>50882898.149999999</v>
      </c>
      <c r="G42" s="10">
        <v>298467393.68000001</v>
      </c>
      <c r="H42" s="11">
        <f t="shared" si="2"/>
        <v>9.5718449971221656E-2</v>
      </c>
      <c r="I42" s="11">
        <f t="shared" si="3"/>
        <v>7.4762142641027929E-2</v>
      </c>
      <c r="J42" s="11">
        <f t="shared" si="4"/>
        <v>0.1704805926122496</v>
      </c>
      <c r="K42" s="10"/>
    </row>
    <row r="43" spans="1:11" ht="15.75" x14ac:dyDescent="0.25">
      <c r="A43" s="7">
        <v>210057</v>
      </c>
      <c r="B43" s="8" t="s">
        <v>50</v>
      </c>
      <c r="C43" s="9">
        <f t="shared" si="0"/>
        <v>359105683.14999998</v>
      </c>
      <c r="D43" s="10">
        <v>27052950.52</v>
      </c>
      <c r="E43" s="10">
        <v>15010189.51</v>
      </c>
      <c r="F43" s="10">
        <f t="shared" si="1"/>
        <v>42063140.030000001</v>
      </c>
      <c r="G43" s="10">
        <v>401168823.18000001</v>
      </c>
      <c r="H43" s="11">
        <f t="shared" si="2"/>
        <v>6.7435326368474158E-2</v>
      </c>
      <c r="I43" s="11">
        <f t="shared" si="3"/>
        <v>3.7416141640859997E-2</v>
      </c>
      <c r="J43" s="11">
        <f t="shared" si="4"/>
        <v>0.10485146800933416</v>
      </c>
      <c r="K43" s="10"/>
    </row>
    <row r="44" spans="1:11" ht="15.75" x14ac:dyDescent="0.25">
      <c r="A44" s="7">
        <v>210058</v>
      </c>
      <c r="B44" s="8" t="s">
        <v>51</v>
      </c>
      <c r="C44" s="9">
        <f t="shared" si="0"/>
        <v>125099231.33</v>
      </c>
      <c r="D44" s="10">
        <v>124313.88</v>
      </c>
      <c r="E44" s="10"/>
      <c r="F44" s="10">
        <f t="shared" si="1"/>
        <v>124313.88</v>
      </c>
      <c r="G44" s="10">
        <v>125223545.20999999</v>
      </c>
      <c r="H44" s="11">
        <f t="shared" si="2"/>
        <v>9.9273566957017167E-4</v>
      </c>
      <c r="I44" s="11">
        <f t="shared" si="3"/>
        <v>0</v>
      </c>
      <c r="J44" s="11">
        <f t="shared" si="4"/>
        <v>9.9273566957017167E-4</v>
      </c>
      <c r="K44" s="10"/>
    </row>
    <row r="45" spans="1:11" ht="15.75" x14ac:dyDescent="0.25">
      <c r="A45" s="7">
        <v>210060</v>
      </c>
      <c r="B45" s="8" t="s">
        <v>52</v>
      </c>
      <c r="C45" s="9">
        <f t="shared" si="0"/>
        <v>41616977.979999997</v>
      </c>
      <c r="D45" s="10">
        <v>2492556.63</v>
      </c>
      <c r="E45" s="10">
        <v>4544703.79</v>
      </c>
      <c r="F45" s="10">
        <f t="shared" si="1"/>
        <v>7037260.4199999999</v>
      </c>
      <c r="G45" s="10">
        <v>48654238.399999999</v>
      </c>
      <c r="H45" s="11">
        <f t="shared" si="2"/>
        <v>5.1229999933572079E-2</v>
      </c>
      <c r="I45" s="11">
        <f t="shared" si="3"/>
        <v>9.3408178597653282E-2</v>
      </c>
      <c r="J45" s="11">
        <f t="shared" si="4"/>
        <v>0.14463817853122535</v>
      </c>
      <c r="K45" s="10"/>
    </row>
    <row r="46" spans="1:11" ht="15.75" x14ac:dyDescent="0.25">
      <c r="A46" s="7">
        <v>210061</v>
      </c>
      <c r="B46" s="8" t="s">
        <v>53</v>
      </c>
      <c r="C46" s="9">
        <f t="shared" si="0"/>
        <v>98901133.269999996</v>
      </c>
      <c r="D46" s="10">
        <v>4484807.9400000004</v>
      </c>
      <c r="E46" s="10">
        <v>5473522.3399999999</v>
      </c>
      <c r="F46" s="10">
        <f t="shared" si="1"/>
        <v>9958330.2800000012</v>
      </c>
      <c r="G46" s="10">
        <v>108859463.55</v>
      </c>
      <c r="H46" s="11">
        <f t="shared" si="2"/>
        <v>4.1198144779944587E-2</v>
      </c>
      <c r="I46" s="11">
        <f t="shared" si="3"/>
        <v>5.0280629368396335E-2</v>
      </c>
      <c r="J46" s="11">
        <f t="shared" si="4"/>
        <v>9.1478774148340922E-2</v>
      </c>
      <c r="K46" s="10"/>
    </row>
    <row r="47" spans="1:11" ht="15.75" x14ac:dyDescent="0.25">
      <c r="A47" s="7">
        <v>210062</v>
      </c>
      <c r="B47" s="8" t="s">
        <v>54</v>
      </c>
      <c r="C47" s="9">
        <f t="shared" si="0"/>
        <v>226782753.28000003</v>
      </c>
      <c r="D47" s="10">
        <v>24750326.620000001</v>
      </c>
      <c r="E47" s="10">
        <v>20738340.640000001</v>
      </c>
      <c r="F47" s="10">
        <f t="shared" si="1"/>
        <v>45488667.260000005</v>
      </c>
      <c r="G47" s="10">
        <v>272271420.54000002</v>
      </c>
      <c r="H47" s="11">
        <f t="shared" si="2"/>
        <v>9.0903138386365726E-2</v>
      </c>
      <c r="I47" s="11">
        <f t="shared" si="3"/>
        <v>7.616789378359777E-2</v>
      </c>
      <c r="J47" s="11">
        <f t="shared" si="4"/>
        <v>0.1670710321699635</v>
      </c>
      <c r="K47" s="10"/>
    </row>
    <row r="48" spans="1:11" ht="15.75" x14ac:dyDescent="0.25">
      <c r="A48" s="7">
        <v>210063</v>
      </c>
      <c r="B48" s="8" t="s">
        <v>55</v>
      </c>
      <c r="C48" s="9">
        <f t="shared" si="0"/>
        <v>384002899.81999999</v>
      </c>
      <c r="D48" s="10">
        <v>20708578.940000001</v>
      </c>
      <c r="E48" s="10">
        <v>11795139.369999999</v>
      </c>
      <c r="F48" s="10">
        <f t="shared" si="1"/>
        <v>32503718.310000002</v>
      </c>
      <c r="G48" s="10">
        <v>416506618.13</v>
      </c>
      <c r="H48" s="11">
        <f t="shared" si="2"/>
        <v>4.9719687607788367E-2</v>
      </c>
      <c r="I48" s="11">
        <f t="shared" si="3"/>
        <v>2.8319212364396336E-2</v>
      </c>
      <c r="J48" s="11">
        <f t="shared" si="4"/>
        <v>7.8038899972184703E-2</v>
      </c>
      <c r="K48" s="10"/>
    </row>
    <row r="49" spans="1:11" ht="15.75" x14ac:dyDescent="0.25">
      <c r="A49" s="7">
        <v>210064</v>
      </c>
      <c r="B49" s="8" t="s">
        <v>56</v>
      </c>
      <c r="C49" s="9">
        <f t="shared" si="0"/>
        <v>54110621.099999994</v>
      </c>
      <c r="D49" s="10">
        <v>4174995.38</v>
      </c>
      <c r="E49" s="10"/>
      <c r="F49" s="10">
        <f t="shared" si="1"/>
        <v>4174995.38</v>
      </c>
      <c r="G49" s="10">
        <v>58285616.479999997</v>
      </c>
      <c r="H49" s="11">
        <f t="shared" si="2"/>
        <v>7.1629942893931625E-2</v>
      </c>
      <c r="I49" s="11">
        <f t="shared" si="3"/>
        <v>0</v>
      </c>
      <c r="J49" s="11">
        <f t="shared" si="4"/>
        <v>7.1629942893931625E-2</v>
      </c>
      <c r="K49" s="10"/>
    </row>
    <row r="50" spans="1:11" ht="15.75" x14ac:dyDescent="0.25">
      <c r="A50" s="7">
        <v>210065</v>
      </c>
      <c r="B50" s="8" t="s">
        <v>57</v>
      </c>
      <c r="C50" s="9">
        <f t="shared" si="0"/>
        <v>84357920.460000008</v>
      </c>
      <c r="D50" s="10">
        <v>7153029.6699999999</v>
      </c>
      <c r="E50" s="10">
        <v>5277822.2699999996</v>
      </c>
      <c r="F50" s="10">
        <f t="shared" si="1"/>
        <v>12430851.939999999</v>
      </c>
      <c r="G50" s="10">
        <v>96788772.400000006</v>
      </c>
      <c r="H50" s="11">
        <f t="shared" si="2"/>
        <v>7.3903506498032609E-2</v>
      </c>
      <c r="I50" s="11">
        <f t="shared" si="3"/>
        <v>5.4529282055446333E-2</v>
      </c>
      <c r="J50" s="11">
        <f t="shared" si="4"/>
        <v>0.12843278855347895</v>
      </c>
      <c r="K50" s="10"/>
    </row>
    <row r="51" spans="1:11" ht="15.75" x14ac:dyDescent="0.25">
      <c r="A51" s="7"/>
      <c r="B51" s="12"/>
      <c r="C51" s="13"/>
      <c r="E51" s="14"/>
      <c r="F51" s="14"/>
      <c r="G51" s="14"/>
      <c r="H51" s="15"/>
      <c r="I51" s="15"/>
      <c r="J51" s="15"/>
    </row>
    <row r="52" spans="1:11" ht="15.75" x14ac:dyDescent="0.25">
      <c r="A52" s="17" t="s">
        <v>58</v>
      </c>
      <c r="B52" s="17"/>
      <c r="C52" s="14">
        <f>G52-F52</f>
        <v>15149341051.280001</v>
      </c>
      <c r="D52" s="14">
        <v>1157278565.1099999</v>
      </c>
      <c r="E52" s="14">
        <v>715599646.23000002</v>
      </c>
      <c r="F52" s="14">
        <f>SUM(F3:F50)</f>
        <v>1872878211.3400004</v>
      </c>
      <c r="G52" s="14">
        <v>17022219262.620001</v>
      </c>
      <c r="H52" s="11">
        <f t="shared" si="2"/>
        <v>6.798635050197771E-2</v>
      </c>
      <c r="I52" s="11">
        <f t="shared" si="3"/>
        <v>4.2039151017248581E-2</v>
      </c>
      <c r="J52" s="11">
        <f>F52/G52</f>
        <v>0.11002550151922631</v>
      </c>
    </row>
    <row r="53" spans="1:11" x14ac:dyDescent="0.2">
      <c r="A53" s="7"/>
      <c r="B53" s="7"/>
      <c r="C53" s="18"/>
      <c r="D53" s="18"/>
      <c r="E53" s="18"/>
      <c r="F53" s="18"/>
      <c r="G53" s="64"/>
      <c r="H53" s="19"/>
      <c r="I53" s="19"/>
      <c r="J53" s="19"/>
    </row>
    <row r="54" spans="1:11" x14ac:dyDescent="0.2">
      <c r="A54" s="7"/>
      <c r="B54" s="7"/>
      <c r="C54" s="20"/>
      <c r="D54" s="20"/>
      <c r="E54" s="20"/>
      <c r="F54" s="20"/>
      <c r="G54" s="20"/>
      <c r="H54" s="21"/>
      <c r="I54" s="21"/>
      <c r="J54" s="19"/>
    </row>
    <row r="55" spans="1:11" x14ac:dyDescent="0.2">
      <c r="A55" s="22"/>
    </row>
    <row r="56" spans="1:11" x14ac:dyDescent="0.2">
      <c r="A56" s="23"/>
      <c r="C56" s="24"/>
      <c r="D56" s="24"/>
      <c r="E56" s="24"/>
      <c r="F56" s="24"/>
      <c r="G56" s="24"/>
      <c r="H56" s="25"/>
      <c r="I56" s="25"/>
      <c r="J56" s="16"/>
    </row>
    <row r="57" spans="1:11" ht="15.75" thickBot="1" x14ac:dyDescent="0.25">
      <c r="A57" s="26"/>
    </row>
    <row r="61" spans="1:11" x14ac:dyDescent="0.2">
      <c r="C61" s="27"/>
    </row>
  </sheetData>
  <autoFilter ref="A2:J2">
    <sortState ref="A3:J50">
      <sortCondition ref="A2"/>
    </sortState>
  </autoFilter>
  <pageMargins left="0.25" right="0.25" top="0.75" bottom="0.75" header="0.3" footer="0.3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19"/>
  <sheetViews>
    <sheetView workbookViewId="0">
      <selection activeCell="C14" sqref="C14"/>
    </sheetView>
  </sheetViews>
  <sheetFormatPr defaultColWidth="8.85546875" defaultRowHeight="15" x14ac:dyDescent="0.25"/>
  <cols>
    <col min="1" max="1" width="41.7109375" style="43" customWidth="1"/>
    <col min="2" max="2" width="8.85546875" style="43"/>
    <col min="3" max="3" width="35" style="43" customWidth="1"/>
    <col min="4" max="4" width="22.28515625" style="43" bestFit="1" customWidth="1"/>
    <col min="5" max="5" width="15.28515625" style="43" bestFit="1" customWidth="1"/>
    <col min="6" max="16384" width="8.85546875" style="43"/>
  </cols>
  <sheetData>
    <row r="2" spans="1:5" ht="16.5" thickBot="1" x14ac:dyDescent="0.3">
      <c r="A2" s="28" t="s">
        <v>59</v>
      </c>
      <c r="B2" s="29" t="s">
        <v>60</v>
      </c>
      <c r="C2" s="30"/>
    </row>
    <row r="3" spans="1:5" ht="15" customHeight="1" x14ac:dyDescent="0.25">
      <c r="A3" s="48" t="s">
        <v>95</v>
      </c>
      <c r="B3" s="49" t="s">
        <v>61</v>
      </c>
      <c r="C3" s="63">
        <f>'[3]Source Revenue'!$C$52</f>
        <v>16292627632.201357</v>
      </c>
    </row>
    <row r="4" spans="1:5" ht="15.75" x14ac:dyDescent="0.25">
      <c r="A4" s="50" t="s">
        <v>62</v>
      </c>
      <c r="B4" s="51" t="s">
        <v>63</v>
      </c>
      <c r="C4" s="52">
        <v>-1.7500000000000002E-2</v>
      </c>
      <c r="D4" s="44"/>
      <c r="E4" s="31"/>
    </row>
    <row r="5" spans="1:5" ht="15.75" x14ac:dyDescent="0.25">
      <c r="A5" s="50" t="s">
        <v>64</v>
      </c>
      <c r="B5" s="51" t="s">
        <v>65</v>
      </c>
      <c r="C5" s="53">
        <f>C4*C3</f>
        <v>-285120983.56352377</v>
      </c>
      <c r="E5" s="45"/>
    </row>
    <row r="6" spans="1:5" ht="15.75" x14ac:dyDescent="0.25">
      <c r="A6" s="32"/>
      <c r="B6" s="54"/>
      <c r="C6" s="55"/>
    </row>
    <row r="7" spans="1:5" ht="15.75" x14ac:dyDescent="0.25">
      <c r="A7" s="33"/>
      <c r="B7" s="51"/>
      <c r="C7" s="56"/>
    </row>
    <row r="8" spans="1:5" ht="15.75" x14ac:dyDescent="0.25">
      <c r="A8" s="50" t="s">
        <v>66</v>
      </c>
      <c r="B8" s="51" t="s">
        <v>67</v>
      </c>
      <c r="C8" s="57">
        <f>'Source  PAU%'!J52</f>
        <v>0.11002550151922631</v>
      </c>
    </row>
    <row r="9" spans="1:5" ht="15.75" x14ac:dyDescent="0.25">
      <c r="A9" s="50" t="s">
        <v>68</v>
      </c>
      <c r="B9" s="51" t="s">
        <v>69</v>
      </c>
      <c r="C9" s="58">
        <f>C3*C8</f>
        <v>1792604526.298959</v>
      </c>
      <c r="D9" s="34"/>
    </row>
    <row r="10" spans="1:5" ht="16.5" thickBot="1" x14ac:dyDescent="0.3">
      <c r="A10" s="59" t="s">
        <v>70</v>
      </c>
      <c r="B10" s="60" t="s">
        <v>71</v>
      </c>
      <c r="C10" s="61">
        <f>C5/C9</f>
        <v>-0.1590540352769215</v>
      </c>
      <c r="D10" s="31"/>
    </row>
    <row r="13" spans="1:5" ht="31.5" x14ac:dyDescent="0.25">
      <c r="A13" s="62" t="s">
        <v>82</v>
      </c>
      <c r="B13" s="46"/>
      <c r="C13" s="65">
        <f>'7. PAU Savings to Use'!J54</f>
        <v>-1.7500000000000002E-2</v>
      </c>
    </row>
    <row r="14" spans="1:5" ht="15.75" x14ac:dyDescent="0.25">
      <c r="A14" s="62" t="s">
        <v>83</v>
      </c>
      <c r="B14" s="46"/>
      <c r="C14" s="42">
        <f>C13*C3/'[4]Source Revenue'!$E$52</f>
        <v>-3.1781759366934746E-2</v>
      </c>
      <c r="D14" s="34"/>
    </row>
    <row r="17" spans="3:3" x14ac:dyDescent="0.25">
      <c r="C17" s="44"/>
    </row>
    <row r="18" spans="3:3" x14ac:dyDescent="0.25">
      <c r="C18" s="44"/>
    </row>
    <row r="19" spans="3:3" x14ac:dyDescent="0.25">
      <c r="C1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B58"/>
  <sheetViews>
    <sheetView tabSelected="1" topLeftCell="B1" zoomScaleNormal="100" workbookViewId="0">
      <selection activeCell="Q57" sqref="Q57"/>
    </sheetView>
  </sheetViews>
  <sheetFormatPr defaultColWidth="9.28515625" defaultRowHeight="14.25" x14ac:dyDescent="0.2"/>
  <cols>
    <col min="1" max="1" width="7.7109375" style="68" customWidth="1"/>
    <col min="2" max="2" width="20.140625" style="68" customWidth="1"/>
    <col min="3" max="3" width="16.28515625" style="68" customWidth="1"/>
    <col min="4" max="4" width="7.85546875" style="84" customWidth="1"/>
    <col min="5" max="5" width="15" style="68" customWidth="1"/>
    <col min="6" max="6" width="14.85546875" style="68" customWidth="1"/>
    <col min="7" max="8" width="13.85546875" style="68" customWidth="1"/>
    <col min="9" max="9" width="18.28515625" style="68" customWidth="1"/>
    <col min="10" max="11" width="18" style="68" customWidth="1"/>
    <col min="12" max="12" width="15.140625" style="68" customWidth="1"/>
    <col min="13" max="13" width="11.28515625" style="68" customWidth="1"/>
    <col min="14" max="14" width="13.28515625" style="68" customWidth="1"/>
    <col min="15" max="15" width="25.140625" style="69" bestFit="1" customWidth="1"/>
    <col min="16" max="28" width="9.28515625" style="69"/>
    <col min="29" max="237" width="9.28515625" style="68"/>
    <col min="238" max="238" width="11.7109375" style="68" customWidth="1"/>
    <col min="239" max="239" width="28.28515625" style="68" customWidth="1"/>
    <col min="240" max="240" width="25.7109375" style="68" customWidth="1"/>
    <col min="241" max="241" width="16" style="68" customWidth="1"/>
    <col min="242" max="242" width="16.7109375" style="68" customWidth="1"/>
    <col min="243" max="243" width="13.42578125" style="68" customWidth="1"/>
    <col min="244" max="244" width="14.28515625" style="68" customWidth="1"/>
    <col min="245" max="245" width="18.28515625" style="68" customWidth="1"/>
    <col min="246" max="246" width="17.42578125" style="68" bestFit="1" customWidth="1"/>
    <col min="247" max="247" width="18.28515625" style="68" bestFit="1" customWidth="1"/>
    <col min="248" max="493" width="9.28515625" style="68"/>
    <col min="494" max="494" width="11.7109375" style="68" customWidth="1"/>
    <col min="495" max="495" width="28.28515625" style="68" customWidth="1"/>
    <col min="496" max="496" width="25.7109375" style="68" customWidth="1"/>
    <col min="497" max="497" width="16" style="68" customWidth="1"/>
    <col min="498" max="498" width="16.7109375" style="68" customWidth="1"/>
    <col min="499" max="499" width="13.42578125" style="68" customWidth="1"/>
    <col min="500" max="500" width="14.28515625" style="68" customWidth="1"/>
    <col min="501" max="501" width="18.28515625" style="68" customWidth="1"/>
    <col min="502" max="502" width="17.42578125" style="68" bestFit="1" customWidth="1"/>
    <col min="503" max="503" width="18.28515625" style="68" bestFit="1" customWidth="1"/>
    <col min="504" max="749" width="9.28515625" style="68"/>
    <col min="750" max="750" width="11.7109375" style="68" customWidth="1"/>
    <col min="751" max="751" width="28.28515625" style="68" customWidth="1"/>
    <col min="752" max="752" width="25.7109375" style="68" customWidth="1"/>
    <col min="753" max="753" width="16" style="68" customWidth="1"/>
    <col min="754" max="754" width="16.7109375" style="68" customWidth="1"/>
    <col min="755" max="755" width="13.42578125" style="68" customWidth="1"/>
    <col min="756" max="756" width="14.28515625" style="68" customWidth="1"/>
    <col min="757" max="757" width="18.28515625" style="68" customWidth="1"/>
    <col min="758" max="758" width="17.42578125" style="68" bestFit="1" customWidth="1"/>
    <col min="759" max="759" width="18.28515625" style="68" bestFit="1" customWidth="1"/>
    <col min="760" max="1005" width="9.28515625" style="68"/>
    <col min="1006" max="1006" width="11.7109375" style="68" customWidth="1"/>
    <col min="1007" max="1007" width="28.28515625" style="68" customWidth="1"/>
    <col min="1008" max="1008" width="25.7109375" style="68" customWidth="1"/>
    <col min="1009" max="1009" width="16" style="68" customWidth="1"/>
    <col min="1010" max="1010" width="16.7109375" style="68" customWidth="1"/>
    <col min="1011" max="1011" width="13.42578125" style="68" customWidth="1"/>
    <col min="1012" max="1012" width="14.28515625" style="68" customWidth="1"/>
    <col min="1013" max="1013" width="18.28515625" style="68" customWidth="1"/>
    <col min="1014" max="1014" width="17.42578125" style="68" bestFit="1" customWidth="1"/>
    <col min="1015" max="1015" width="18.28515625" style="68" bestFit="1" customWidth="1"/>
    <col min="1016" max="1261" width="9.28515625" style="68"/>
    <col min="1262" max="1262" width="11.7109375" style="68" customWidth="1"/>
    <col min="1263" max="1263" width="28.28515625" style="68" customWidth="1"/>
    <col min="1264" max="1264" width="25.7109375" style="68" customWidth="1"/>
    <col min="1265" max="1265" width="16" style="68" customWidth="1"/>
    <col min="1266" max="1266" width="16.7109375" style="68" customWidth="1"/>
    <col min="1267" max="1267" width="13.42578125" style="68" customWidth="1"/>
    <col min="1268" max="1268" width="14.28515625" style="68" customWidth="1"/>
    <col min="1269" max="1269" width="18.28515625" style="68" customWidth="1"/>
    <col min="1270" max="1270" width="17.42578125" style="68" bestFit="1" customWidth="1"/>
    <col min="1271" max="1271" width="18.28515625" style="68" bestFit="1" customWidth="1"/>
    <col min="1272" max="1517" width="9.28515625" style="68"/>
    <col min="1518" max="1518" width="11.7109375" style="68" customWidth="1"/>
    <col min="1519" max="1519" width="28.28515625" style="68" customWidth="1"/>
    <col min="1520" max="1520" width="25.7109375" style="68" customWidth="1"/>
    <col min="1521" max="1521" width="16" style="68" customWidth="1"/>
    <col min="1522" max="1522" width="16.7109375" style="68" customWidth="1"/>
    <col min="1523" max="1523" width="13.42578125" style="68" customWidth="1"/>
    <col min="1524" max="1524" width="14.28515625" style="68" customWidth="1"/>
    <col min="1525" max="1525" width="18.28515625" style="68" customWidth="1"/>
    <col min="1526" max="1526" width="17.42578125" style="68" bestFit="1" customWidth="1"/>
    <col min="1527" max="1527" width="18.28515625" style="68" bestFit="1" customWidth="1"/>
    <col min="1528" max="1773" width="9.28515625" style="68"/>
    <col min="1774" max="1774" width="11.7109375" style="68" customWidth="1"/>
    <col min="1775" max="1775" width="28.28515625" style="68" customWidth="1"/>
    <col min="1776" max="1776" width="25.7109375" style="68" customWidth="1"/>
    <col min="1777" max="1777" width="16" style="68" customWidth="1"/>
    <col min="1778" max="1778" width="16.7109375" style="68" customWidth="1"/>
    <col min="1779" max="1779" width="13.42578125" style="68" customWidth="1"/>
    <col min="1780" max="1780" width="14.28515625" style="68" customWidth="1"/>
    <col min="1781" max="1781" width="18.28515625" style="68" customWidth="1"/>
    <col min="1782" max="1782" width="17.42578125" style="68" bestFit="1" customWidth="1"/>
    <col min="1783" max="1783" width="18.28515625" style="68" bestFit="1" customWidth="1"/>
    <col min="1784" max="2029" width="9.28515625" style="68"/>
    <col min="2030" max="2030" width="11.7109375" style="68" customWidth="1"/>
    <col min="2031" max="2031" width="28.28515625" style="68" customWidth="1"/>
    <col min="2032" max="2032" width="25.7109375" style="68" customWidth="1"/>
    <col min="2033" max="2033" width="16" style="68" customWidth="1"/>
    <col min="2034" max="2034" width="16.7109375" style="68" customWidth="1"/>
    <col min="2035" max="2035" width="13.42578125" style="68" customWidth="1"/>
    <col min="2036" max="2036" width="14.28515625" style="68" customWidth="1"/>
    <col min="2037" max="2037" width="18.28515625" style="68" customWidth="1"/>
    <col min="2038" max="2038" width="17.42578125" style="68" bestFit="1" customWidth="1"/>
    <col min="2039" max="2039" width="18.28515625" style="68" bestFit="1" customWidth="1"/>
    <col min="2040" max="2285" width="9.28515625" style="68"/>
    <col min="2286" max="2286" width="11.7109375" style="68" customWidth="1"/>
    <col min="2287" max="2287" width="28.28515625" style="68" customWidth="1"/>
    <col min="2288" max="2288" width="25.7109375" style="68" customWidth="1"/>
    <col min="2289" max="2289" width="16" style="68" customWidth="1"/>
    <col min="2290" max="2290" width="16.7109375" style="68" customWidth="1"/>
    <col min="2291" max="2291" width="13.42578125" style="68" customWidth="1"/>
    <col min="2292" max="2292" width="14.28515625" style="68" customWidth="1"/>
    <col min="2293" max="2293" width="18.28515625" style="68" customWidth="1"/>
    <col min="2294" max="2294" width="17.42578125" style="68" bestFit="1" customWidth="1"/>
    <col min="2295" max="2295" width="18.28515625" style="68" bestFit="1" customWidth="1"/>
    <col min="2296" max="2541" width="9.28515625" style="68"/>
    <col min="2542" max="2542" width="11.7109375" style="68" customWidth="1"/>
    <col min="2543" max="2543" width="28.28515625" style="68" customWidth="1"/>
    <col min="2544" max="2544" width="25.7109375" style="68" customWidth="1"/>
    <col min="2545" max="2545" width="16" style="68" customWidth="1"/>
    <col min="2546" max="2546" width="16.7109375" style="68" customWidth="1"/>
    <col min="2547" max="2547" width="13.42578125" style="68" customWidth="1"/>
    <col min="2548" max="2548" width="14.28515625" style="68" customWidth="1"/>
    <col min="2549" max="2549" width="18.28515625" style="68" customWidth="1"/>
    <col min="2550" max="2550" width="17.42578125" style="68" bestFit="1" customWidth="1"/>
    <col min="2551" max="2551" width="18.28515625" style="68" bestFit="1" customWidth="1"/>
    <col min="2552" max="2797" width="9.28515625" style="68"/>
    <col min="2798" max="2798" width="11.7109375" style="68" customWidth="1"/>
    <col min="2799" max="2799" width="28.28515625" style="68" customWidth="1"/>
    <col min="2800" max="2800" width="25.7109375" style="68" customWidth="1"/>
    <col min="2801" max="2801" width="16" style="68" customWidth="1"/>
    <col min="2802" max="2802" width="16.7109375" style="68" customWidth="1"/>
    <col min="2803" max="2803" width="13.42578125" style="68" customWidth="1"/>
    <col min="2804" max="2804" width="14.28515625" style="68" customWidth="1"/>
    <col min="2805" max="2805" width="18.28515625" style="68" customWidth="1"/>
    <col min="2806" max="2806" width="17.42578125" style="68" bestFit="1" customWidth="1"/>
    <col min="2807" max="2807" width="18.28515625" style="68" bestFit="1" customWidth="1"/>
    <col min="2808" max="3053" width="9.28515625" style="68"/>
    <col min="3054" max="3054" width="11.7109375" style="68" customWidth="1"/>
    <col min="3055" max="3055" width="28.28515625" style="68" customWidth="1"/>
    <col min="3056" max="3056" width="25.7109375" style="68" customWidth="1"/>
    <col min="3057" max="3057" width="16" style="68" customWidth="1"/>
    <col min="3058" max="3058" width="16.7109375" style="68" customWidth="1"/>
    <col min="3059" max="3059" width="13.42578125" style="68" customWidth="1"/>
    <col min="3060" max="3060" width="14.28515625" style="68" customWidth="1"/>
    <col min="3061" max="3061" width="18.28515625" style="68" customWidth="1"/>
    <col min="3062" max="3062" width="17.42578125" style="68" bestFit="1" customWidth="1"/>
    <col min="3063" max="3063" width="18.28515625" style="68" bestFit="1" customWidth="1"/>
    <col min="3064" max="3309" width="9.28515625" style="68"/>
    <col min="3310" max="3310" width="11.7109375" style="68" customWidth="1"/>
    <col min="3311" max="3311" width="28.28515625" style="68" customWidth="1"/>
    <col min="3312" max="3312" width="25.7109375" style="68" customWidth="1"/>
    <col min="3313" max="3313" width="16" style="68" customWidth="1"/>
    <col min="3314" max="3314" width="16.7109375" style="68" customWidth="1"/>
    <col min="3315" max="3315" width="13.42578125" style="68" customWidth="1"/>
    <col min="3316" max="3316" width="14.28515625" style="68" customWidth="1"/>
    <col min="3317" max="3317" width="18.28515625" style="68" customWidth="1"/>
    <col min="3318" max="3318" width="17.42578125" style="68" bestFit="1" customWidth="1"/>
    <col min="3319" max="3319" width="18.28515625" style="68" bestFit="1" customWidth="1"/>
    <col min="3320" max="3565" width="9.28515625" style="68"/>
    <col min="3566" max="3566" width="11.7109375" style="68" customWidth="1"/>
    <col min="3567" max="3567" width="28.28515625" style="68" customWidth="1"/>
    <col min="3568" max="3568" width="25.7109375" style="68" customWidth="1"/>
    <col min="3569" max="3569" width="16" style="68" customWidth="1"/>
    <col min="3570" max="3570" width="16.7109375" style="68" customWidth="1"/>
    <col min="3571" max="3571" width="13.42578125" style="68" customWidth="1"/>
    <col min="3572" max="3572" width="14.28515625" style="68" customWidth="1"/>
    <col min="3573" max="3573" width="18.28515625" style="68" customWidth="1"/>
    <col min="3574" max="3574" width="17.42578125" style="68" bestFit="1" customWidth="1"/>
    <col min="3575" max="3575" width="18.28515625" style="68" bestFit="1" customWidth="1"/>
    <col min="3576" max="3821" width="9.28515625" style="68"/>
    <col min="3822" max="3822" width="11.7109375" style="68" customWidth="1"/>
    <col min="3823" max="3823" width="28.28515625" style="68" customWidth="1"/>
    <col min="3824" max="3824" width="25.7109375" style="68" customWidth="1"/>
    <col min="3825" max="3825" width="16" style="68" customWidth="1"/>
    <col min="3826" max="3826" width="16.7109375" style="68" customWidth="1"/>
    <col min="3827" max="3827" width="13.42578125" style="68" customWidth="1"/>
    <col min="3828" max="3828" width="14.28515625" style="68" customWidth="1"/>
    <col min="3829" max="3829" width="18.28515625" style="68" customWidth="1"/>
    <col min="3830" max="3830" width="17.42578125" style="68" bestFit="1" customWidth="1"/>
    <col min="3831" max="3831" width="18.28515625" style="68" bestFit="1" customWidth="1"/>
    <col min="3832" max="4077" width="9.28515625" style="68"/>
    <col min="4078" max="4078" width="11.7109375" style="68" customWidth="1"/>
    <col min="4079" max="4079" width="28.28515625" style="68" customWidth="1"/>
    <col min="4080" max="4080" width="25.7109375" style="68" customWidth="1"/>
    <col min="4081" max="4081" width="16" style="68" customWidth="1"/>
    <col min="4082" max="4082" width="16.7109375" style="68" customWidth="1"/>
    <col min="4083" max="4083" width="13.42578125" style="68" customWidth="1"/>
    <col min="4084" max="4084" width="14.28515625" style="68" customWidth="1"/>
    <col min="4085" max="4085" width="18.28515625" style="68" customWidth="1"/>
    <col min="4086" max="4086" width="17.42578125" style="68" bestFit="1" customWidth="1"/>
    <col min="4087" max="4087" width="18.28515625" style="68" bestFit="1" customWidth="1"/>
    <col min="4088" max="4333" width="9.28515625" style="68"/>
    <col min="4334" max="4334" width="11.7109375" style="68" customWidth="1"/>
    <col min="4335" max="4335" width="28.28515625" style="68" customWidth="1"/>
    <col min="4336" max="4336" width="25.7109375" style="68" customWidth="1"/>
    <col min="4337" max="4337" width="16" style="68" customWidth="1"/>
    <col min="4338" max="4338" width="16.7109375" style="68" customWidth="1"/>
    <col min="4339" max="4339" width="13.42578125" style="68" customWidth="1"/>
    <col min="4340" max="4340" width="14.28515625" style="68" customWidth="1"/>
    <col min="4341" max="4341" width="18.28515625" style="68" customWidth="1"/>
    <col min="4342" max="4342" width="17.42578125" style="68" bestFit="1" customWidth="1"/>
    <col min="4343" max="4343" width="18.28515625" style="68" bestFit="1" customWidth="1"/>
    <col min="4344" max="4589" width="9.28515625" style="68"/>
    <col min="4590" max="4590" width="11.7109375" style="68" customWidth="1"/>
    <col min="4591" max="4591" width="28.28515625" style="68" customWidth="1"/>
    <col min="4592" max="4592" width="25.7109375" style="68" customWidth="1"/>
    <col min="4593" max="4593" width="16" style="68" customWidth="1"/>
    <col min="4594" max="4594" width="16.7109375" style="68" customWidth="1"/>
    <col min="4595" max="4595" width="13.42578125" style="68" customWidth="1"/>
    <col min="4596" max="4596" width="14.28515625" style="68" customWidth="1"/>
    <col min="4597" max="4597" width="18.28515625" style="68" customWidth="1"/>
    <col min="4598" max="4598" width="17.42578125" style="68" bestFit="1" customWidth="1"/>
    <col min="4599" max="4599" width="18.28515625" style="68" bestFit="1" customWidth="1"/>
    <col min="4600" max="4845" width="9.28515625" style="68"/>
    <col min="4846" max="4846" width="11.7109375" style="68" customWidth="1"/>
    <col min="4847" max="4847" width="28.28515625" style="68" customWidth="1"/>
    <col min="4848" max="4848" width="25.7109375" style="68" customWidth="1"/>
    <col min="4849" max="4849" width="16" style="68" customWidth="1"/>
    <col min="4850" max="4850" width="16.7109375" style="68" customWidth="1"/>
    <col min="4851" max="4851" width="13.42578125" style="68" customWidth="1"/>
    <col min="4852" max="4852" width="14.28515625" style="68" customWidth="1"/>
    <col min="4853" max="4853" width="18.28515625" style="68" customWidth="1"/>
    <col min="4854" max="4854" width="17.42578125" style="68" bestFit="1" customWidth="1"/>
    <col min="4855" max="4855" width="18.28515625" style="68" bestFit="1" customWidth="1"/>
    <col min="4856" max="5101" width="9.28515625" style="68"/>
    <col min="5102" max="5102" width="11.7109375" style="68" customWidth="1"/>
    <col min="5103" max="5103" width="28.28515625" style="68" customWidth="1"/>
    <col min="5104" max="5104" width="25.7109375" style="68" customWidth="1"/>
    <col min="5105" max="5105" width="16" style="68" customWidth="1"/>
    <col min="5106" max="5106" width="16.7109375" style="68" customWidth="1"/>
    <col min="5107" max="5107" width="13.42578125" style="68" customWidth="1"/>
    <col min="5108" max="5108" width="14.28515625" style="68" customWidth="1"/>
    <col min="5109" max="5109" width="18.28515625" style="68" customWidth="1"/>
    <col min="5110" max="5110" width="17.42578125" style="68" bestFit="1" customWidth="1"/>
    <col min="5111" max="5111" width="18.28515625" style="68" bestFit="1" customWidth="1"/>
    <col min="5112" max="5357" width="9.28515625" style="68"/>
    <col min="5358" max="5358" width="11.7109375" style="68" customWidth="1"/>
    <col min="5359" max="5359" width="28.28515625" style="68" customWidth="1"/>
    <col min="5360" max="5360" width="25.7109375" style="68" customWidth="1"/>
    <col min="5361" max="5361" width="16" style="68" customWidth="1"/>
    <col min="5362" max="5362" width="16.7109375" style="68" customWidth="1"/>
    <col min="5363" max="5363" width="13.42578125" style="68" customWidth="1"/>
    <col min="5364" max="5364" width="14.28515625" style="68" customWidth="1"/>
    <col min="5365" max="5365" width="18.28515625" style="68" customWidth="1"/>
    <col min="5366" max="5366" width="17.42578125" style="68" bestFit="1" customWidth="1"/>
    <col min="5367" max="5367" width="18.28515625" style="68" bestFit="1" customWidth="1"/>
    <col min="5368" max="5613" width="9.28515625" style="68"/>
    <col min="5614" max="5614" width="11.7109375" style="68" customWidth="1"/>
    <col min="5615" max="5615" width="28.28515625" style="68" customWidth="1"/>
    <col min="5616" max="5616" width="25.7109375" style="68" customWidth="1"/>
    <col min="5617" max="5617" width="16" style="68" customWidth="1"/>
    <col min="5618" max="5618" width="16.7109375" style="68" customWidth="1"/>
    <col min="5619" max="5619" width="13.42578125" style="68" customWidth="1"/>
    <col min="5620" max="5620" width="14.28515625" style="68" customWidth="1"/>
    <col min="5621" max="5621" width="18.28515625" style="68" customWidth="1"/>
    <col min="5622" max="5622" width="17.42578125" style="68" bestFit="1" customWidth="1"/>
    <col min="5623" max="5623" width="18.28515625" style="68" bestFit="1" customWidth="1"/>
    <col min="5624" max="5869" width="9.28515625" style="68"/>
    <col min="5870" max="5870" width="11.7109375" style="68" customWidth="1"/>
    <col min="5871" max="5871" width="28.28515625" style="68" customWidth="1"/>
    <col min="5872" max="5872" width="25.7109375" style="68" customWidth="1"/>
    <col min="5873" max="5873" width="16" style="68" customWidth="1"/>
    <col min="5874" max="5874" width="16.7109375" style="68" customWidth="1"/>
    <col min="5875" max="5875" width="13.42578125" style="68" customWidth="1"/>
    <col min="5876" max="5876" width="14.28515625" style="68" customWidth="1"/>
    <col min="5877" max="5877" width="18.28515625" style="68" customWidth="1"/>
    <col min="5878" max="5878" width="17.42578125" style="68" bestFit="1" customWidth="1"/>
    <col min="5879" max="5879" width="18.28515625" style="68" bestFit="1" customWidth="1"/>
    <col min="5880" max="6125" width="9.28515625" style="68"/>
    <col min="6126" max="6126" width="11.7109375" style="68" customWidth="1"/>
    <col min="6127" max="6127" width="28.28515625" style="68" customWidth="1"/>
    <col min="6128" max="6128" width="25.7109375" style="68" customWidth="1"/>
    <col min="6129" max="6129" width="16" style="68" customWidth="1"/>
    <col min="6130" max="6130" width="16.7109375" style="68" customWidth="1"/>
    <col min="6131" max="6131" width="13.42578125" style="68" customWidth="1"/>
    <col min="6132" max="6132" width="14.28515625" style="68" customWidth="1"/>
    <col min="6133" max="6133" width="18.28515625" style="68" customWidth="1"/>
    <col min="6134" max="6134" width="17.42578125" style="68" bestFit="1" customWidth="1"/>
    <col min="6135" max="6135" width="18.28515625" style="68" bestFit="1" customWidth="1"/>
    <col min="6136" max="6381" width="9.28515625" style="68"/>
    <col min="6382" max="6382" width="11.7109375" style="68" customWidth="1"/>
    <col min="6383" max="6383" width="28.28515625" style="68" customWidth="1"/>
    <col min="6384" max="6384" width="25.7109375" style="68" customWidth="1"/>
    <col min="6385" max="6385" width="16" style="68" customWidth="1"/>
    <col min="6386" max="6386" width="16.7109375" style="68" customWidth="1"/>
    <col min="6387" max="6387" width="13.42578125" style="68" customWidth="1"/>
    <col min="6388" max="6388" width="14.28515625" style="68" customWidth="1"/>
    <col min="6389" max="6389" width="18.28515625" style="68" customWidth="1"/>
    <col min="6390" max="6390" width="17.42578125" style="68" bestFit="1" customWidth="1"/>
    <col min="6391" max="6391" width="18.28515625" style="68" bestFit="1" customWidth="1"/>
    <col min="6392" max="6637" width="9.28515625" style="68"/>
    <col min="6638" max="6638" width="11.7109375" style="68" customWidth="1"/>
    <col min="6639" max="6639" width="28.28515625" style="68" customWidth="1"/>
    <col min="6640" max="6640" width="25.7109375" style="68" customWidth="1"/>
    <col min="6641" max="6641" width="16" style="68" customWidth="1"/>
    <col min="6642" max="6642" width="16.7109375" style="68" customWidth="1"/>
    <col min="6643" max="6643" width="13.42578125" style="68" customWidth="1"/>
    <col min="6644" max="6644" width="14.28515625" style="68" customWidth="1"/>
    <col min="6645" max="6645" width="18.28515625" style="68" customWidth="1"/>
    <col min="6646" max="6646" width="17.42578125" style="68" bestFit="1" customWidth="1"/>
    <col min="6647" max="6647" width="18.28515625" style="68" bestFit="1" customWidth="1"/>
    <col min="6648" max="6893" width="9.28515625" style="68"/>
    <col min="6894" max="6894" width="11.7109375" style="68" customWidth="1"/>
    <col min="6895" max="6895" width="28.28515625" style="68" customWidth="1"/>
    <col min="6896" max="6896" width="25.7109375" style="68" customWidth="1"/>
    <col min="6897" max="6897" width="16" style="68" customWidth="1"/>
    <col min="6898" max="6898" width="16.7109375" style="68" customWidth="1"/>
    <col min="6899" max="6899" width="13.42578125" style="68" customWidth="1"/>
    <col min="6900" max="6900" width="14.28515625" style="68" customWidth="1"/>
    <col min="6901" max="6901" width="18.28515625" style="68" customWidth="1"/>
    <col min="6902" max="6902" width="17.42578125" style="68" bestFit="1" customWidth="1"/>
    <col min="6903" max="6903" width="18.28515625" style="68" bestFit="1" customWidth="1"/>
    <col min="6904" max="7149" width="9.28515625" style="68"/>
    <col min="7150" max="7150" width="11.7109375" style="68" customWidth="1"/>
    <col min="7151" max="7151" width="28.28515625" style="68" customWidth="1"/>
    <col min="7152" max="7152" width="25.7109375" style="68" customWidth="1"/>
    <col min="7153" max="7153" width="16" style="68" customWidth="1"/>
    <col min="7154" max="7154" width="16.7109375" style="68" customWidth="1"/>
    <col min="7155" max="7155" width="13.42578125" style="68" customWidth="1"/>
    <col min="7156" max="7156" width="14.28515625" style="68" customWidth="1"/>
    <col min="7157" max="7157" width="18.28515625" style="68" customWidth="1"/>
    <col min="7158" max="7158" width="17.42578125" style="68" bestFit="1" customWidth="1"/>
    <col min="7159" max="7159" width="18.28515625" style="68" bestFit="1" customWidth="1"/>
    <col min="7160" max="7405" width="9.28515625" style="68"/>
    <col min="7406" max="7406" width="11.7109375" style="68" customWidth="1"/>
    <col min="7407" max="7407" width="28.28515625" style="68" customWidth="1"/>
    <col min="7408" max="7408" width="25.7109375" style="68" customWidth="1"/>
    <col min="7409" max="7409" width="16" style="68" customWidth="1"/>
    <col min="7410" max="7410" width="16.7109375" style="68" customWidth="1"/>
    <col min="7411" max="7411" width="13.42578125" style="68" customWidth="1"/>
    <col min="7412" max="7412" width="14.28515625" style="68" customWidth="1"/>
    <col min="7413" max="7413" width="18.28515625" style="68" customWidth="1"/>
    <col min="7414" max="7414" width="17.42578125" style="68" bestFit="1" customWidth="1"/>
    <col min="7415" max="7415" width="18.28515625" style="68" bestFit="1" customWidth="1"/>
    <col min="7416" max="7661" width="9.28515625" style="68"/>
    <col min="7662" max="7662" width="11.7109375" style="68" customWidth="1"/>
    <col min="7663" max="7663" width="28.28515625" style="68" customWidth="1"/>
    <col min="7664" max="7664" width="25.7109375" style="68" customWidth="1"/>
    <col min="7665" max="7665" width="16" style="68" customWidth="1"/>
    <col min="7666" max="7666" width="16.7109375" style="68" customWidth="1"/>
    <col min="7667" max="7667" width="13.42578125" style="68" customWidth="1"/>
    <col min="7668" max="7668" width="14.28515625" style="68" customWidth="1"/>
    <col min="7669" max="7669" width="18.28515625" style="68" customWidth="1"/>
    <col min="7670" max="7670" width="17.42578125" style="68" bestFit="1" customWidth="1"/>
    <col min="7671" max="7671" width="18.28515625" style="68" bestFit="1" customWidth="1"/>
    <col min="7672" max="7917" width="9.28515625" style="68"/>
    <col min="7918" max="7918" width="11.7109375" style="68" customWidth="1"/>
    <col min="7919" max="7919" width="28.28515625" style="68" customWidth="1"/>
    <col min="7920" max="7920" width="25.7109375" style="68" customWidth="1"/>
    <col min="7921" max="7921" width="16" style="68" customWidth="1"/>
    <col min="7922" max="7922" width="16.7109375" style="68" customWidth="1"/>
    <col min="7923" max="7923" width="13.42578125" style="68" customWidth="1"/>
    <col min="7924" max="7924" width="14.28515625" style="68" customWidth="1"/>
    <col min="7925" max="7925" width="18.28515625" style="68" customWidth="1"/>
    <col min="7926" max="7926" width="17.42578125" style="68" bestFit="1" customWidth="1"/>
    <col min="7927" max="7927" width="18.28515625" style="68" bestFit="1" customWidth="1"/>
    <col min="7928" max="8173" width="9.28515625" style="68"/>
    <col min="8174" max="8174" width="11.7109375" style="68" customWidth="1"/>
    <col min="8175" max="8175" width="28.28515625" style="68" customWidth="1"/>
    <col min="8176" max="8176" width="25.7109375" style="68" customWidth="1"/>
    <col min="8177" max="8177" width="16" style="68" customWidth="1"/>
    <col min="8178" max="8178" width="16.7109375" style="68" customWidth="1"/>
    <col min="8179" max="8179" width="13.42578125" style="68" customWidth="1"/>
    <col min="8180" max="8180" width="14.28515625" style="68" customWidth="1"/>
    <col min="8181" max="8181" width="18.28515625" style="68" customWidth="1"/>
    <col min="8182" max="8182" width="17.42578125" style="68" bestFit="1" customWidth="1"/>
    <col min="8183" max="8183" width="18.28515625" style="68" bestFit="1" customWidth="1"/>
    <col min="8184" max="8429" width="9.28515625" style="68"/>
    <col min="8430" max="8430" width="11.7109375" style="68" customWidth="1"/>
    <col min="8431" max="8431" width="28.28515625" style="68" customWidth="1"/>
    <col min="8432" max="8432" width="25.7109375" style="68" customWidth="1"/>
    <col min="8433" max="8433" width="16" style="68" customWidth="1"/>
    <col min="8434" max="8434" width="16.7109375" style="68" customWidth="1"/>
    <col min="8435" max="8435" width="13.42578125" style="68" customWidth="1"/>
    <col min="8436" max="8436" width="14.28515625" style="68" customWidth="1"/>
    <col min="8437" max="8437" width="18.28515625" style="68" customWidth="1"/>
    <col min="8438" max="8438" width="17.42578125" style="68" bestFit="1" customWidth="1"/>
    <col min="8439" max="8439" width="18.28515625" style="68" bestFit="1" customWidth="1"/>
    <col min="8440" max="8685" width="9.28515625" style="68"/>
    <col min="8686" max="8686" width="11.7109375" style="68" customWidth="1"/>
    <col min="8687" max="8687" width="28.28515625" style="68" customWidth="1"/>
    <col min="8688" max="8688" width="25.7109375" style="68" customWidth="1"/>
    <col min="8689" max="8689" width="16" style="68" customWidth="1"/>
    <col min="8690" max="8690" width="16.7109375" style="68" customWidth="1"/>
    <col min="8691" max="8691" width="13.42578125" style="68" customWidth="1"/>
    <col min="8692" max="8692" width="14.28515625" style="68" customWidth="1"/>
    <col min="8693" max="8693" width="18.28515625" style="68" customWidth="1"/>
    <col min="8694" max="8694" width="17.42578125" style="68" bestFit="1" customWidth="1"/>
    <col min="8695" max="8695" width="18.28515625" style="68" bestFit="1" customWidth="1"/>
    <col min="8696" max="8941" width="9.28515625" style="68"/>
    <col min="8942" max="8942" width="11.7109375" style="68" customWidth="1"/>
    <col min="8943" max="8943" width="28.28515625" style="68" customWidth="1"/>
    <col min="8944" max="8944" width="25.7109375" style="68" customWidth="1"/>
    <col min="8945" max="8945" width="16" style="68" customWidth="1"/>
    <col min="8946" max="8946" width="16.7109375" style="68" customWidth="1"/>
    <col min="8947" max="8947" width="13.42578125" style="68" customWidth="1"/>
    <col min="8948" max="8948" width="14.28515625" style="68" customWidth="1"/>
    <col min="8949" max="8949" width="18.28515625" style="68" customWidth="1"/>
    <col min="8950" max="8950" width="17.42578125" style="68" bestFit="1" customWidth="1"/>
    <col min="8951" max="8951" width="18.28515625" style="68" bestFit="1" customWidth="1"/>
    <col min="8952" max="9197" width="9.28515625" style="68"/>
    <col min="9198" max="9198" width="11.7109375" style="68" customWidth="1"/>
    <col min="9199" max="9199" width="28.28515625" style="68" customWidth="1"/>
    <col min="9200" max="9200" width="25.7109375" style="68" customWidth="1"/>
    <col min="9201" max="9201" width="16" style="68" customWidth="1"/>
    <col min="9202" max="9202" width="16.7109375" style="68" customWidth="1"/>
    <col min="9203" max="9203" width="13.42578125" style="68" customWidth="1"/>
    <col min="9204" max="9204" width="14.28515625" style="68" customWidth="1"/>
    <col min="9205" max="9205" width="18.28515625" style="68" customWidth="1"/>
    <col min="9206" max="9206" width="17.42578125" style="68" bestFit="1" customWidth="1"/>
    <col min="9207" max="9207" width="18.28515625" style="68" bestFit="1" customWidth="1"/>
    <col min="9208" max="9453" width="9.28515625" style="68"/>
    <col min="9454" max="9454" width="11.7109375" style="68" customWidth="1"/>
    <col min="9455" max="9455" width="28.28515625" style="68" customWidth="1"/>
    <col min="9456" max="9456" width="25.7109375" style="68" customWidth="1"/>
    <col min="9457" max="9457" width="16" style="68" customWidth="1"/>
    <col min="9458" max="9458" width="16.7109375" style="68" customWidth="1"/>
    <col min="9459" max="9459" width="13.42578125" style="68" customWidth="1"/>
    <col min="9460" max="9460" width="14.28515625" style="68" customWidth="1"/>
    <col min="9461" max="9461" width="18.28515625" style="68" customWidth="1"/>
    <col min="9462" max="9462" width="17.42578125" style="68" bestFit="1" customWidth="1"/>
    <col min="9463" max="9463" width="18.28515625" style="68" bestFit="1" customWidth="1"/>
    <col min="9464" max="9709" width="9.28515625" style="68"/>
    <col min="9710" max="9710" width="11.7109375" style="68" customWidth="1"/>
    <col min="9711" max="9711" width="28.28515625" style="68" customWidth="1"/>
    <col min="9712" max="9712" width="25.7109375" style="68" customWidth="1"/>
    <col min="9713" max="9713" width="16" style="68" customWidth="1"/>
    <col min="9714" max="9714" width="16.7109375" style="68" customWidth="1"/>
    <col min="9715" max="9715" width="13.42578125" style="68" customWidth="1"/>
    <col min="9716" max="9716" width="14.28515625" style="68" customWidth="1"/>
    <col min="9717" max="9717" width="18.28515625" style="68" customWidth="1"/>
    <col min="9718" max="9718" width="17.42578125" style="68" bestFit="1" customWidth="1"/>
    <col min="9719" max="9719" width="18.28515625" style="68" bestFit="1" customWidth="1"/>
    <col min="9720" max="9965" width="9.28515625" style="68"/>
    <col min="9966" max="9966" width="11.7109375" style="68" customWidth="1"/>
    <col min="9967" max="9967" width="28.28515625" style="68" customWidth="1"/>
    <col min="9968" max="9968" width="25.7109375" style="68" customWidth="1"/>
    <col min="9969" max="9969" width="16" style="68" customWidth="1"/>
    <col min="9970" max="9970" width="16.7109375" style="68" customWidth="1"/>
    <col min="9971" max="9971" width="13.42578125" style="68" customWidth="1"/>
    <col min="9972" max="9972" width="14.28515625" style="68" customWidth="1"/>
    <col min="9973" max="9973" width="18.28515625" style="68" customWidth="1"/>
    <col min="9974" max="9974" width="17.42578125" style="68" bestFit="1" customWidth="1"/>
    <col min="9975" max="9975" width="18.28515625" style="68" bestFit="1" customWidth="1"/>
    <col min="9976" max="10221" width="9.28515625" style="68"/>
    <col min="10222" max="10222" width="11.7109375" style="68" customWidth="1"/>
    <col min="10223" max="10223" width="28.28515625" style="68" customWidth="1"/>
    <col min="10224" max="10224" width="25.7109375" style="68" customWidth="1"/>
    <col min="10225" max="10225" width="16" style="68" customWidth="1"/>
    <col min="10226" max="10226" width="16.7109375" style="68" customWidth="1"/>
    <col min="10227" max="10227" width="13.42578125" style="68" customWidth="1"/>
    <col min="10228" max="10228" width="14.28515625" style="68" customWidth="1"/>
    <col min="10229" max="10229" width="18.28515625" style="68" customWidth="1"/>
    <col min="10230" max="10230" width="17.42578125" style="68" bestFit="1" customWidth="1"/>
    <col min="10231" max="10231" width="18.28515625" style="68" bestFit="1" customWidth="1"/>
    <col min="10232" max="10477" width="9.28515625" style="68"/>
    <col min="10478" max="10478" width="11.7109375" style="68" customWidth="1"/>
    <col min="10479" max="10479" width="28.28515625" style="68" customWidth="1"/>
    <col min="10480" max="10480" width="25.7109375" style="68" customWidth="1"/>
    <col min="10481" max="10481" width="16" style="68" customWidth="1"/>
    <col min="10482" max="10482" width="16.7109375" style="68" customWidth="1"/>
    <col min="10483" max="10483" width="13.42578125" style="68" customWidth="1"/>
    <col min="10484" max="10484" width="14.28515625" style="68" customWidth="1"/>
    <col min="10485" max="10485" width="18.28515625" style="68" customWidth="1"/>
    <col min="10486" max="10486" width="17.42578125" style="68" bestFit="1" customWidth="1"/>
    <col min="10487" max="10487" width="18.28515625" style="68" bestFit="1" customWidth="1"/>
    <col min="10488" max="10733" width="9.28515625" style="68"/>
    <col min="10734" max="10734" width="11.7109375" style="68" customWidth="1"/>
    <col min="10735" max="10735" width="28.28515625" style="68" customWidth="1"/>
    <col min="10736" max="10736" width="25.7109375" style="68" customWidth="1"/>
    <col min="10737" max="10737" width="16" style="68" customWidth="1"/>
    <col min="10738" max="10738" width="16.7109375" style="68" customWidth="1"/>
    <col min="10739" max="10739" width="13.42578125" style="68" customWidth="1"/>
    <col min="10740" max="10740" width="14.28515625" style="68" customWidth="1"/>
    <col min="10741" max="10741" width="18.28515625" style="68" customWidth="1"/>
    <col min="10742" max="10742" width="17.42578125" style="68" bestFit="1" customWidth="1"/>
    <col min="10743" max="10743" width="18.28515625" style="68" bestFit="1" customWidth="1"/>
    <col min="10744" max="10989" width="9.28515625" style="68"/>
    <col min="10990" max="10990" width="11.7109375" style="68" customWidth="1"/>
    <col min="10991" max="10991" width="28.28515625" style="68" customWidth="1"/>
    <col min="10992" max="10992" width="25.7109375" style="68" customWidth="1"/>
    <col min="10993" max="10993" width="16" style="68" customWidth="1"/>
    <col min="10994" max="10994" width="16.7109375" style="68" customWidth="1"/>
    <col min="10995" max="10995" width="13.42578125" style="68" customWidth="1"/>
    <col min="10996" max="10996" width="14.28515625" style="68" customWidth="1"/>
    <col min="10997" max="10997" width="18.28515625" style="68" customWidth="1"/>
    <col min="10998" max="10998" width="17.42578125" style="68" bestFit="1" customWidth="1"/>
    <col min="10999" max="10999" width="18.28515625" style="68" bestFit="1" customWidth="1"/>
    <col min="11000" max="11245" width="9.28515625" style="68"/>
    <col min="11246" max="11246" width="11.7109375" style="68" customWidth="1"/>
    <col min="11247" max="11247" width="28.28515625" style="68" customWidth="1"/>
    <col min="11248" max="11248" width="25.7109375" style="68" customWidth="1"/>
    <col min="11249" max="11249" width="16" style="68" customWidth="1"/>
    <col min="11250" max="11250" width="16.7109375" style="68" customWidth="1"/>
    <col min="11251" max="11251" width="13.42578125" style="68" customWidth="1"/>
    <col min="11252" max="11252" width="14.28515625" style="68" customWidth="1"/>
    <col min="11253" max="11253" width="18.28515625" style="68" customWidth="1"/>
    <col min="11254" max="11254" width="17.42578125" style="68" bestFit="1" customWidth="1"/>
    <col min="11255" max="11255" width="18.28515625" style="68" bestFit="1" customWidth="1"/>
    <col min="11256" max="11501" width="9.28515625" style="68"/>
    <col min="11502" max="11502" width="11.7109375" style="68" customWidth="1"/>
    <col min="11503" max="11503" width="28.28515625" style="68" customWidth="1"/>
    <col min="11504" max="11504" width="25.7109375" style="68" customWidth="1"/>
    <col min="11505" max="11505" width="16" style="68" customWidth="1"/>
    <col min="11506" max="11506" width="16.7109375" style="68" customWidth="1"/>
    <col min="11507" max="11507" width="13.42578125" style="68" customWidth="1"/>
    <col min="11508" max="11508" width="14.28515625" style="68" customWidth="1"/>
    <col min="11509" max="11509" width="18.28515625" style="68" customWidth="1"/>
    <col min="11510" max="11510" width="17.42578125" style="68" bestFit="1" customWidth="1"/>
    <col min="11511" max="11511" width="18.28515625" style="68" bestFit="1" customWidth="1"/>
    <col min="11512" max="11757" width="9.28515625" style="68"/>
    <col min="11758" max="11758" width="11.7109375" style="68" customWidth="1"/>
    <col min="11759" max="11759" width="28.28515625" style="68" customWidth="1"/>
    <col min="11760" max="11760" width="25.7109375" style="68" customWidth="1"/>
    <col min="11761" max="11761" width="16" style="68" customWidth="1"/>
    <col min="11762" max="11762" width="16.7109375" style="68" customWidth="1"/>
    <col min="11763" max="11763" width="13.42578125" style="68" customWidth="1"/>
    <col min="11764" max="11764" width="14.28515625" style="68" customWidth="1"/>
    <col min="11765" max="11765" width="18.28515625" style="68" customWidth="1"/>
    <col min="11766" max="11766" width="17.42578125" style="68" bestFit="1" customWidth="1"/>
    <col min="11767" max="11767" width="18.28515625" style="68" bestFit="1" customWidth="1"/>
    <col min="11768" max="12013" width="9.28515625" style="68"/>
    <col min="12014" max="12014" width="11.7109375" style="68" customWidth="1"/>
    <col min="12015" max="12015" width="28.28515625" style="68" customWidth="1"/>
    <col min="12016" max="12016" width="25.7109375" style="68" customWidth="1"/>
    <col min="12017" max="12017" width="16" style="68" customWidth="1"/>
    <col min="12018" max="12018" width="16.7109375" style="68" customWidth="1"/>
    <col min="12019" max="12019" width="13.42578125" style="68" customWidth="1"/>
    <col min="12020" max="12020" width="14.28515625" style="68" customWidth="1"/>
    <col min="12021" max="12021" width="18.28515625" style="68" customWidth="1"/>
    <col min="12022" max="12022" width="17.42578125" style="68" bestFit="1" customWidth="1"/>
    <col min="12023" max="12023" width="18.28515625" style="68" bestFit="1" customWidth="1"/>
    <col min="12024" max="12269" width="9.28515625" style="68"/>
    <col min="12270" max="12270" width="11.7109375" style="68" customWidth="1"/>
    <col min="12271" max="12271" width="28.28515625" style="68" customWidth="1"/>
    <col min="12272" max="12272" width="25.7109375" style="68" customWidth="1"/>
    <col min="12273" max="12273" width="16" style="68" customWidth="1"/>
    <col min="12274" max="12274" width="16.7109375" style="68" customWidth="1"/>
    <col min="12275" max="12275" width="13.42578125" style="68" customWidth="1"/>
    <col min="12276" max="12276" width="14.28515625" style="68" customWidth="1"/>
    <col min="12277" max="12277" width="18.28515625" style="68" customWidth="1"/>
    <col min="12278" max="12278" width="17.42578125" style="68" bestFit="1" customWidth="1"/>
    <col min="12279" max="12279" width="18.28515625" style="68" bestFit="1" customWidth="1"/>
    <col min="12280" max="12525" width="9.28515625" style="68"/>
    <col min="12526" max="12526" width="11.7109375" style="68" customWidth="1"/>
    <col min="12527" max="12527" width="28.28515625" style="68" customWidth="1"/>
    <col min="12528" max="12528" width="25.7109375" style="68" customWidth="1"/>
    <col min="12529" max="12529" width="16" style="68" customWidth="1"/>
    <col min="12530" max="12530" width="16.7109375" style="68" customWidth="1"/>
    <col min="12531" max="12531" width="13.42578125" style="68" customWidth="1"/>
    <col min="12532" max="12532" width="14.28515625" style="68" customWidth="1"/>
    <col min="12533" max="12533" width="18.28515625" style="68" customWidth="1"/>
    <col min="12534" max="12534" width="17.42578125" style="68" bestFit="1" customWidth="1"/>
    <col min="12535" max="12535" width="18.28515625" style="68" bestFit="1" customWidth="1"/>
    <col min="12536" max="12781" width="9.28515625" style="68"/>
    <col min="12782" max="12782" width="11.7109375" style="68" customWidth="1"/>
    <col min="12783" max="12783" width="28.28515625" style="68" customWidth="1"/>
    <col min="12784" max="12784" width="25.7109375" style="68" customWidth="1"/>
    <col min="12785" max="12785" width="16" style="68" customWidth="1"/>
    <col min="12786" max="12786" width="16.7109375" style="68" customWidth="1"/>
    <col min="12787" max="12787" width="13.42578125" style="68" customWidth="1"/>
    <col min="12788" max="12788" width="14.28515625" style="68" customWidth="1"/>
    <col min="12789" max="12789" width="18.28515625" style="68" customWidth="1"/>
    <col min="12790" max="12790" width="17.42578125" style="68" bestFit="1" customWidth="1"/>
    <col min="12791" max="12791" width="18.28515625" style="68" bestFit="1" customWidth="1"/>
    <col min="12792" max="13037" width="9.28515625" style="68"/>
    <col min="13038" max="13038" width="11.7109375" style="68" customWidth="1"/>
    <col min="13039" max="13039" width="28.28515625" style="68" customWidth="1"/>
    <col min="13040" max="13040" width="25.7109375" style="68" customWidth="1"/>
    <col min="13041" max="13041" width="16" style="68" customWidth="1"/>
    <col min="13042" max="13042" width="16.7109375" style="68" customWidth="1"/>
    <col min="13043" max="13043" width="13.42578125" style="68" customWidth="1"/>
    <col min="13044" max="13044" width="14.28515625" style="68" customWidth="1"/>
    <col min="13045" max="13045" width="18.28515625" style="68" customWidth="1"/>
    <col min="13046" max="13046" width="17.42578125" style="68" bestFit="1" customWidth="1"/>
    <col min="13047" max="13047" width="18.28515625" style="68" bestFit="1" customWidth="1"/>
    <col min="13048" max="13293" width="9.28515625" style="68"/>
    <col min="13294" max="13294" width="11.7109375" style="68" customWidth="1"/>
    <col min="13295" max="13295" width="28.28515625" style="68" customWidth="1"/>
    <col min="13296" max="13296" width="25.7109375" style="68" customWidth="1"/>
    <col min="13297" max="13297" width="16" style="68" customWidth="1"/>
    <col min="13298" max="13298" width="16.7109375" style="68" customWidth="1"/>
    <col min="13299" max="13299" width="13.42578125" style="68" customWidth="1"/>
    <col min="13300" max="13300" width="14.28515625" style="68" customWidth="1"/>
    <col min="13301" max="13301" width="18.28515625" style="68" customWidth="1"/>
    <col min="13302" max="13302" width="17.42578125" style="68" bestFit="1" customWidth="1"/>
    <col min="13303" max="13303" width="18.28515625" style="68" bestFit="1" customWidth="1"/>
    <col min="13304" max="13549" width="9.28515625" style="68"/>
    <col min="13550" max="13550" width="11.7109375" style="68" customWidth="1"/>
    <col min="13551" max="13551" width="28.28515625" style="68" customWidth="1"/>
    <col min="13552" max="13552" width="25.7109375" style="68" customWidth="1"/>
    <col min="13553" max="13553" width="16" style="68" customWidth="1"/>
    <col min="13554" max="13554" width="16.7109375" style="68" customWidth="1"/>
    <col min="13555" max="13555" width="13.42578125" style="68" customWidth="1"/>
    <col min="13556" max="13556" width="14.28515625" style="68" customWidth="1"/>
    <col min="13557" max="13557" width="18.28515625" style="68" customWidth="1"/>
    <col min="13558" max="13558" width="17.42578125" style="68" bestFit="1" customWidth="1"/>
    <col min="13559" max="13559" width="18.28515625" style="68" bestFit="1" customWidth="1"/>
    <col min="13560" max="13805" width="9.28515625" style="68"/>
    <col min="13806" max="13806" width="11.7109375" style="68" customWidth="1"/>
    <col min="13807" max="13807" width="28.28515625" style="68" customWidth="1"/>
    <col min="13808" max="13808" width="25.7109375" style="68" customWidth="1"/>
    <col min="13809" max="13809" width="16" style="68" customWidth="1"/>
    <col min="13810" max="13810" width="16.7109375" style="68" customWidth="1"/>
    <col min="13811" max="13811" width="13.42578125" style="68" customWidth="1"/>
    <col min="13812" max="13812" width="14.28515625" style="68" customWidth="1"/>
    <col min="13813" max="13813" width="18.28515625" style="68" customWidth="1"/>
    <col min="13814" max="13814" width="17.42578125" style="68" bestFit="1" customWidth="1"/>
    <col min="13815" max="13815" width="18.28515625" style="68" bestFit="1" customWidth="1"/>
    <col min="13816" max="14061" width="9.28515625" style="68"/>
    <col min="14062" max="14062" width="11.7109375" style="68" customWidth="1"/>
    <col min="14063" max="14063" width="28.28515625" style="68" customWidth="1"/>
    <col min="14064" max="14064" width="25.7109375" style="68" customWidth="1"/>
    <col min="14065" max="14065" width="16" style="68" customWidth="1"/>
    <col min="14066" max="14066" width="16.7109375" style="68" customWidth="1"/>
    <col min="14067" max="14067" width="13.42578125" style="68" customWidth="1"/>
    <col min="14068" max="14068" width="14.28515625" style="68" customWidth="1"/>
    <col min="14069" max="14069" width="18.28515625" style="68" customWidth="1"/>
    <col min="14070" max="14070" width="17.42578125" style="68" bestFit="1" customWidth="1"/>
    <col min="14071" max="14071" width="18.28515625" style="68" bestFit="1" customWidth="1"/>
    <col min="14072" max="14317" width="9.28515625" style="68"/>
    <col min="14318" max="14318" width="11.7109375" style="68" customWidth="1"/>
    <col min="14319" max="14319" width="28.28515625" style="68" customWidth="1"/>
    <col min="14320" max="14320" width="25.7109375" style="68" customWidth="1"/>
    <col min="14321" max="14321" width="16" style="68" customWidth="1"/>
    <col min="14322" max="14322" width="16.7109375" style="68" customWidth="1"/>
    <col min="14323" max="14323" width="13.42578125" style="68" customWidth="1"/>
    <col min="14324" max="14324" width="14.28515625" style="68" customWidth="1"/>
    <col min="14325" max="14325" width="18.28515625" style="68" customWidth="1"/>
    <col min="14326" max="14326" width="17.42578125" style="68" bestFit="1" customWidth="1"/>
    <col min="14327" max="14327" width="18.28515625" style="68" bestFit="1" customWidth="1"/>
    <col min="14328" max="14573" width="9.28515625" style="68"/>
    <col min="14574" max="14574" width="11.7109375" style="68" customWidth="1"/>
    <col min="14575" max="14575" width="28.28515625" style="68" customWidth="1"/>
    <col min="14576" max="14576" width="25.7109375" style="68" customWidth="1"/>
    <col min="14577" max="14577" width="16" style="68" customWidth="1"/>
    <col min="14578" max="14578" width="16.7109375" style="68" customWidth="1"/>
    <col min="14579" max="14579" width="13.42578125" style="68" customWidth="1"/>
    <col min="14580" max="14580" width="14.28515625" style="68" customWidth="1"/>
    <col min="14581" max="14581" width="18.28515625" style="68" customWidth="1"/>
    <col min="14582" max="14582" width="17.42578125" style="68" bestFit="1" customWidth="1"/>
    <col min="14583" max="14583" width="18.28515625" style="68" bestFit="1" customWidth="1"/>
    <col min="14584" max="14829" width="9.28515625" style="68"/>
    <col min="14830" max="14830" width="11.7109375" style="68" customWidth="1"/>
    <col min="14831" max="14831" width="28.28515625" style="68" customWidth="1"/>
    <col min="14832" max="14832" width="25.7109375" style="68" customWidth="1"/>
    <col min="14833" max="14833" width="16" style="68" customWidth="1"/>
    <col min="14834" max="14834" width="16.7109375" style="68" customWidth="1"/>
    <col min="14835" max="14835" width="13.42578125" style="68" customWidth="1"/>
    <col min="14836" max="14836" width="14.28515625" style="68" customWidth="1"/>
    <col min="14837" max="14837" width="18.28515625" style="68" customWidth="1"/>
    <col min="14838" max="14838" width="17.42578125" style="68" bestFit="1" customWidth="1"/>
    <col min="14839" max="14839" width="18.28515625" style="68" bestFit="1" customWidth="1"/>
    <col min="14840" max="15085" width="9.28515625" style="68"/>
    <col min="15086" max="15086" width="11.7109375" style="68" customWidth="1"/>
    <col min="15087" max="15087" width="28.28515625" style="68" customWidth="1"/>
    <col min="15088" max="15088" width="25.7109375" style="68" customWidth="1"/>
    <col min="15089" max="15089" width="16" style="68" customWidth="1"/>
    <col min="15090" max="15090" width="16.7109375" style="68" customWidth="1"/>
    <col min="15091" max="15091" width="13.42578125" style="68" customWidth="1"/>
    <col min="15092" max="15092" width="14.28515625" style="68" customWidth="1"/>
    <col min="15093" max="15093" width="18.28515625" style="68" customWidth="1"/>
    <col min="15094" max="15094" width="17.42578125" style="68" bestFit="1" customWidth="1"/>
    <col min="15095" max="15095" width="18.28515625" style="68" bestFit="1" customWidth="1"/>
    <col min="15096" max="15341" width="9.28515625" style="68"/>
    <col min="15342" max="15342" width="11.7109375" style="68" customWidth="1"/>
    <col min="15343" max="15343" width="28.28515625" style="68" customWidth="1"/>
    <col min="15344" max="15344" width="25.7109375" style="68" customWidth="1"/>
    <col min="15345" max="15345" width="16" style="68" customWidth="1"/>
    <col min="15346" max="15346" width="16.7109375" style="68" customWidth="1"/>
    <col min="15347" max="15347" width="13.42578125" style="68" customWidth="1"/>
    <col min="15348" max="15348" width="14.28515625" style="68" customWidth="1"/>
    <col min="15349" max="15349" width="18.28515625" style="68" customWidth="1"/>
    <col min="15350" max="15350" width="17.42578125" style="68" bestFit="1" customWidth="1"/>
    <col min="15351" max="15351" width="18.28515625" style="68" bestFit="1" customWidth="1"/>
    <col min="15352" max="15597" width="9.28515625" style="68"/>
    <col min="15598" max="15598" width="11.7109375" style="68" customWidth="1"/>
    <col min="15599" max="15599" width="28.28515625" style="68" customWidth="1"/>
    <col min="15600" max="15600" width="25.7109375" style="68" customWidth="1"/>
    <col min="15601" max="15601" width="16" style="68" customWidth="1"/>
    <col min="15602" max="15602" width="16.7109375" style="68" customWidth="1"/>
    <col min="15603" max="15603" width="13.42578125" style="68" customWidth="1"/>
    <col min="15604" max="15604" width="14.28515625" style="68" customWidth="1"/>
    <col min="15605" max="15605" width="18.28515625" style="68" customWidth="1"/>
    <col min="15606" max="15606" width="17.42578125" style="68" bestFit="1" customWidth="1"/>
    <col min="15607" max="15607" width="18.28515625" style="68" bestFit="1" customWidth="1"/>
    <col min="15608" max="15853" width="9.28515625" style="68"/>
    <col min="15854" max="15854" width="11.7109375" style="68" customWidth="1"/>
    <col min="15855" max="15855" width="28.28515625" style="68" customWidth="1"/>
    <col min="15856" max="15856" width="25.7109375" style="68" customWidth="1"/>
    <col min="15857" max="15857" width="16" style="68" customWidth="1"/>
    <col min="15858" max="15858" width="16.7109375" style="68" customWidth="1"/>
    <col min="15859" max="15859" width="13.42578125" style="68" customWidth="1"/>
    <col min="15860" max="15860" width="14.28515625" style="68" customWidth="1"/>
    <col min="15861" max="15861" width="18.28515625" style="68" customWidth="1"/>
    <col min="15862" max="15862" width="17.42578125" style="68" bestFit="1" customWidth="1"/>
    <col min="15863" max="15863" width="18.28515625" style="68" bestFit="1" customWidth="1"/>
    <col min="15864" max="16109" width="9.28515625" style="68"/>
    <col min="16110" max="16110" width="11.7109375" style="68" customWidth="1"/>
    <col min="16111" max="16111" width="28.28515625" style="68" customWidth="1"/>
    <col min="16112" max="16112" width="25.7109375" style="68" customWidth="1"/>
    <col min="16113" max="16113" width="16" style="68" customWidth="1"/>
    <col min="16114" max="16114" width="16.7109375" style="68" customWidth="1"/>
    <col min="16115" max="16115" width="13.42578125" style="68" customWidth="1"/>
    <col min="16116" max="16116" width="14.28515625" style="68" customWidth="1"/>
    <col min="16117" max="16117" width="18.28515625" style="68" customWidth="1"/>
    <col min="16118" max="16118" width="17.42578125" style="68" bestFit="1" customWidth="1"/>
    <col min="16119" max="16119" width="18.28515625" style="68" bestFit="1" customWidth="1"/>
    <col min="16120" max="16384" width="9.28515625" style="68"/>
  </cols>
  <sheetData>
    <row r="1" spans="1:28" ht="18.75" customHeight="1" x14ac:dyDescent="0.2">
      <c r="A1" s="111" t="s">
        <v>115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67"/>
      <c r="M1" s="120" t="s">
        <v>116</v>
      </c>
    </row>
    <row r="2" spans="1:28" s="35" customFormat="1" ht="63.75" customHeight="1" x14ac:dyDescent="0.2">
      <c r="A2" s="37" t="s">
        <v>72</v>
      </c>
      <c r="B2" s="37" t="s">
        <v>73</v>
      </c>
      <c r="C2" s="37" t="s">
        <v>97</v>
      </c>
      <c r="D2" s="37" t="s">
        <v>89</v>
      </c>
      <c r="E2" s="37" t="s">
        <v>90</v>
      </c>
      <c r="F2" s="37" t="s">
        <v>91</v>
      </c>
      <c r="G2" s="37" t="s">
        <v>112</v>
      </c>
      <c r="H2" s="37" t="s">
        <v>92</v>
      </c>
      <c r="I2" s="37" t="s">
        <v>111</v>
      </c>
      <c r="J2" s="113" t="s">
        <v>113</v>
      </c>
      <c r="K2" s="37" t="s">
        <v>92</v>
      </c>
      <c r="L2" s="37" t="s">
        <v>96</v>
      </c>
      <c r="M2" s="37" t="s">
        <v>93</v>
      </c>
      <c r="N2" s="37" t="s">
        <v>94</v>
      </c>
      <c r="O2" s="122" t="s">
        <v>118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40" customFormat="1" ht="23.25" customHeight="1" x14ac:dyDescent="0.2">
      <c r="A3" s="37"/>
      <c r="B3" s="38"/>
      <c r="C3" s="39" t="s">
        <v>61</v>
      </c>
      <c r="D3" s="39" t="s">
        <v>63</v>
      </c>
      <c r="E3" s="39" t="s">
        <v>74</v>
      </c>
      <c r="F3" s="39" t="s">
        <v>75</v>
      </c>
      <c r="G3" s="39" t="s">
        <v>76</v>
      </c>
      <c r="H3" s="39" t="s">
        <v>77</v>
      </c>
      <c r="I3" s="39" t="s">
        <v>78</v>
      </c>
      <c r="J3" s="114" t="s">
        <v>107</v>
      </c>
      <c r="K3" s="114" t="s">
        <v>108</v>
      </c>
      <c r="L3" s="39" t="s">
        <v>109</v>
      </c>
      <c r="M3" s="39" t="s">
        <v>110</v>
      </c>
      <c r="N3" s="39" t="s">
        <v>79</v>
      </c>
      <c r="O3" s="39" t="s">
        <v>117</v>
      </c>
    </row>
    <row r="4" spans="1:28" ht="18.75" customHeight="1" x14ac:dyDescent="0.2">
      <c r="A4" s="71">
        <v>210001</v>
      </c>
      <c r="B4" s="71" t="s">
        <v>10</v>
      </c>
      <c r="C4" s="72">
        <f>VLOOKUP(A4,'[3]Source Revenue'!$A$3:$E$50,3,0)</f>
        <v>321955559.91474116</v>
      </c>
      <c r="D4" s="73">
        <f>VLOOKUP(A4,'Source  PAU%'!$A$2:$J$52,10,FALSE)</f>
        <v>0.13477761174988781</v>
      </c>
      <c r="E4" s="74">
        <f>D4*'7a.Savings'!$C$10</f>
        <v>-2.1436923013805884E-2</v>
      </c>
      <c r="F4" s="75">
        <f t="shared" ref="F4:F44" si="0">E4*C4</f>
        <v>-6901736.5517590735</v>
      </c>
      <c r="G4" s="76">
        <f>VLOOKUP(A4,'[5]Source Medicaid'!$A$2:$F$50,5,FALSE)</f>
        <v>0.18997971562145427</v>
      </c>
      <c r="H4" s="77">
        <f t="shared" ref="H4:H51" si="1">IF(G4&gt;=$G$55,MAX(E4,$E$53),E4)</f>
        <v>-2.1436923013805884E-2</v>
      </c>
      <c r="I4" s="75">
        <f t="shared" ref="I4:I51" si="2">ROUND(H4*C4,0)</f>
        <v>-6901737</v>
      </c>
      <c r="J4" s="75">
        <f>($F$53-$I$53)/($C$53)*C4+I4</f>
        <v>-7083786.5988200717</v>
      </c>
      <c r="K4" s="78">
        <f>J4/C4</f>
        <v>-2.2002373870157636E-2</v>
      </c>
      <c r="L4" s="75">
        <f>VLOOKUP(A4,'[6]7. PAU Savings to Use'!$A:$I,9,FALSE)</f>
        <v>-5520664.0776215224</v>
      </c>
      <c r="M4" s="78">
        <f>ROUND(((J4-L4)/C4),6)</f>
        <v>-4.8549999999999999E-3</v>
      </c>
      <c r="N4" s="101">
        <f t="shared" ref="N4:N53" si="3">ROUND(M4*C4,0)</f>
        <v>-1563094</v>
      </c>
      <c r="O4" s="121">
        <f>J4/C4</f>
        <v>-2.2002373870157636E-2</v>
      </c>
    </row>
    <row r="5" spans="1:28" ht="18.75" customHeight="1" x14ac:dyDescent="0.2">
      <c r="A5" s="79">
        <v>210002</v>
      </c>
      <c r="B5" s="79" t="s">
        <v>98</v>
      </c>
      <c r="C5" s="72">
        <f>VLOOKUP(A5,'[3]Source Revenue'!$A$3:$E$50,3,0)</f>
        <v>1399559923.8071165</v>
      </c>
      <c r="D5" s="80">
        <f>VLOOKUP(A5,'Source  PAU%'!$A$2:$J$52,10,FALSE)</f>
        <v>8.4091008429780026E-2</v>
      </c>
      <c r="E5" s="81">
        <f>D5*'7a.Savings'!$C$10</f>
        <v>-1.3375014221262135E-2</v>
      </c>
      <c r="F5" s="75">
        <f t="shared" si="0"/>
        <v>-18719133.884428732</v>
      </c>
      <c r="G5" s="76">
        <f>VLOOKUP(A5,'[5]Source Medicaid'!$A$2:$F$50,5,FALSE)</f>
        <v>0.30586541167659115</v>
      </c>
      <c r="H5" s="77">
        <f t="shared" si="1"/>
        <v>-1.3375014221262135E-2</v>
      </c>
      <c r="I5" s="75">
        <f t="shared" si="2"/>
        <v>-18719134</v>
      </c>
      <c r="J5" s="75">
        <f t="shared" ref="J5:J51" si="4">($F$53-$I$53)/($C$53)*C5+I5</f>
        <v>-19510514.408902422</v>
      </c>
      <c r="K5" s="78">
        <f t="shared" ref="K5:K51" si="5">J5/C5</f>
        <v>-1.3940463767946035E-2</v>
      </c>
      <c r="L5" s="75">
        <f>VLOOKUP(A5,'[6]7. PAU Savings to Use'!$A:$I,9,FALSE)</f>
        <v>-13498781.707746325</v>
      </c>
      <c r="M5" s="78">
        <f t="shared" ref="M5:M53" si="6">ROUND(((J5-L5)/C5),6)</f>
        <v>-4.2950000000000002E-3</v>
      </c>
      <c r="N5" s="101">
        <f t="shared" si="3"/>
        <v>-6011110</v>
      </c>
      <c r="O5" s="121">
        <f t="shared" ref="O4:O51" si="7">J5/C5</f>
        <v>-1.3940463767946035E-2</v>
      </c>
    </row>
    <row r="6" spans="1:28" ht="18.75" customHeight="1" x14ac:dyDescent="0.2">
      <c r="A6" s="79">
        <v>210003</v>
      </c>
      <c r="B6" s="79" t="s">
        <v>12</v>
      </c>
      <c r="C6" s="72">
        <f>VLOOKUP(A6,'[3]Source Revenue'!$A$3:$E$50,3,0)</f>
        <v>287707710.10856968</v>
      </c>
      <c r="D6" s="80">
        <f>VLOOKUP(A6,'Source  PAU%'!$A$2:$J$52,10,FALSE)</f>
        <v>0.13911206007103141</v>
      </c>
      <c r="E6" s="81">
        <f>D6*'7a.Savings'!$C$10</f>
        <v>-2.2126334509983053E-2</v>
      </c>
      <c r="F6" s="75">
        <f t="shared" si="0"/>
        <v>-6365917.0349634457</v>
      </c>
      <c r="G6" s="76">
        <f>VLOOKUP(A6,'[5]Source Medicaid'!$A$2:$F$50,5,FALSE)</f>
        <v>0.43102260636809553</v>
      </c>
      <c r="H6" s="77">
        <f t="shared" si="1"/>
        <v>-1.7500000000000002E-2</v>
      </c>
      <c r="I6" s="75">
        <f t="shared" si="2"/>
        <v>-5034885</v>
      </c>
      <c r="J6" s="75">
        <f t="shared" si="4"/>
        <v>-5197569.1705003539</v>
      </c>
      <c r="K6" s="78">
        <f t="shared" si="5"/>
        <v>-1.806544971818445E-2</v>
      </c>
      <c r="L6" s="75">
        <f>VLOOKUP(A6,'[6]7. PAU Savings to Use'!$A:$I,9,FALSE)</f>
        <v>-4324395.6140665971</v>
      </c>
      <c r="M6" s="78">
        <f t="shared" si="6"/>
        <v>-3.0349999999999999E-3</v>
      </c>
      <c r="N6" s="101">
        <f t="shared" si="3"/>
        <v>-873193</v>
      </c>
      <c r="O6" s="121">
        <f t="shared" si="7"/>
        <v>-1.806544971818445E-2</v>
      </c>
    </row>
    <row r="7" spans="1:28" ht="18.75" customHeight="1" x14ac:dyDescent="0.2">
      <c r="A7" s="82">
        <v>210004</v>
      </c>
      <c r="B7" s="82" t="s">
        <v>13</v>
      </c>
      <c r="C7" s="72">
        <f>VLOOKUP(A7,'[3]Source Revenue'!$A$3:$E$50,3,0)</f>
        <v>489724685.75063366</v>
      </c>
      <c r="D7" s="80">
        <f>VLOOKUP(A7,'Source  PAU%'!$A$2:$J$52,10,FALSE)</f>
        <v>0.10881826531464109</v>
      </c>
      <c r="E7" s="83">
        <f>D7*'7a.Savings'!$C$10</f>
        <v>-1.7307984210128326E-2</v>
      </c>
      <c r="F7" s="75">
        <f t="shared" si="0"/>
        <v>-8476147.1282820236</v>
      </c>
      <c r="G7" s="76">
        <f>VLOOKUP(A7,'[5]Source Medicaid'!$A$2:$F$50,5,FALSE)</f>
        <v>0.2246064153840826</v>
      </c>
      <c r="H7" s="77">
        <f t="shared" si="1"/>
        <v>-1.7307984210128326E-2</v>
      </c>
      <c r="I7" s="75">
        <f t="shared" si="2"/>
        <v>-8476147</v>
      </c>
      <c r="J7" s="75">
        <f t="shared" si="4"/>
        <v>-8753061.5611176826</v>
      </c>
      <c r="K7" s="78">
        <f t="shared" si="5"/>
        <v>-1.7873433412288135E-2</v>
      </c>
      <c r="L7" s="75">
        <f>VLOOKUP(A7,'[6]7. PAU Savings to Use'!$A:$I,9,FALSE)</f>
        <v>-7893731.1975138178</v>
      </c>
      <c r="M7" s="78">
        <f t="shared" si="6"/>
        <v>-1.755E-3</v>
      </c>
      <c r="N7" s="101">
        <f t="shared" si="3"/>
        <v>-859467</v>
      </c>
      <c r="O7" s="121">
        <f t="shared" si="7"/>
        <v>-1.7873433412288135E-2</v>
      </c>
    </row>
    <row r="8" spans="1:28" s="84" customFormat="1" ht="18.75" customHeight="1" x14ac:dyDescent="0.2">
      <c r="A8" s="79">
        <v>210005</v>
      </c>
      <c r="B8" s="79" t="s">
        <v>99</v>
      </c>
      <c r="C8" s="72">
        <f>VLOOKUP(A8,'[3]Source Revenue'!$A$3:$E$50,3,0)</f>
        <v>338085918.23302591</v>
      </c>
      <c r="D8" s="80">
        <f>VLOOKUP(A8,'Source  PAU%'!$A$2:$J$52,10,FALSE)</f>
        <v>0.14026805622450092</v>
      </c>
      <c r="E8" s="81">
        <f>D8*'7a.Savings'!$C$10</f>
        <v>-2.2310200362956976E-2</v>
      </c>
      <c r="F8" s="75">
        <f t="shared" si="0"/>
        <v>-7542764.5756730968</v>
      </c>
      <c r="G8" s="76">
        <f>VLOOKUP(A8,'[5]Source Medicaid'!$A$2:$F$50,5,FALSE)</f>
        <v>7.4128955831890789E-2</v>
      </c>
      <c r="H8" s="77">
        <f t="shared" si="1"/>
        <v>-2.2310200362956976E-2</v>
      </c>
      <c r="I8" s="75">
        <f t="shared" si="2"/>
        <v>-7542765</v>
      </c>
      <c r="J8" s="75">
        <f t="shared" si="4"/>
        <v>-7733935.5012870003</v>
      </c>
      <c r="K8" s="78">
        <f t="shared" si="5"/>
        <v>-2.2875651082150013E-2</v>
      </c>
      <c r="L8" s="75">
        <f>VLOOKUP(A8,'[6]7. PAU Savings to Use'!$A:$I,9,FALSE)</f>
        <v>-5067592.4864054462</v>
      </c>
      <c r="M8" s="78">
        <f t="shared" si="6"/>
        <v>-7.8869999999999999E-3</v>
      </c>
      <c r="N8" s="101">
        <f t="shared" si="3"/>
        <v>-2666484</v>
      </c>
      <c r="O8" s="121">
        <f t="shared" si="7"/>
        <v>-2.2875651082150013E-2</v>
      </c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8.75" customHeight="1" x14ac:dyDescent="0.2">
      <c r="A9" s="79">
        <v>210006</v>
      </c>
      <c r="B9" s="79" t="s">
        <v>15</v>
      </c>
      <c r="C9" s="72">
        <f>VLOOKUP(A9,'[3]Source Revenue'!$A$3:$E$50,3,0)</f>
        <v>102314326.75911014</v>
      </c>
      <c r="D9" s="80">
        <f>VLOOKUP(A9,'Source  PAU%'!$A$2:$J$52,10,FALSE)</f>
        <v>0.16542488533725064</v>
      </c>
      <c r="E9" s="81">
        <f>D9*'7a.Savings'!$C$10</f>
        <v>-2.6311495548111758E-2</v>
      </c>
      <c r="F9" s="75">
        <f t="shared" si="0"/>
        <v>-2692042.9530303781</v>
      </c>
      <c r="G9" s="76">
        <f>VLOOKUP(A9,'[5]Source Medicaid'!$A$2:$F$50,5,FALSE)</f>
        <v>0.18380361259254796</v>
      </c>
      <c r="H9" s="77">
        <f t="shared" si="1"/>
        <v>-2.6311495548111758E-2</v>
      </c>
      <c r="I9" s="75">
        <f t="shared" si="2"/>
        <v>-2692043</v>
      </c>
      <c r="J9" s="75">
        <f t="shared" si="4"/>
        <v>-2749896.5812364114</v>
      </c>
      <c r="K9" s="78">
        <f t="shared" si="5"/>
        <v>-2.6876945471290596E-2</v>
      </c>
      <c r="L9" s="75">
        <f>VLOOKUP(A9,'[6]7. PAU Savings to Use'!$A:$I,9,FALSE)</f>
        <v>-2524680.6116014617</v>
      </c>
      <c r="M9" s="78">
        <f t="shared" si="6"/>
        <v>-2.2009999999999998E-3</v>
      </c>
      <c r="N9" s="101">
        <f t="shared" si="3"/>
        <v>-225194</v>
      </c>
      <c r="O9" s="121">
        <f t="shared" si="7"/>
        <v>-2.6876945471290596E-2</v>
      </c>
    </row>
    <row r="10" spans="1:28" ht="18.75" customHeight="1" x14ac:dyDescent="0.2">
      <c r="A10" s="79">
        <v>210008</v>
      </c>
      <c r="B10" s="79" t="s">
        <v>16</v>
      </c>
      <c r="C10" s="72">
        <f>VLOOKUP(A10,'[3]Source Revenue'!$A$3:$E$50,3,0)</f>
        <v>516410170.18262321</v>
      </c>
      <c r="D10" s="80">
        <f>VLOOKUP(A10,'Source  PAU%'!$A$2:$J$52,10,FALSE)</f>
        <v>5.3257521266036466E-2</v>
      </c>
      <c r="E10" s="81">
        <f>D10*'7a.Savings'!$C$10</f>
        <v>-8.4708236662095603E-3</v>
      </c>
      <c r="F10" s="75">
        <f t="shared" si="0"/>
        <v>-4374419.4910542713</v>
      </c>
      <c r="G10" s="76">
        <f>VLOOKUP(A10,'[5]Source Medicaid'!$A$2:$F$50,5,FALSE)</f>
        <v>0.24929558456331435</v>
      </c>
      <c r="H10" s="77">
        <f t="shared" si="1"/>
        <v>-8.4708236662095603E-3</v>
      </c>
      <c r="I10" s="75">
        <f t="shared" si="2"/>
        <v>-4374419</v>
      </c>
      <c r="J10" s="75">
        <f t="shared" si="4"/>
        <v>-4666422.8539891886</v>
      </c>
      <c r="K10" s="78">
        <f t="shared" si="5"/>
        <v>-9.0362721794169064E-3</v>
      </c>
      <c r="L10" s="75">
        <f>VLOOKUP(A10,'[6]7. PAU Savings to Use'!$A:$I,9,FALSE)</f>
        <v>-3663552.0614870177</v>
      </c>
      <c r="M10" s="78">
        <f t="shared" si="6"/>
        <v>-1.9419999999999999E-3</v>
      </c>
      <c r="N10" s="101">
        <f t="shared" si="3"/>
        <v>-1002869</v>
      </c>
      <c r="O10" s="121">
        <f t="shared" si="7"/>
        <v>-9.0362721794169064E-3</v>
      </c>
    </row>
    <row r="11" spans="1:28" ht="18.75" customHeight="1" x14ac:dyDescent="0.2">
      <c r="A11" s="79">
        <v>210009</v>
      </c>
      <c r="B11" s="79" t="s">
        <v>17</v>
      </c>
      <c r="C11" s="72">
        <f>VLOOKUP(A11,'[3]Source Revenue'!$A$3:$E$50,3,0)</f>
        <v>2352963223.3712864</v>
      </c>
      <c r="D11" s="80">
        <f>VLOOKUP(A11,'Source  PAU%'!$A$2:$J$52,10,FALSE)</f>
        <v>8.9256550526288767E-2</v>
      </c>
      <c r="E11" s="81">
        <f>D11*'7a.Savings'!$C$10</f>
        <v>-1.4196614536104659E-2</v>
      </c>
      <c r="F11" s="75">
        <f t="shared" si="0"/>
        <v>-33404111.899832476</v>
      </c>
      <c r="G11" s="76">
        <f>VLOOKUP(A11,'[5]Source Medicaid'!$A$2:$F$50,5,FALSE)</f>
        <v>0.23399439199359373</v>
      </c>
      <c r="H11" s="77">
        <f t="shared" si="1"/>
        <v>-1.4196614536104659E-2</v>
      </c>
      <c r="I11" s="75">
        <f t="shared" si="2"/>
        <v>-33404112</v>
      </c>
      <c r="J11" s="75">
        <f t="shared" si="4"/>
        <v>-34734593.79371886</v>
      </c>
      <c r="K11" s="78">
        <f t="shared" si="5"/>
        <v>-1.4762064042782493E-2</v>
      </c>
      <c r="L11" s="75">
        <f>VLOOKUP(A11,'[6]7. PAU Savings to Use'!$A:$I,9,FALSE)</f>
        <v>-26672299.890770853</v>
      </c>
      <c r="M11" s="78">
        <f t="shared" si="6"/>
        <v>-3.4259999999999998E-3</v>
      </c>
      <c r="N11" s="101">
        <f t="shared" si="3"/>
        <v>-8061252</v>
      </c>
      <c r="O11" s="121">
        <f t="shared" si="7"/>
        <v>-1.4762064042782493E-2</v>
      </c>
    </row>
    <row r="12" spans="1:28" ht="18.75" customHeight="1" x14ac:dyDescent="0.2">
      <c r="A12" s="79">
        <v>210010</v>
      </c>
      <c r="B12" s="79" t="s">
        <v>18</v>
      </c>
      <c r="C12" s="72">
        <f>VLOOKUP(A12,'[3]Source Revenue'!$A$3:$E$50,3,0)</f>
        <v>49226291.660124123</v>
      </c>
      <c r="D12" s="80">
        <f>VLOOKUP(A12,'Source  PAU%'!$A$2:$J$52,10,FALSE)</f>
        <v>0.16391753011467003</v>
      </c>
      <c r="E12" s="81">
        <f>D12*'7a.Savings'!$C$10</f>
        <v>-2.607174461736457E-2</v>
      </c>
      <c r="F12" s="75">
        <f t="shared" si="0"/>
        <v>-1283415.3046226595</v>
      </c>
      <c r="G12" s="76">
        <f>VLOOKUP(A12,'[5]Source Medicaid'!$A$2:$F$50,5,FALSE)</f>
        <v>0.25533630237607674</v>
      </c>
      <c r="H12" s="77">
        <f t="shared" si="1"/>
        <v>-1.7500000000000002E-2</v>
      </c>
      <c r="I12" s="75">
        <f t="shared" si="2"/>
        <v>-861460</v>
      </c>
      <c r="J12" s="75">
        <f t="shared" si="4"/>
        <v>-889294.98023919389</v>
      </c>
      <c r="K12" s="78">
        <f t="shared" si="5"/>
        <v>-1.8065447350355042E-2</v>
      </c>
      <c r="L12" s="75">
        <f>VLOOKUP(A12,'[6]7. PAU Savings to Use'!$A:$I,9,FALSE)</f>
        <v>-725743.84168386494</v>
      </c>
      <c r="M12" s="78">
        <f t="shared" si="6"/>
        <v>-3.3219999999999999E-3</v>
      </c>
      <c r="N12" s="101">
        <f t="shared" si="3"/>
        <v>-163530</v>
      </c>
      <c r="O12" s="121">
        <f t="shared" si="7"/>
        <v>-1.8065447350355042E-2</v>
      </c>
    </row>
    <row r="13" spans="1:28" ht="18.75" customHeight="1" x14ac:dyDescent="0.2">
      <c r="A13" s="79">
        <v>210011</v>
      </c>
      <c r="B13" s="79" t="s">
        <v>19</v>
      </c>
      <c r="C13" s="72">
        <f>VLOOKUP(A13,'[3]Source Revenue'!$A$3:$E$50,3,0)</f>
        <v>422820202.13967508</v>
      </c>
      <c r="D13" s="80">
        <f>VLOOKUP(A13,'Source  PAU%'!$A$2:$J$52,10,FALSE)</f>
        <v>0.14659256551340835</v>
      </c>
      <c r="E13" s="81">
        <f>D13*'7a.Savings'!$C$10</f>
        <v>-2.3316139086504078E-2</v>
      </c>
      <c r="F13" s="75">
        <f t="shared" si="0"/>
        <v>-9858534.6416724324</v>
      </c>
      <c r="G13" s="76">
        <f>VLOOKUP(A13,'[5]Source Medicaid'!$A$2:$F$50,5,FALSE)</f>
        <v>0.23657827074630844</v>
      </c>
      <c r="H13" s="77">
        <f t="shared" si="1"/>
        <v>-2.3316139086504078E-2</v>
      </c>
      <c r="I13" s="75">
        <f t="shared" si="2"/>
        <v>-9858535</v>
      </c>
      <c r="J13" s="75">
        <f t="shared" si="4"/>
        <v>-10097618.456713509</v>
      </c>
      <c r="K13" s="78">
        <f t="shared" si="5"/>
        <v>-2.3881589398081424E-2</v>
      </c>
      <c r="L13" s="75">
        <f>VLOOKUP(A13,'[6]7. PAU Savings to Use'!$A:$I,9,FALSE)</f>
        <v>-8072606.5258703372</v>
      </c>
      <c r="M13" s="78">
        <f t="shared" si="6"/>
        <v>-4.7889999999999999E-3</v>
      </c>
      <c r="N13" s="101">
        <f t="shared" si="3"/>
        <v>-2024886</v>
      </c>
      <c r="O13" s="121">
        <f t="shared" si="7"/>
        <v>-2.3881589398081424E-2</v>
      </c>
    </row>
    <row r="14" spans="1:28" ht="18.75" customHeight="1" x14ac:dyDescent="0.2">
      <c r="A14" s="79">
        <v>210012</v>
      </c>
      <c r="B14" s="79" t="s">
        <v>20</v>
      </c>
      <c r="C14" s="72">
        <f>VLOOKUP(A14,'[3]Source Revenue'!$A$3:$E$50,3,0)</f>
        <v>752409746.26519561</v>
      </c>
      <c r="D14" s="80">
        <f>VLOOKUP(A14,'Source  PAU%'!$A$2:$J$52,10,FALSE)</f>
        <v>8.9031984379204634E-2</v>
      </c>
      <c r="E14" s="81">
        <f>D14*'7a.Savings'!$C$10</f>
        <v>-1.4160896384224337E-2</v>
      </c>
      <c r="F14" s="75">
        <f t="shared" si="0"/>
        <v>-10654796.455341959</v>
      </c>
      <c r="G14" s="76">
        <f>VLOOKUP(A14,'[5]Source Medicaid'!$A$2:$F$50,5,FALSE)</f>
        <v>0.24286222479512432</v>
      </c>
      <c r="H14" s="77">
        <f t="shared" si="1"/>
        <v>-1.4160896384224337E-2</v>
      </c>
      <c r="I14" s="75">
        <f t="shared" si="2"/>
        <v>-10654796</v>
      </c>
      <c r="J14" s="75">
        <f t="shared" si="4"/>
        <v>-11080245.687814567</v>
      </c>
      <c r="K14" s="78">
        <f t="shared" si="5"/>
        <v>-1.4726345243153197E-2</v>
      </c>
      <c r="L14" s="75">
        <f>VLOOKUP(A14,'[6]7. PAU Savings to Use'!$A:$I,9,FALSE)</f>
        <v>-9124538.1321441792</v>
      </c>
      <c r="M14" s="78">
        <f t="shared" si="6"/>
        <v>-2.5990000000000002E-3</v>
      </c>
      <c r="N14" s="101">
        <f t="shared" si="3"/>
        <v>-1955513</v>
      </c>
      <c r="O14" s="121">
        <f t="shared" si="7"/>
        <v>-1.4726345243153197E-2</v>
      </c>
    </row>
    <row r="15" spans="1:28" ht="18.75" customHeight="1" x14ac:dyDescent="0.2">
      <c r="A15" s="79">
        <v>210013</v>
      </c>
      <c r="B15" s="79" t="s">
        <v>21</v>
      </c>
      <c r="C15" s="72">
        <f>VLOOKUP(A15,'[3]Source Revenue'!$A$3:$E$50,3,0)</f>
        <v>115902722.16579702</v>
      </c>
      <c r="D15" s="80">
        <f>VLOOKUP(A15,'Source  PAU%'!$A$2:$J$52,10,FALSE)</f>
        <v>0.19968116625597593</v>
      </c>
      <c r="E15" s="81">
        <f>D15*'7a.Savings'!$C$10</f>
        <v>-3.1760095261814822E-2</v>
      </c>
      <c r="F15" s="75">
        <f t="shared" si="0"/>
        <v>-3681081.4970893697</v>
      </c>
      <c r="G15" s="76">
        <f>VLOOKUP(A15,'[5]Source Medicaid'!$A$2:$F$50,5,FALSE)</f>
        <v>0.60304981650330469</v>
      </c>
      <c r="H15" s="77">
        <f t="shared" si="1"/>
        <v>-1.7500000000000002E-2</v>
      </c>
      <c r="I15" s="75">
        <f t="shared" si="2"/>
        <v>-2028298</v>
      </c>
      <c r="J15" s="75">
        <f t="shared" si="4"/>
        <v>-2093835.1321371968</v>
      </c>
      <c r="K15" s="78">
        <f t="shared" si="5"/>
        <v>-1.8065452588266206E-2</v>
      </c>
      <c r="L15" s="75">
        <f>VLOOKUP(A15,'[6]7. PAU Savings to Use'!$A:$I,9,FALSE)</f>
        <v>-1723772.3933079422</v>
      </c>
      <c r="M15" s="78">
        <f t="shared" si="6"/>
        <v>-3.1930000000000001E-3</v>
      </c>
      <c r="N15" s="101">
        <f t="shared" si="3"/>
        <v>-370077</v>
      </c>
      <c r="O15" s="121">
        <f t="shared" si="7"/>
        <v>-1.8065452588266206E-2</v>
      </c>
    </row>
    <row r="16" spans="1:28" ht="18.75" customHeight="1" x14ac:dyDescent="0.2">
      <c r="A16" s="79">
        <v>210015</v>
      </c>
      <c r="B16" s="79" t="s">
        <v>22</v>
      </c>
      <c r="C16" s="72">
        <f>VLOOKUP(A16,'[3]Source Revenue'!$A$3:$E$50,3,0)</f>
        <v>522059008.50967693</v>
      </c>
      <c r="D16" s="80">
        <f>VLOOKUP(A16,'Source  PAU%'!$A$2:$J$52,10,FALSE)</f>
        <v>0.14600389613093348</v>
      </c>
      <c r="E16" s="81">
        <f>D16*'7a.Savings'!$C$10</f>
        <v>-2.3222508845777475E-2</v>
      </c>
      <c r="F16" s="75">
        <f t="shared" si="0"/>
        <v>-12123519.94313379</v>
      </c>
      <c r="G16" s="76">
        <f>VLOOKUP(A16,'[5]Source Medicaid'!$A$2:$F$50,5,FALSE)</f>
        <v>0.27088778993171353</v>
      </c>
      <c r="H16" s="77">
        <f t="shared" si="1"/>
        <v>-1.7500000000000002E-2</v>
      </c>
      <c r="I16" s="75">
        <f t="shared" si="2"/>
        <v>-9136033</v>
      </c>
      <c r="J16" s="75">
        <f t="shared" si="4"/>
        <v>-9431230.9865940474</v>
      </c>
      <c r="K16" s="78">
        <f t="shared" si="5"/>
        <v>-1.8065450136599319E-2</v>
      </c>
      <c r="L16" s="75">
        <f>VLOOKUP(A16,'[6]7. PAU Savings to Use'!$A:$I,9,FALSE)</f>
        <v>-7430355.8542797733</v>
      </c>
      <c r="M16" s="78">
        <f t="shared" si="6"/>
        <v>-3.833E-3</v>
      </c>
      <c r="N16" s="101">
        <f t="shared" si="3"/>
        <v>-2001052</v>
      </c>
      <c r="O16" s="121">
        <f t="shared" si="7"/>
        <v>-1.8065450136599319E-2</v>
      </c>
    </row>
    <row r="17" spans="1:15" ht="18.75" customHeight="1" x14ac:dyDescent="0.2">
      <c r="A17" s="79">
        <v>210016</v>
      </c>
      <c r="B17" s="79" t="s">
        <v>100</v>
      </c>
      <c r="C17" s="72">
        <f>VLOOKUP(A17,'[3]Source Revenue'!$A$3:$E$50,3,0)</f>
        <v>265729172.41023228</v>
      </c>
      <c r="D17" s="80">
        <f>VLOOKUP(A17,'Source  PAU%'!$A$2:$J$52,10,FALSE)</f>
        <v>0.13416466340070665</v>
      </c>
      <c r="E17" s="81">
        <f>D17*'7a.Savings'!$C$10</f>
        <v>-2.1339431105452295E-2</v>
      </c>
      <c r="F17" s="75">
        <f t="shared" si="0"/>
        <v>-5670509.3673570063</v>
      </c>
      <c r="G17" s="76">
        <f>VLOOKUP(A17,'[5]Source Medicaid'!$A$2:$F$50,5,FALSE)</f>
        <v>0.30892360705286048</v>
      </c>
      <c r="H17" s="77">
        <f t="shared" si="1"/>
        <v>-1.7500000000000002E-2</v>
      </c>
      <c r="I17" s="75">
        <f t="shared" si="2"/>
        <v>-4650261</v>
      </c>
      <c r="J17" s="75">
        <f t="shared" si="4"/>
        <v>-4800517.418136972</v>
      </c>
      <c r="K17" s="78">
        <f t="shared" si="5"/>
        <v>-1.8065451281073275E-2</v>
      </c>
      <c r="L17" s="75">
        <f>VLOOKUP(A17,'[6]7. PAU Savings to Use'!$A:$I,9,FALSE)</f>
        <v>-3898038.3930841475</v>
      </c>
      <c r="M17" s="78">
        <f t="shared" si="6"/>
        <v>-3.3960000000000001E-3</v>
      </c>
      <c r="N17" s="101">
        <f t="shared" si="3"/>
        <v>-902416</v>
      </c>
      <c r="O17" s="121">
        <f t="shared" si="7"/>
        <v>-1.8065451281073275E-2</v>
      </c>
    </row>
    <row r="18" spans="1:15" ht="18.75" customHeight="1" x14ac:dyDescent="0.2">
      <c r="A18" s="79">
        <v>210017</v>
      </c>
      <c r="B18" s="79" t="s">
        <v>24</v>
      </c>
      <c r="C18" s="72">
        <f>VLOOKUP(A18,'[3]Source Revenue'!$A$3:$E$50,3,0)</f>
        <v>54328266.371631004</v>
      </c>
      <c r="D18" s="80">
        <f>VLOOKUP(A18,'Source  PAU%'!$A$2:$J$52,10,FALSE)</f>
        <v>7.962824111468679E-2</v>
      </c>
      <c r="E18" s="81">
        <f>D18*'7a.Savings'!$C$10</f>
        <v>-1.2665193071294604E-2</v>
      </c>
      <c r="F18" s="75">
        <f t="shared" si="0"/>
        <v>-688077.9828254286</v>
      </c>
      <c r="G18" s="76">
        <f>VLOOKUP(A18,'[5]Source Medicaid'!$A$2:$F$50,5,FALSE)</f>
        <v>0.16089107342159603</v>
      </c>
      <c r="H18" s="77">
        <f t="shared" si="1"/>
        <v>-1.2665193071294604E-2</v>
      </c>
      <c r="I18" s="75">
        <f t="shared" si="2"/>
        <v>-688078</v>
      </c>
      <c r="J18" s="75">
        <f t="shared" si="4"/>
        <v>-718797.8891057031</v>
      </c>
      <c r="K18" s="78">
        <f t="shared" si="5"/>
        <v>-1.3230642851527528E-2</v>
      </c>
      <c r="L18" s="75">
        <f>VLOOKUP(A18,'[6]7. PAU Savings to Use'!$A:$I,9,FALSE)</f>
        <v>-605944.39559634426</v>
      </c>
      <c r="M18" s="78">
        <f t="shared" si="6"/>
        <v>-2.0769999999999999E-3</v>
      </c>
      <c r="N18" s="101">
        <f t="shared" si="3"/>
        <v>-112840</v>
      </c>
      <c r="O18" s="121">
        <f t="shared" si="7"/>
        <v>-1.3230642851527528E-2</v>
      </c>
    </row>
    <row r="19" spans="1:15" ht="18.75" customHeight="1" x14ac:dyDescent="0.2">
      <c r="A19" s="79">
        <v>210018</v>
      </c>
      <c r="B19" s="79" t="s">
        <v>101</v>
      </c>
      <c r="C19" s="72">
        <f>VLOOKUP(A19,'[3]Source Revenue'!$A$3:$E$50,3,0)</f>
        <v>172101071.49599501</v>
      </c>
      <c r="D19" s="80">
        <f>VLOOKUP(A19,'Source  PAU%'!$A$2:$J$52,10,FALSE)</f>
        <v>0.12045560239808591</v>
      </c>
      <c r="E19" s="81">
        <f>D19*'7a.Savings'!$C$10</f>
        <v>-1.9158949633127986E-2</v>
      </c>
      <c r="F19" s="75">
        <f t="shared" si="0"/>
        <v>-3297275.760599127</v>
      </c>
      <c r="G19" s="76">
        <f>VLOOKUP(A19,'[5]Source Medicaid'!$A$2:$F$50,5,FALSE)</f>
        <v>0.15601101365823822</v>
      </c>
      <c r="H19" s="77">
        <f t="shared" si="1"/>
        <v>-1.9158949633127986E-2</v>
      </c>
      <c r="I19" s="75">
        <f t="shared" si="2"/>
        <v>-3297276</v>
      </c>
      <c r="J19" s="75">
        <f t="shared" si="4"/>
        <v>-3394590.4586496572</v>
      </c>
      <c r="K19" s="78">
        <f t="shared" si="5"/>
        <v>-1.972440048828315E-2</v>
      </c>
      <c r="L19" s="75">
        <f>VLOOKUP(A19,'[6]7. PAU Savings to Use'!$A:$I,9,FALSE)</f>
        <v>-2812121.2528816303</v>
      </c>
      <c r="M19" s="78">
        <f t="shared" si="6"/>
        <v>-3.3839999999999999E-3</v>
      </c>
      <c r="N19" s="101">
        <f t="shared" si="3"/>
        <v>-582390</v>
      </c>
      <c r="O19" s="121">
        <f t="shared" si="7"/>
        <v>-1.972440048828315E-2</v>
      </c>
    </row>
    <row r="20" spans="1:15" ht="18.75" customHeight="1" x14ac:dyDescent="0.2">
      <c r="A20" s="79">
        <v>210019</v>
      </c>
      <c r="B20" s="79" t="s">
        <v>102</v>
      </c>
      <c r="C20" s="72">
        <f>VLOOKUP(A20,'[3]Source Revenue'!$A$3:$E$50,3,0)</f>
        <v>431713669.50853997</v>
      </c>
      <c r="D20" s="80">
        <f>VLOOKUP(A20,'Source  PAU%'!$A$2:$J$52,10,FALSE)</f>
        <v>0.10522003683275435</v>
      </c>
      <c r="E20" s="81">
        <f>D20*'7a.Savings'!$C$10</f>
        <v>-1.6735671450235891E-2</v>
      </c>
      <c r="F20" s="75">
        <f t="shared" si="0"/>
        <v>-7225018.1334706452</v>
      </c>
      <c r="G20" s="76">
        <f>VLOOKUP(A20,'[5]Source Medicaid'!$A$2:$F$50,5,FALSE)</f>
        <v>0.18081479550699228</v>
      </c>
      <c r="H20" s="77">
        <f t="shared" si="1"/>
        <v>-1.6735671450235891E-2</v>
      </c>
      <c r="I20" s="75">
        <f t="shared" si="2"/>
        <v>-7225018</v>
      </c>
      <c r="J20" s="75">
        <f t="shared" si="4"/>
        <v>-7469130.2630712865</v>
      </c>
      <c r="K20" s="78">
        <f t="shared" si="5"/>
        <v>-1.7301120605178185E-2</v>
      </c>
      <c r="L20" s="75">
        <f>VLOOKUP(A20,'[6]7. PAU Savings to Use'!$A:$I,9,FALSE)</f>
        <v>-6792718.3558250228</v>
      </c>
      <c r="M20" s="78">
        <f t="shared" si="6"/>
        <v>-1.567E-3</v>
      </c>
      <c r="N20" s="101">
        <f t="shared" si="3"/>
        <v>-676495</v>
      </c>
      <c r="O20" s="121">
        <f t="shared" si="7"/>
        <v>-1.7301120605178185E-2</v>
      </c>
    </row>
    <row r="21" spans="1:15" ht="18.75" customHeight="1" x14ac:dyDescent="0.2">
      <c r="A21" s="79">
        <v>210022</v>
      </c>
      <c r="B21" s="79" t="s">
        <v>27</v>
      </c>
      <c r="C21" s="72">
        <f>VLOOKUP(A21,'[3]Source Revenue'!$A$3:$E$50,3,0)</f>
        <v>313631832.19152868</v>
      </c>
      <c r="D21" s="80">
        <f>VLOOKUP(A21,'Source  PAU%'!$A$2:$J$52,10,FALSE)</f>
        <v>9.9622177262984932E-2</v>
      </c>
      <c r="E21" s="81">
        <f>D21*'7a.Savings'!$C$10</f>
        <v>-1.5845309296750532E-2</v>
      </c>
      <c r="F21" s="75">
        <f t="shared" si="0"/>
        <v>-4969593.3863813318</v>
      </c>
      <c r="G21" s="76">
        <f>VLOOKUP(A21,'[5]Source Medicaid'!$A$2:$F$50,5,FALSE)</f>
        <v>8.6242820892015598E-2</v>
      </c>
      <c r="H21" s="77">
        <f t="shared" si="1"/>
        <v>-1.5845309296750532E-2</v>
      </c>
      <c r="I21" s="75">
        <f t="shared" si="2"/>
        <v>-4969593</v>
      </c>
      <c r="J21" s="75">
        <f t="shared" si="4"/>
        <v>-5146935.9514396079</v>
      </c>
      <c r="K21" s="78">
        <f t="shared" si="5"/>
        <v>-1.641075752889929E-2</v>
      </c>
      <c r="L21" s="75">
        <f>VLOOKUP(A21,'[6]7. PAU Savings to Use'!$A:$I,9,FALSE)</f>
        <v>-4484668.9730141405</v>
      </c>
      <c r="M21" s="78">
        <f t="shared" si="6"/>
        <v>-2.1120000000000002E-3</v>
      </c>
      <c r="N21" s="101">
        <f t="shared" si="3"/>
        <v>-662390</v>
      </c>
      <c r="O21" s="121">
        <f t="shared" si="7"/>
        <v>-1.641075752889929E-2</v>
      </c>
    </row>
    <row r="22" spans="1:15" ht="18.75" customHeight="1" x14ac:dyDescent="0.2">
      <c r="A22" s="79">
        <v>210023</v>
      </c>
      <c r="B22" s="79" t="s">
        <v>28</v>
      </c>
      <c r="C22" s="72">
        <f>VLOOKUP(A22,'[3]Source Revenue'!$A$3:$E$50,3,0)</f>
        <v>609013272.65717053</v>
      </c>
      <c r="D22" s="80">
        <f>VLOOKUP(A22,'Source  PAU%'!$A$2:$J$52,10,FALSE)</f>
        <v>8.6978833620239601E-2</v>
      </c>
      <c r="E22" s="81">
        <f>D22*'7a.Savings'!$C$10</f>
        <v>-1.3834334470979075E-2</v>
      </c>
      <c r="F22" s="75">
        <f t="shared" si="0"/>
        <v>-8425293.311204873</v>
      </c>
      <c r="G22" s="76">
        <f>VLOOKUP(A22,'[5]Source Medicaid'!$A$2:$F$50,5,FALSE)</f>
        <v>0.12046164489791458</v>
      </c>
      <c r="H22" s="77">
        <f t="shared" si="1"/>
        <v>-1.3834334470979075E-2</v>
      </c>
      <c r="I22" s="75">
        <f t="shared" si="2"/>
        <v>-8425293</v>
      </c>
      <c r="J22" s="75">
        <f t="shared" si="4"/>
        <v>-8769659.2286580708</v>
      </c>
      <c r="K22" s="78">
        <f t="shared" si="5"/>
        <v>-1.4399783424087608E-2</v>
      </c>
      <c r="L22" s="75">
        <f>VLOOKUP(A22,'[6]7. PAU Savings to Use'!$A:$I,9,FALSE)</f>
        <v>-6881944.4428195115</v>
      </c>
      <c r="M22" s="78">
        <f t="shared" si="6"/>
        <v>-3.0999999999999999E-3</v>
      </c>
      <c r="N22" s="101">
        <f t="shared" si="3"/>
        <v>-1887941</v>
      </c>
      <c r="O22" s="121">
        <f t="shared" si="7"/>
        <v>-1.4399783424087608E-2</v>
      </c>
    </row>
    <row r="23" spans="1:15" ht="18.75" customHeight="1" x14ac:dyDescent="0.2">
      <c r="A23" s="79">
        <v>210024</v>
      </c>
      <c r="B23" s="79" t="s">
        <v>29</v>
      </c>
      <c r="C23" s="72">
        <f>VLOOKUP(A23,'[3]Source Revenue'!$A$3:$E$50,3,0)</f>
        <v>421547475.77072507</v>
      </c>
      <c r="D23" s="80">
        <f>VLOOKUP(A23,'Source  PAU%'!$A$2:$J$52,10,FALSE)</f>
        <v>0.11698680936270663</v>
      </c>
      <c r="E23" s="81">
        <f>D23*'7a.Savings'!$C$10</f>
        <v>-1.8607224103310428E-2</v>
      </c>
      <c r="F23" s="75">
        <f t="shared" si="0"/>
        <v>-7843828.3518507043</v>
      </c>
      <c r="G23" s="76">
        <f>VLOOKUP(A23,'[5]Source Medicaid'!$A$2:$F$50,5,FALSE)</f>
        <v>0.19078485685597887</v>
      </c>
      <c r="H23" s="77">
        <f t="shared" si="1"/>
        <v>-1.8607224103310428E-2</v>
      </c>
      <c r="I23" s="75">
        <f t="shared" si="2"/>
        <v>-7843828</v>
      </c>
      <c r="J23" s="75">
        <f t="shared" si="4"/>
        <v>-8082191.7942702305</v>
      </c>
      <c r="K23" s="78">
        <f t="shared" si="5"/>
        <v>-1.9172672732752985E-2</v>
      </c>
      <c r="L23" s="75">
        <f>VLOOKUP(A23,'[6]7. PAU Savings to Use'!$A:$I,9,FALSE)</f>
        <v>-5756652.1610208619</v>
      </c>
      <c r="M23" s="78">
        <f t="shared" si="6"/>
        <v>-5.5170000000000002E-3</v>
      </c>
      <c r="N23" s="101">
        <f t="shared" si="3"/>
        <v>-2325677</v>
      </c>
      <c r="O23" s="121">
        <f t="shared" si="7"/>
        <v>-1.9172672732752985E-2</v>
      </c>
    </row>
    <row r="24" spans="1:15" ht="18.75" customHeight="1" x14ac:dyDescent="0.2">
      <c r="A24" s="79">
        <v>210027</v>
      </c>
      <c r="B24" s="79" t="s">
        <v>103</v>
      </c>
      <c r="C24" s="72">
        <f>VLOOKUP(A24,'[3]Source Revenue'!$A$3:$E$50,3,0)</f>
        <v>320642518.52413172</v>
      </c>
      <c r="D24" s="80">
        <f>VLOOKUP(A24,'Source  PAU%'!$A$2:$J$52,10,FALSE)</f>
        <v>0.11291798118612117</v>
      </c>
      <c r="E24" s="81">
        <f>D24*'7a.Savings'!$C$10</f>
        <v>-1.7960060562976075E-2</v>
      </c>
      <c r="F24" s="75">
        <f t="shared" si="0"/>
        <v>-5758759.0517585836</v>
      </c>
      <c r="G24" s="76">
        <f>VLOOKUP(A24,'[5]Source Medicaid'!$A$2:$F$50,5,FALSE)</f>
        <v>0.14489304091382438</v>
      </c>
      <c r="H24" s="77">
        <f t="shared" si="1"/>
        <v>-1.7960060562976075E-2</v>
      </c>
      <c r="I24" s="75">
        <f t="shared" si="2"/>
        <v>-5758759</v>
      </c>
      <c r="J24" s="75">
        <f t="shared" si="4"/>
        <v>-5940066.1402694015</v>
      </c>
      <c r="K24" s="78">
        <f t="shared" si="5"/>
        <v>-1.8525509865661653E-2</v>
      </c>
      <c r="L24" s="75">
        <f>VLOOKUP(A24,'[6]7. PAU Savings to Use'!$A:$I,9,FALSE)</f>
        <v>-4712415.6807978367</v>
      </c>
      <c r="M24" s="78">
        <f t="shared" si="6"/>
        <v>-3.8289999999999999E-3</v>
      </c>
      <c r="N24" s="101">
        <f t="shared" si="3"/>
        <v>-1227740</v>
      </c>
      <c r="O24" s="121">
        <f t="shared" si="7"/>
        <v>-1.8525509865661653E-2</v>
      </c>
    </row>
    <row r="25" spans="1:15" ht="18.75" customHeight="1" x14ac:dyDescent="0.2">
      <c r="A25" s="79">
        <v>210028</v>
      </c>
      <c r="B25" s="79" t="s">
        <v>31</v>
      </c>
      <c r="C25" s="72">
        <f>VLOOKUP(A25,'[3]Source Revenue'!$A$3:$E$50,3,0)</f>
        <v>177161733.10999241</v>
      </c>
      <c r="D25" s="80">
        <f>VLOOKUP(A25,'Source  PAU%'!$A$2:$J$52,10,FALSE)</f>
        <v>0.12180981662369715</v>
      </c>
      <c r="E25" s="81">
        <f>D25*'7a.Savings'!$C$10</f>
        <v>-1.9374342870340865E-2</v>
      </c>
      <c r="F25" s="75">
        <f t="shared" si="0"/>
        <v>-3432392.1607768126</v>
      </c>
      <c r="G25" s="76">
        <f>VLOOKUP(A25,'[5]Source Medicaid'!$A$2:$F$50,5,FALSE)</f>
        <v>0.19876175820903211</v>
      </c>
      <c r="H25" s="77">
        <f t="shared" si="1"/>
        <v>-1.9374342870340865E-2</v>
      </c>
      <c r="I25" s="75">
        <f t="shared" si="2"/>
        <v>-3432392</v>
      </c>
      <c r="J25" s="75">
        <f t="shared" si="4"/>
        <v>-3532568.0070473193</v>
      </c>
      <c r="K25" s="78">
        <f t="shared" si="5"/>
        <v>-1.9939791426933567E-2</v>
      </c>
      <c r="L25" s="75">
        <f>VLOOKUP(A25,'[6]7. PAU Savings to Use'!$A:$I,9,FALSE)</f>
        <v>-2736036.5323130563</v>
      </c>
      <c r="M25" s="78">
        <f t="shared" si="6"/>
        <v>-4.496E-3</v>
      </c>
      <c r="N25" s="101">
        <f t="shared" si="3"/>
        <v>-796519</v>
      </c>
      <c r="O25" s="121">
        <f t="shared" si="7"/>
        <v>-1.9939791426933567E-2</v>
      </c>
    </row>
    <row r="26" spans="1:15" ht="18.75" customHeight="1" x14ac:dyDescent="0.2">
      <c r="A26" s="79">
        <v>210029</v>
      </c>
      <c r="B26" s="79" t="s">
        <v>85</v>
      </c>
      <c r="C26" s="72">
        <f>VLOOKUP(A26,'[3]Source Revenue'!$A$3:$E$50,3,0)</f>
        <v>647476457.79074168</v>
      </c>
      <c r="D26" s="80">
        <f>VLOOKUP(A26,'Source  PAU%'!$A$2:$J$52,10,FALSE)</f>
        <v>0.11753223371590522</v>
      </c>
      <c r="E26" s="81">
        <f>D26*'7a.Savings'!$C$10</f>
        <v>-1.8693976047624971E-2</v>
      </c>
      <c r="F26" s="75">
        <f t="shared" si="0"/>
        <v>-12103909.393341186</v>
      </c>
      <c r="G26" s="76">
        <f>VLOOKUP(A26,'[5]Source Medicaid'!$A$2:$F$50,5,FALSE)</f>
        <v>0.29086814488452367</v>
      </c>
      <c r="H26" s="77">
        <f t="shared" si="1"/>
        <v>-1.7500000000000002E-2</v>
      </c>
      <c r="I26" s="75">
        <f t="shared" si="2"/>
        <v>-11330838</v>
      </c>
      <c r="J26" s="75">
        <f t="shared" si="4"/>
        <v>-11696953.216079697</v>
      </c>
      <c r="K26" s="78">
        <f t="shared" si="5"/>
        <v>-1.8065449446596007E-2</v>
      </c>
      <c r="L26" s="75">
        <f>VLOOKUP(A26,'[6]7. PAU Savings to Use'!$A:$I,9,FALSE)</f>
        <v>-9362446.6721314844</v>
      </c>
      <c r="M26" s="78">
        <f t="shared" si="6"/>
        <v>-3.6059999999999998E-3</v>
      </c>
      <c r="N26" s="101">
        <f t="shared" si="3"/>
        <v>-2334800</v>
      </c>
      <c r="O26" s="121">
        <f t="shared" si="7"/>
        <v>-1.8065449446596007E-2</v>
      </c>
    </row>
    <row r="27" spans="1:15" ht="18.75" customHeight="1" x14ac:dyDescent="0.2">
      <c r="A27" s="79">
        <v>210030</v>
      </c>
      <c r="B27" s="79" t="s">
        <v>33</v>
      </c>
      <c r="C27" s="72">
        <f>VLOOKUP(A27,'[3]Source Revenue'!$A$3:$E$50,3,0)</f>
        <v>55473722.194609955</v>
      </c>
      <c r="D27" s="80">
        <f>VLOOKUP(A27,'Source  PAU%'!$A$2:$J$52,10,FALSE)</f>
        <v>0.11765047138936824</v>
      </c>
      <c r="E27" s="81">
        <f>D27*'7a.Savings'!$C$10</f>
        <v>-1.8712782226711019E-2</v>
      </c>
      <c r="F27" s="75">
        <f t="shared" si="0"/>
        <v>-1038067.6827328018</v>
      </c>
      <c r="G27" s="76">
        <f>VLOOKUP(A27,'[5]Source Medicaid'!$A$2:$F$50,5,FALSE)</f>
        <v>0.12417898195123607</v>
      </c>
      <c r="H27" s="77">
        <f t="shared" si="1"/>
        <v>-1.8712782226711019E-2</v>
      </c>
      <c r="I27" s="75">
        <f t="shared" si="2"/>
        <v>-1038068</v>
      </c>
      <c r="J27" s="75">
        <f t="shared" si="4"/>
        <v>-1069435.586486965</v>
      </c>
      <c r="K27" s="78">
        <f t="shared" si="5"/>
        <v>-1.9278237410052062E-2</v>
      </c>
      <c r="L27" s="75">
        <f>VLOOKUP(A27,'[6]7. PAU Savings to Use'!$A:$I,9,FALSE)</f>
        <v>-1117206.4402350287</v>
      </c>
      <c r="M27" s="78">
        <f t="shared" si="6"/>
        <v>8.61E-4</v>
      </c>
      <c r="N27" s="101">
        <f t="shared" si="3"/>
        <v>47763</v>
      </c>
      <c r="O27" s="121">
        <f t="shared" si="7"/>
        <v>-1.9278237410052062E-2</v>
      </c>
    </row>
    <row r="28" spans="1:15" ht="18.75" customHeight="1" x14ac:dyDescent="0.2">
      <c r="A28" s="79">
        <v>210032</v>
      </c>
      <c r="B28" s="79" t="s">
        <v>86</v>
      </c>
      <c r="C28" s="72">
        <f>VLOOKUP(A28,'[3]Source Revenue'!$A$3:$E$50,3,0)</f>
        <v>158683869.94630226</v>
      </c>
      <c r="D28" s="80">
        <f>VLOOKUP(A28,'Source  PAU%'!$A$2:$J$52,10,FALSE)</f>
        <v>0.1168893545123723</v>
      </c>
      <c r="E28" s="81">
        <f>D28*'7a.Savings'!$C$10</f>
        <v>-1.8591723516107446E-2</v>
      </c>
      <c r="F28" s="75">
        <f t="shared" si="0"/>
        <v>-2950206.6365076033</v>
      </c>
      <c r="G28" s="76">
        <f>VLOOKUP(A28,'[5]Source Medicaid'!$A$2:$F$50,5,FALSE)</f>
        <v>0.26685603704424526</v>
      </c>
      <c r="H28" s="77">
        <f t="shared" si="1"/>
        <v>-1.7500000000000002E-2</v>
      </c>
      <c r="I28" s="75">
        <f t="shared" si="2"/>
        <v>-2776968</v>
      </c>
      <c r="J28" s="75">
        <f t="shared" si="4"/>
        <v>-2866695.7092235675</v>
      </c>
      <c r="K28" s="78">
        <f t="shared" si="5"/>
        <v>-1.8065451203034318E-2</v>
      </c>
      <c r="L28" s="75">
        <f>VLOOKUP(A28,'[6]7. PAU Savings to Use'!$A:$I,9,FALSE)</f>
        <v>-2359446.5258992296</v>
      </c>
      <c r="M28" s="78">
        <f t="shared" si="6"/>
        <v>-3.1970000000000002E-3</v>
      </c>
      <c r="N28" s="101">
        <f t="shared" si="3"/>
        <v>-507312</v>
      </c>
      <c r="O28" s="121">
        <f t="shared" si="7"/>
        <v>-1.8065451203034318E-2</v>
      </c>
    </row>
    <row r="29" spans="1:15" ht="18.75" customHeight="1" x14ac:dyDescent="0.2">
      <c r="A29" s="79">
        <v>210033</v>
      </c>
      <c r="B29" s="79" t="s">
        <v>104</v>
      </c>
      <c r="C29" s="72">
        <f>VLOOKUP(A29,'[3]Source Revenue'!$A$3:$E$50,3,0)</f>
        <v>225263358.630611</v>
      </c>
      <c r="D29" s="80">
        <f>VLOOKUP(A29,'Source  PAU%'!$A$2:$J$52,10,FALSE)</f>
        <v>0.16555092131059937</v>
      </c>
      <c r="E29" s="81">
        <f>D29*'7a.Savings'!$C$10</f>
        <v>-2.6331542078262927E-2</v>
      </c>
      <c r="F29" s="75">
        <f t="shared" si="0"/>
        <v>-5931531.606472766</v>
      </c>
      <c r="G29" s="76">
        <f>VLOOKUP(A29,'[5]Source Medicaid'!$A$2:$F$50,5,FALSE)</f>
        <v>0.13859238515361799</v>
      </c>
      <c r="H29" s="77">
        <f t="shared" si="1"/>
        <v>-2.6331542078262927E-2</v>
      </c>
      <c r="I29" s="75">
        <f t="shared" si="2"/>
        <v>-5931532</v>
      </c>
      <c r="J29" s="75">
        <f t="shared" si="4"/>
        <v>-6058907.0454206308</v>
      </c>
      <c r="K29" s="78">
        <f t="shared" si="5"/>
        <v>-2.6896993289335102E-2</v>
      </c>
      <c r="L29" s="75">
        <f>VLOOKUP(A29,'[6]7. PAU Savings to Use'!$A:$I,9,FALSE)</f>
        <v>-4341595.4466258539</v>
      </c>
      <c r="M29" s="78">
        <f t="shared" si="6"/>
        <v>-7.6239999999999997E-3</v>
      </c>
      <c r="N29" s="101">
        <f t="shared" si="3"/>
        <v>-1717408</v>
      </c>
      <c r="O29" s="121">
        <f t="shared" si="7"/>
        <v>-2.6896993289335102E-2</v>
      </c>
    </row>
    <row r="30" spans="1:15" ht="18.75" customHeight="1" x14ac:dyDescent="0.2">
      <c r="A30" s="79">
        <v>210034</v>
      </c>
      <c r="B30" s="79" t="s">
        <v>36</v>
      </c>
      <c r="C30" s="72">
        <f>VLOOKUP(A30,'[3]Source Revenue'!$A$3:$E$50,3,0)</f>
        <v>186978444.37045556</v>
      </c>
      <c r="D30" s="80">
        <f>VLOOKUP(A30,'Source  PAU%'!$A$2:$J$52,10,FALSE)</f>
        <v>0.15414964825416058</v>
      </c>
      <c r="E30" s="81">
        <f>D30*'7a.Savings'!$C$10</f>
        <v>-2.4518123591342297E-2</v>
      </c>
      <c r="F30" s="75">
        <f t="shared" si="0"/>
        <v>-4584360.6079917504</v>
      </c>
      <c r="G30" s="76">
        <f>VLOOKUP(A30,'[5]Source Medicaid'!$A$2:$F$50,5,FALSE)</f>
        <v>0.32623129992378819</v>
      </c>
      <c r="H30" s="77">
        <f t="shared" si="1"/>
        <v>-1.7500000000000002E-2</v>
      </c>
      <c r="I30" s="75">
        <f t="shared" si="2"/>
        <v>-3272123</v>
      </c>
      <c r="J30" s="75">
        <f t="shared" si="4"/>
        <v>-3377849.8611688418</v>
      </c>
      <c r="K30" s="78">
        <f t="shared" si="5"/>
        <v>-1.8065450659523058E-2</v>
      </c>
      <c r="L30" s="75">
        <f>VLOOKUP(A30,'[6]7. PAU Savings to Use'!$A:$I,9,FALSE)</f>
        <v>-2874191.9820197178</v>
      </c>
      <c r="M30" s="78">
        <f t="shared" si="6"/>
        <v>-2.6940000000000002E-3</v>
      </c>
      <c r="N30" s="101">
        <f t="shared" si="3"/>
        <v>-503720</v>
      </c>
      <c r="O30" s="121">
        <f t="shared" si="7"/>
        <v>-1.8065450659523058E-2</v>
      </c>
    </row>
    <row r="31" spans="1:15" ht="18.75" customHeight="1" x14ac:dyDescent="0.2">
      <c r="A31" s="79">
        <v>210035</v>
      </c>
      <c r="B31" s="79" t="s">
        <v>37</v>
      </c>
      <c r="C31" s="72">
        <f>VLOOKUP(A31,'[3]Source Revenue'!$A$3:$E$50,3,0)</f>
        <v>148909451.23965517</v>
      </c>
      <c r="D31" s="80">
        <f>VLOOKUP(A31,'Source  PAU%'!$A$2:$J$52,10,FALSE)</f>
        <v>0.12602855579060915</v>
      </c>
      <c r="E31" s="81">
        <f>D31*'7a.Savings'!$C$10</f>
        <v>-2.0045350358619016E-2</v>
      </c>
      <c r="F31" s="75">
        <f t="shared" si="0"/>
        <v>-2984942.1218085825</v>
      </c>
      <c r="G31" s="76">
        <f>VLOOKUP(A31,'[5]Source Medicaid'!$A$2:$F$50,5,FALSE)</f>
        <v>0.18010837854443965</v>
      </c>
      <c r="H31" s="77">
        <f t="shared" si="1"/>
        <v>-2.0045350358619016E-2</v>
      </c>
      <c r="I31" s="75">
        <f t="shared" si="2"/>
        <v>-2984942</v>
      </c>
      <c r="J31" s="75">
        <f t="shared" si="4"/>
        <v>-3069142.7694039359</v>
      </c>
      <c r="K31" s="78">
        <f t="shared" si="5"/>
        <v>-2.0610799004721677E-2</v>
      </c>
      <c r="L31" s="75">
        <f>VLOOKUP(A31,'[6]7. PAU Savings to Use'!$A:$I,9,FALSE)</f>
        <v>-2803842.8556620274</v>
      </c>
      <c r="M31" s="78">
        <f t="shared" si="6"/>
        <v>-1.7819999999999999E-3</v>
      </c>
      <c r="N31" s="101">
        <f t="shared" si="3"/>
        <v>-265357</v>
      </c>
      <c r="O31" s="121">
        <f t="shared" si="7"/>
        <v>-2.0610799004721677E-2</v>
      </c>
    </row>
    <row r="32" spans="1:15" ht="18.75" customHeight="1" x14ac:dyDescent="0.2">
      <c r="A32" s="79">
        <v>210037</v>
      </c>
      <c r="B32" s="79" t="s">
        <v>38</v>
      </c>
      <c r="C32" s="72">
        <f>VLOOKUP(A32,'[3]Source Revenue'!$A$3:$E$50,3,0)</f>
        <v>202561562.84157383</v>
      </c>
      <c r="D32" s="80">
        <f>VLOOKUP(A32,'Source  PAU%'!$A$2:$J$52,10,FALSE)</f>
        <v>9.2208409400979324E-2</v>
      </c>
      <c r="E32" s="81">
        <f>D32*'7a.Savings'!$C$10</f>
        <v>-1.4666119601692186E-2</v>
      </c>
      <c r="F32" s="75">
        <f t="shared" si="0"/>
        <v>-2970792.1073402097</v>
      </c>
      <c r="G32" s="76">
        <f>VLOOKUP(A32,'[5]Source Medicaid'!$A$2:$F$50,5,FALSE)</f>
        <v>0.1730780635319131</v>
      </c>
      <c r="H32" s="77">
        <f t="shared" si="1"/>
        <v>-1.4666119601692186E-2</v>
      </c>
      <c r="I32" s="75">
        <f t="shared" si="2"/>
        <v>-2970792</v>
      </c>
      <c r="J32" s="75">
        <f t="shared" si="4"/>
        <v>-3085330.3271574518</v>
      </c>
      <c r="K32" s="78">
        <f t="shared" si="5"/>
        <v>-1.5231568535885216E-2</v>
      </c>
      <c r="L32" s="75">
        <f>VLOOKUP(A32,'[6]7. PAU Savings to Use'!$A:$I,9,FALSE)</f>
        <v>-3096495.0447670575</v>
      </c>
      <c r="M32" s="78">
        <f t="shared" si="6"/>
        <v>5.5000000000000002E-5</v>
      </c>
      <c r="N32" s="101">
        <f t="shared" si="3"/>
        <v>11141</v>
      </c>
      <c r="O32" s="121">
        <f t="shared" si="7"/>
        <v>-1.5231568535885216E-2</v>
      </c>
    </row>
    <row r="33" spans="1:15" ht="18.75" customHeight="1" x14ac:dyDescent="0.2">
      <c r="A33" s="79">
        <v>210038</v>
      </c>
      <c r="B33" s="79" t="s">
        <v>39</v>
      </c>
      <c r="C33" s="72">
        <f>VLOOKUP(A33,'[3]Source Revenue'!$A$3:$E$50,3,0)</f>
        <v>234227769.69172686</v>
      </c>
      <c r="D33" s="80">
        <f>VLOOKUP(A33,'Source  PAU%'!$A$2:$J$52,10,FALSE)</f>
        <v>0.14456696213867612</v>
      </c>
      <c r="E33" s="81">
        <f>D33*'7a.Savings'!$C$10</f>
        <v>-2.2993958695882367E-2</v>
      </c>
      <c r="F33" s="75">
        <f t="shared" si="0"/>
        <v>-5385823.6617202153</v>
      </c>
      <c r="G33" s="76">
        <f>VLOOKUP(A33,'[5]Source Medicaid'!$A$2:$F$50,5,FALSE)</f>
        <v>0.42172496452257069</v>
      </c>
      <c r="H33" s="77">
        <f t="shared" si="1"/>
        <v>-1.7500000000000002E-2</v>
      </c>
      <c r="I33" s="75">
        <f t="shared" si="2"/>
        <v>-4098986</v>
      </c>
      <c r="J33" s="75">
        <f t="shared" si="4"/>
        <v>-4231429.9668511739</v>
      </c>
      <c r="K33" s="78">
        <f t="shared" si="5"/>
        <v>-1.8065449593872952E-2</v>
      </c>
      <c r="L33" s="75">
        <f>VLOOKUP(A33,'[6]7. PAU Savings to Use'!$A:$I,9,FALSE)</f>
        <v>-3442404.2765002949</v>
      </c>
      <c r="M33" s="78">
        <f t="shared" si="6"/>
        <v>-3.369E-3</v>
      </c>
      <c r="N33" s="101">
        <f t="shared" si="3"/>
        <v>-789113</v>
      </c>
      <c r="O33" s="121">
        <f t="shared" si="7"/>
        <v>-1.8065449593872952E-2</v>
      </c>
    </row>
    <row r="34" spans="1:15" ht="18.75" customHeight="1" x14ac:dyDescent="0.2">
      <c r="A34" s="79">
        <v>210039</v>
      </c>
      <c r="B34" s="79" t="s">
        <v>40</v>
      </c>
      <c r="C34" s="72">
        <f>VLOOKUP(A34,'[3]Source Revenue'!$A$3:$E$50,3,0)</f>
        <v>143263199.33140904</v>
      </c>
      <c r="D34" s="80">
        <f>VLOOKUP(A34,'Source  PAU%'!$A$2:$J$52,10,FALSE)</f>
        <v>0.11309503669175146</v>
      </c>
      <c r="E34" s="81">
        <f>D34*'7a.Savings'!$C$10</f>
        <v>-1.7988221955614569E-2</v>
      </c>
      <c r="F34" s="75">
        <f t="shared" si="0"/>
        <v>-2577050.2276448384</v>
      </c>
      <c r="G34" s="76">
        <f>VLOOKUP(A34,'[5]Source Medicaid'!$A$2:$F$50,5,FALSE)</f>
        <v>0.16671345697506124</v>
      </c>
      <c r="H34" s="77">
        <f t="shared" si="1"/>
        <v>-1.7988221955614569E-2</v>
      </c>
      <c r="I34" s="75">
        <f t="shared" si="2"/>
        <v>-2577050</v>
      </c>
      <c r="J34" s="75">
        <f t="shared" si="4"/>
        <v>-2658058.0992882052</v>
      </c>
      <c r="K34" s="78">
        <f t="shared" si="5"/>
        <v>-1.8553669830724297E-2</v>
      </c>
      <c r="L34" s="75">
        <f>VLOOKUP(A34,'[6]7. PAU Savings to Use'!$A:$I,9,FALSE)</f>
        <v>-2244536.6006050436</v>
      </c>
      <c r="M34" s="78">
        <f t="shared" si="6"/>
        <v>-2.8860000000000001E-3</v>
      </c>
      <c r="N34" s="101">
        <f t="shared" si="3"/>
        <v>-413458</v>
      </c>
      <c r="O34" s="121">
        <f t="shared" si="7"/>
        <v>-1.8553669830724297E-2</v>
      </c>
    </row>
    <row r="35" spans="1:15" s="69" customFormat="1" ht="18.75" customHeight="1" x14ac:dyDescent="0.2">
      <c r="A35" s="79">
        <v>210040</v>
      </c>
      <c r="B35" s="79" t="s">
        <v>41</v>
      </c>
      <c r="C35" s="72">
        <f>VLOOKUP(A35,'[3]Source Revenue'!$A$3:$E$50,3,0)</f>
        <v>255493814.35119659</v>
      </c>
      <c r="D35" s="80">
        <f>VLOOKUP(A35,'Source  PAU%'!$A$2:$J$52,10,FALSE)</f>
        <v>0.15978146609711438</v>
      </c>
      <c r="E35" s="81">
        <f>D35*'7a.Savings'!$C$10</f>
        <v>-2.5413886945208668E-2</v>
      </c>
      <c r="F35" s="75">
        <f t="shared" si="0"/>
        <v>-6493090.9131214423</v>
      </c>
      <c r="G35" s="76">
        <f>VLOOKUP(A35,'[5]Source Medicaid'!$A$2:$F$50,5,FALSE)</f>
        <v>0.2166406839903727</v>
      </c>
      <c r="H35" s="77">
        <f t="shared" si="1"/>
        <v>-2.5413886945208668E-2</v>
      </c>
      <c r="I35" s="75">
        <f t="shared" si="2"/>
        <v>-6493091</v>
      </c>
      <c r="J35" s="75">
        <f t="shared" si="4"/>
        <v>-6637559.8404075466</v>
      </c>
      <c r="K35" s="78">
        <f t="shared" si="5"/>
        <v>-2.5979336749357432E-2</v>
      </c>
      <c r="L35" s="75">
        <f>VLOOKUP(A35,'[6]7. PAU Savings to Use'!$A:$I,9,FALSE)</f>
        <v>-5594124.9059025608</v>
      </c>
      <c r="M35" s="78">
        <f t="shared" si="6"/>
        <v>-4.084E-3</v>
      </c>
      <c r="N35" s="101">
        <f t="shared" si="3"/>
        <v>-1043437</v>
      </c>
      <c r="O35" s="121">
        <f t="shared" si="7"/>
        <v>-2.5979336749357432E-2</v>
      </c>
    </row>
    <row r="36" spans="1:15" s="69" customFormat="1" ht="18.75" customHeight="1" x14ac:dyDescent="0.2">
      <c r="A36" s="79">
        <v>210043</v>
      </c>
      <c r="B36" s="79" t="s">
        <v>105</v>
      </c>
      <c r="C36" s="72">
        <f>VLOOKUP(A36,'[3]Source Revenue'!$A$3:$E$50,3,0)</f>
        <v>409703662.08081722</v>
      </c>
      <c r="D36" s="80">
        <f>VLOOKUP(A36,'Source  PAU%'!$A$2:$J$52,10,FALSE)</f>
        <v>0.14425368238641678</v>
      </c>
      <c r="E36" s="81">
        <f>D36*'7a.Savings'!$C$10</f>
        <v>-2.2944130287114964E-2</v>
      </c>
      <c r="F36" s="75">
        <f t="shared" si="0"/>
        <v>-9400294.2018903922</v>
      </c>
      <c r="G36" s="76">
        <f>VLOOKUP(A36,'[5]Source Medicaid'!$A$2:$F$50,5,FALSE)</f>
        <v>0.17565076837660115</v>
      </c>
      <c r="H36" s="77">
        <f t="shared" si="1"/>
        <v>-2.2944130287114964E-2</v>
      </c>
      <c r="I36" s="75">
        <f t="shared" si="2"/>
        <v>-9400294</v>
      </c>
      <c r="J36" s="75">
        <f t="shared" si="4"/>
        <v>-9631960.7161662895</v>
      </c>
      <c r="K36" s="78">
        <f t="shared" si="5"/>
        <v>-2.3509579258450247E-2</v>
      </c>
      <c r="L36" s="75">
        <f>VLOOKUP(A36,'[6]7. PAU Savings to Use'!$A:$I,9,FALSE)</f>
        <v>-8105615.6780639868</v>
      </c>
      <c r="M36" s="78">
        <f t="shared" si="6"/>
        <v>-3.725E-3</v>
      </c>
      <c r="N36" s="101">
        <f t="shared" si="3"/>
        <v>-1526146</v>
      </c>
      <c r="O36" s="121">
        <f t="shared" si="7"/>
        <v>-2.3509579258450247E-2</v>
      </c>
    </row>
    <row r="37" spans="1:15" s="69" customFormat="1" ht="18.75" customHeight="1" x14ac:dyDescent="0.2">
      <c r="A37" s="79">
        <v>210044</v>
      </c>
      <c r="B37" s="79" t="s">
        <v>43</v>
      </c>
      <c r="C37" s="72">
        <f>VLOOKUP(A37,'[3]Source Revenue'!$A$3:$E$50,3,0)</f>
        <v>442204395.73804218</v>
      </c>
      <c r="D37" s="80">
        <f>VLOOKUP(A37,'Source  PAU%'!$A$2:$J$52,10,FALSE)</f>
        <v>7.7615465487818239E-2</v>
      </c>
      <c r="E37" s="81">
        <f>D37*'7a.Savings'!$C$10</f>
        <v>-1.2345052985734125E-2</v>
      </c>
      <c r="F37" s="75">
        <f t="shared" si="0"/>
        <v>-5459036.6959106717</v>
      </c>
      <c r="G37" s="76">
        <f>VLOOKUP(A37,'[5]Source Medicaid'!$A$2:$F$50,5,FALSE)</f>
        <v>0.1041412595692859</v>
      </c>
      <c r="H37" s="77">
        <f t="shared" si="1"/>
        <v>-1.2345052985734125E-2</v>
      </c>
      <c r="I37" s="75">
        <f t="shared" si="2"/>
        <v>-5459037</v>
      </c>
      <c r="J37" s="75">
        <f t="shared" si="4"/>
        <v>-5709081.2385958526</v>
      </c>
      <c r="K37" s="78">
        <f t="shared" si="5"/>
        <v>-1.2910503137508068E-2</v>
      </c>
      <c r="L37" s="75">
        <f>VLOOKUP(A37,'[6]7. PAU Savings to Use'!$A:$I,9,FALSE)</f>
        <v>-5312058.8478414072</v>
      </c>
      <c r="M37" s="78">
        <f t="shared" si="6"/>
        <v>-8.9800000000000004E-4</v>
      </c>
      <c r="N37" s="101">
        <f t="shared" si="3"/>
        <v>-397100</v>
      </c>
      <c r="O37" s="121">
        <f t="shared" si="7"/>
        <v>-1.2910503137508068E-2</v>
      </c>
    </row>
    <row r="38" spans="1:15" s="69" customFormat="1" ht="18.75" customHeight="1" x14ac:dyDescent="0.2">
      <c r="A38" s="79">
        <v>210045</v>
      </c>
      <c r="B38" s="79" t="s">
        <v>44</v>
      </c>
      <c r="C38" s="72">
        <f>VLOOKUP(A38,'[3]Source Revenue'!$A$3:$E$50,3,0)</f>
        <v>15618329.328133162</v>
      </c>
      <c r="D38" s="80">
        <f>VLOOKUP(A38,'Source  PAU%'!$A$2:$J$52,10,FALSE)</f>
        <v>8.0329195028236544E-2</v>
      </c>
      <c r="E38" s="81">
        <f>D38*'7a.Savings'!$C$10</f>
        <v>-1.2776682619787842E-2</v>
      </c>
      <c r="F38" s="75">
        <f t="shared" si="0"/>
        <v>-199550.43687688169</v>
      </c>
      <c r="G38" s="76">
        <f>VLOOKUP(A38,'[5]Source Medicaid'!$A$2:$F$50,5,FALSE)</f>
        <v>0.14763966573392084</v>
      </c>
      <c r="H38" s="77">
        <f t="shared" si="1"/>
        <v>-1.2776682619787842E-2</v>
      </c>
      <c r="I38" s="75">
        <f t="shared" si="2"/>
        <v>-199550</v>
      </c>
      <c r="J38" s="75">
        <f t="shared" si="4"/>
        <v>-208381.37594884011</v>
      </c>
      <c r="K38" s="78">
        <f t="shared" si="5"/>
        <v>-1.3342104111832533E-2</v>
      </c>
      <c r="L38" s="75">
        <f>VLOOKUP(A38,'[6]7. PAU Savings to Use'!$A:$I,9,FALSE)</f>
        <v>-208250.33025194658</v>
      </c>
      <c r="M38" s="78">
        <f t="shared" si="6"/>
        <v>-7.9999999999999996E-6</v>
      </c>
      <c r="N38" s="101">
        <f t="shared" si="3"/>
        <v>-125</v>
      </c>
      <c r="O38" s="121">
        <f t="shared" si="7"/>
        <v>-1.3342104111832533E-2</v>
      </c>
    </row>
    <row r="39" spans="1:15" s="69" customFormat="1" ht="18.75" customHeight="1" x14ac:dyDescent="0.2">
      <c r="A39" s="79">
        <v>210048</v>
      </c>
      <c r="B39" s="79" t="s">
        <v>45</v>
      </c>
      <c r="C39" s="72">
        <f>VLOOKUP(A39,'[3]Source Revenue'!$A$3:$E$50,3,0)</f>
        <v>298460107.25571972</v>
      </c>
      <c r="D39" s="80">
        <f>VLOOKUP(A39,'Source  PAU%'!$A$2:$J$52,10,FALSE)</f>
        <v>0.12722061731648027</v>
      </c>
      <c r="E39" s="81">
        <f>D39*'7a.Savings'!$C$10</f>
        <v>-2.0234952554607184E-2</v>
      </c>
      <c r="F39" s="75">
        <f t="shared" si="0"/>
        <v>-6039326.10976246</v>
      </c>
      <c r="G39" s="76">
        <f>VLOOKUP(A39,'[5]Source Medicaid'!$A$2:$F$50,5,FALSE)</f>
        <v>0.1565072026191007</v>
      </c>
      <c r="H39" s="77">
        <f t="shared" si="1"/>
        <v>-2.0234952554607184E-2</v>
      </c>
      <c r="I39" s="75">
        <f t="shared" si="2"/>
        <v>-6039326</v>
      </c>
      <c r="J39" s="75">
        <f t="shared" si="4"/>
        <v>-6208090.1077050753</v>
      </c>
      <c r="K39" s="78">
        <f t="shared" si="5"/>
        <v>-2.0800401650951636E-2</v>
      </c>
      <c r="L39" s="75">
        <f>VLOOKUP(A39,'[6]7. PAU Savings to Use'!$A:$I,9,FALSE)</f>
        <v>-5035913.1661272263</v>
      </c>
      <c r="M39" s="78">
        <f t="shared" si="6"/>
        <v>-3.9269999999999999E-3</v>
      </c>
      <c r="N39" s="101">
        <f t="shared" si="3"/>
        <v>-1172053</v>
      </c>
      <c r="O39" s="121">
        <f t="shared" si="7"/>
        <v>-2.0800401650951636E-2</v>
      </c>
    </row>
    <row r="40" spans="1:15" s="69" customFormat="1" ht="18.75" customHeight="1" x14ac:dyDescent="0.2">
      <c r="A40" s="79">
        <v>210049</v>
      </c>
      <c r="B40" s="79" t="s">
        <v>87</v>
      </c>
      <c r="C40" s="72">
        <f>VLOOKUP(A40,'[3]Source Revenue'!$A$3:$E$50,3,0)</f>
        <v>334751758.52551895</v>
      </c>
      <c r="D40" s="80">
        <f>VLOOKUP(A40,'Source  PAU%'!$A$2:$J$52,10,FALSE)</f>
        <v>0.10940195638922673</v>
      </c>
      <c r="E40" s="81">
        <f>D40*'7a.Savings'!$C$10</f>
        <v>-1.7400822630896297E-2</v>
      </c>
      <c r="F40" s="75">
        <f t="shared" si="0"/>
        <v>-5824955.9754831828</v>
      </c>
      <c r="G40" s="76">
        <f>VLOOKUP(A40,'[5]Source Medicaid'!$A$2:$F$50,5,FALSE)</f>
        <v>0.11513314757989314</v>
      </c>
      <c r="H40" s="77">
        <f t="shared" si="1"/>
        <v>-1.7400822630896297E-2</v>
      </c>
      <c r="I40" s="75">
        <f t="shared" si="2"/>
        <v>-5824956</v>
      </c>
      <c r="J40" s="75">
        <f t="shared" si="4"/>
        <v>-6014241.2024671435</v>
      </c>
      <c r="K40" s="78">
        <f t="shared" si="5"/>
        <v>-1.7966272168242137E-2</v>
      </c>
      <c r="L40" s="75">
        <f>VLOOKUP(A40,'[6]7. PAU Savings to Use'!$A:$I,9,FALSE)</f>
        <v>-4909070.7441899413</v>
      </c>
      <c r="M40" s="78">
        <f t="shared" si="6"/>
        <v>-3.3010000000000001E-3</v>
      </c>
      <c r="N40" s="101">
        <f t="shared" si="3"/>
        <v>-1105016</v>
      </c>
      <c r="O40" s="121">
        <f t="shared" si="7"/>
        <v>-1.7966272168242137E-2</v>
      </c>
    </row>
    <row r="41" spans="1:15" s="85" customFormat="1" ht="18.75" customHeight="1" x14ac:dyDescent="0.2">
      <c r="A41" s="79">
        <v>210051</v>
      </c>
      <c r="B41" s="79" t="s">
        <v>84</v>
      </c>
      <c r="C41" s="72">
        <f>VLOOKUP(A41,'[3]Source Revenue'!$A$3:$E$50,3,0)</f>
        <v>239227749.57479373</v>
      </c>
      <c r="D41" s="80">
        <f>VLOOKUP(A41,'Source  PAU%'!$A$2:$J$52,10,FALSE)</f>
        <v>0.17391635199434741</v>
      </c>
      <c r="E41" s="81">
        <f>D41*'7a.Savings'!$C$10</f>
        <v>-2.7662097585342427E-2</v>
      </c>
      <c r="F41" s="75">
        <f t="shared" si="0"/>
        <v>-6617541.3538598046</v>
      </c>
      <c r="G41" s="76">
        <f>VLOOKUP(A41,'[5]Source Medicaid'!$A$2:$F$50,5,FALSE)</f>
        <v>0.18965866831475975</v>
      </c>
      <c r="H41" s="77">
        <f t="shared" si="1"/>
        <v>-2.7662097585342427E-2</v>
      </c>
      <c r="I41" s="75">
        <f t="shared" si="2"/>
        <v>-6617541</v>
      </c>
      <c r="J41" s="75">
        <f t="shared" si="4"/>
        <v>-6752812.2027965998</v>
      </c>
      <c r="K41" s="78">
        <f t="shared" si="5"/>
        <v>-2.8227545570274057E-2</v>
      </c>
      <c r="L41" s="75">
        <f>VLOOKUP(A41,'[6]7. PAU Savings to Use'!$A:$I,9,FALSE)</f>
        <v>-5306892.3482289612</v>
      </c>
      <c r="M41" s="78">
        <f t="shared" si="6"/>
        <v>-6.0439999999999999E-3</v>
      </c>
      <c r="N41" s="101">
        <f t="shared" si="3"/>
        <v>-1445893</v>
      </c>
      <c r="O41" s="121">
        <f t="shared" si="7"/>
        <v>-2.8227545570274057E-2</v>
      </c>
    </row>
    <row r="42" spans="1:15" s="85" customFormat="1" ht="18.75" customHeight="1" x14ac:dyDescent="0.2">
      <c r="A42" s="79">
        <v>210055</v>
      </c>
      <c r="B42" s="79" t="s">
        <v>48</v>
      </c>
      <c r="C42" s="72">
        <f>VLOOKUP(A42,'[3]Source Revenue'!$A$3:$E$50,3,0)</f>
        <v>99871376.285903111</v>
      </c>
      <c r="D42" s="80">
        <f>VLOOKUP(A42,'Source  PAU%'!$A$2:$J$52,10,FALSE)</f>
        <v>0.10712739143528902</v>
      </c>
      <c r="E42" s="81">
        <f>D42*'7a.Savings'!$C$10</f>
        <v>-1.7039043896473038E-2</v>
      </c>
      <c r="F42" s="75">
        <f t="shared" si="0"/>
        <v>-1701712.7645366795</v>
      </c>
      <c r="G42" s="76">
        <f>VLOOKUP(A42,'[5]Source Medicaid'!$A$2:$F$50,5,FALSE)</f>
        <v>0.29709836442944926</v>
      </c>
      <c r="H42" s="77">
        <f t="shared" si="1"/>
        <v>-1.7039043896473038E-2</v>
      </c>
      <c r="I42" s="75">
        <f t="shared" si="2"/>
        <v>-1701713</v>
      </c>
      <c r="J42" s="75">
        <f t="shared" si="4"/>
        <v>-1758185.2162004963</v>
      </c>
      <c r="K42" s="78">
        <f t="shared" si="5"/>
        <v>-1.7604495718245797E-2</v>
      </c>
      <c r="L42" s="75">
        <f>VLOOKUP(A42,'[6]7. PAU Savings to Use'!$A:$I,9,FALSE)</f>
        <v>-1484000.1790381249</v>
      </c>
      <c r="M42" s="78">
        <f t="shared" si="6"/>
        <v>-2.745E-3</v>
      </c>
      <c r="N42" s="101">
        <f t="shared" si="3"/>
        <v>-274147</v>
      </c>
      <c r="O42" s="121">
        <f t="shared" si="7"/>
        <v>-1.7604495718245797E-2</v>
      </c>
    </row>
    <row r="43" spans="1:15" s="69" customFormat="1" ht="18.75" customHeight="1" x14ac:dyDescent="0.2">
      <c r="A43" s="79">
        <v>210056</v>
      </c>
      <c r="B43" s="79" t="s">
        <v>49</v>
      </c>
      <c r="C43" s="72">
        <f>VLOOKUP(A43,'[3]Source Revenue'!$A$3:$E$50,3,0)</f>
        <v>264597391.76665741</v>
      </c>
      <c r="D43" s="80">
        <f>VLOOKUP(A43,'Source  PAU%'!$A$2:$J$52,10,FALSE)</f>
        <v>0.1704805926122496</v>
      </c>
      <c r="E43" s="81">
        <f>D43*'7a.Savings'!$C$10</f>
        <v>-2.7115626191379229E-2</v>
      </c>
      <c r="F43" s="75">
        <f t="shared" si="0"/>
        <v>-7174723.9663586067</v>
      </c>
      <c r="G43" s="76">
        <f>VLOOKUP(A43,'[5]Source Medicaid'!$A$2:$F$50,5,FALSE)</f>
        <v>0.20406593489971703</v>
      </c>
      <c r="H43" s="77">
        <f t="shared" si="1"/>
        <v>-2.7115626191379229E-2</v>
      </c>
      <c r="I43" s="75">
        <f t="shared" si="2"/>
        <v>-7174724</v>
      </c>
      <c r="J43" s="75">
        <f t="shared" si="4"/>
        <v>-7324340.4533785759</v>
      </c>
      <c r="K43" s="78">
        <f t="shared" si="5"/>
        <v>-2.7681075782628083E-2</v>
      </c>
      <c r="L43" s="75">
        <f>VLOOKUP(A43,'[6]7. PAU Savings to Use'!$A:$I,9,FALSE)</f>
        <v>-5845659.4243460698</v>
      </c>
      <c r="M43" s="78">
        <f t="shared" si="6"/>
        <v>-5.5880000000000001E-3</v>
      </c>
      <c r="N43" s="101">
        <f t="shared" si="3"/>
        <v>-1478570</v>
      </c>
      <c r="O43" s="121">
        <f t="shared" si="7"/>
        <v>-2.7681075782628083E-2</v>
      </c>
    </row>
    <row r="44" spans="1:15" s="69" customFormat="1" ht="18.75" customHeight="1" x14ac:dyDescent="0.2">
      <c r="A44" s="79">
        <v>210057</v>
      </c>
      <c r="B44" s="79" t="s">
        <v>50</v>
      </c>
      <c r="C44" s="72">
        <f>VLOOKUP(A44,'[3]Source Revenue'!$A$3:$E$50,3,0)</f>
        <v>387674359.24834466</v>
      </c>
      <c r="D44" s="80">
        <f>VLOOKUP(A44,'Source  PAU%'!$A$2:$J$52,10,FALSE)</f>
        <v>0.10485146800933416</v>
      </c>
      <c r="E44" s="81">
        <f>D44*'7a.Savings'!$C$10</f>
        <v>-1.6677049091593642E-2</v>
      </c>
      <c r="F44" s="75">
        <f t="shared" si="0"/>
        <v>-6465264.3207367538</v>
      </c>
      <c r="G44" s="76">
        <f>VLOOKUP(A44,'[5]Source Medicaid'!$A$2:$F$50,5,FALSE)</f>
        <v>0.19522462482462477</v>
      </c>
      <c r="H44" s="77">
        <f t="shared" si="1"/>
        <v>-1.6677049091593642E-2</v>
      </c>
      <c r="I44" s="75">
        <f t="shared" si="2"/>
        <v>-6465264</v>
      </c>
      <c r="J44" s="75">
        <f t="shared" si="4"/>
        <v>-6684474.2586850161</v>
      </c>
      <c r="K44" s="78">
        <f t="shared" si="5"/>
        <v>-1.7242497728365197E-2</v>
      </c>
      <c r="L44" s="75">
        <f>VLOOKUP(A44,'[6]7. PAU Savings to Use'!$A:$I,9,FALSE)</f>
        <v>-5160898.1496676002</v>
      </c>
      <c r="M44" s="78">
        <f t="shared" si="6"/>
        <v>-3.9300000000000003E-3</v>
      </c>
      <c r="N44" s="101">
        <f t="shared" si="3"/>
        <v>-1523560</v>
      </c>
      <c r="O44" s="121">
        <f t="shared" si="7"/>
        <v>-1.7242497728365197E-2</v>
      </c>
    </row>
    <row r="45" spans="1:15" s="69" customFormat="1" ht="18.75" customHeight="1" x14ac:dyDescent="0.2">
      <c r="A45" s="79">
        <v>210058</v>
      </c>
      <c r="B45" s="82" t="s">
        <v>51</v>
      </c>
      <c r="C45" s="72">
        <f>VLOOKUP(A45,'[3]Source Revenue'!$A$3:$E$50,3,0)</f>
        <v>120638692.27232622</v>
      </c>
      <c r="D45" s="80">
        <f>VLOOKUP(A45,'Source  PAU%'!$A$2:$J$52,10,FALSE)</f>
        <v>9.9273566957017167E-4</v>
      </c>
      <c r="E45" s="81">
        <f>D45*'7a.Savings'!$C$10</f>
        <v>-1.5789861420847237E-4</v>
      </c>
      <c r="F45" s="75">
        <f>E45*(C45)</f>
        <v>-19048.682329722655</v>
      </c>
      <c r="G45" s="76">
        <f>VLOOKUP(A45,'[5]Source Medicaid'!$A$2:$F$50,5,FALSE)</f>
        <v>0.24394063897924881</v>
      </c>
      <c r="H45" s="77">
        <f t="shared" si="1"/>
        <v>-1.5789861420847237E-4</v>
      </c>
      <c r="I45" s="75">
        <f>ROUND(H45*C45,0)</f>
        <v>-19049</v>
      </c>
      <c r="J45" s="75">
        <f t="shared" si="4"/>
        <v>-87264.083895960663</v>
      </c>
      <c r="K45" s="78">
        <f t="shared" si="5"/>
        <v>-7.2335071155258627E-4</v>
      </c>
      <c r="L45" s="75">
        <f>VLOOKUP(A45,'[6]7. PAU Savings to Use'!$A:$I,9,FALSE)</f>
        <v>-8356.8084965183189</v>
      </c>
      <c r="M45" s="78">
        <f t="shared" si="6"/>
        <v>-6.5399999999999996E-4</v>
      </c>
      <c r="N45" s="101">
        <f t="shared" si="3"/>
        <v>-78898</v>
      </c>
      <c r="O45" s="121">
        <f t="shared" si="7"/>
        <v>-7.2335071155258627E-4</v>
      </c>
    </row>
    <row r="46" spans="1:15" s="69" customFormat="1" ht="18.75" customHeight="1" x14ac:dyDescent="0.2">
      <c r="A46" s="79">
        <v>210060</v>
      </c>
      <c r="B46" s="79" t="s">
        <v>52</v>
      </c>
      <c r="C46" s="72">
        <f>VLOOKUP(A46,'[3]Source Revenue'!$A$3:$E$50,3,0)</f>
        <v>48244588.294327505</v>
      </c>
      <c r="D46" s="80">
        <f>VLOOKUP(A46,'Source  PAU%'!$A$2:$J$52,10,FALSE)</f>
        <v>0.14463817853122535</v>
      </c>
      <c r="E46" s="81">
        <f>D46*'7a.Savings'!$C$10</f>
        <v>-2.3005285950495186E-2</v>
      </c>
      <c r="F46" s="75">
        <f t="shared" ref="F46:F51" si="8">E46*C46</f>
        <v>-1109880.549274917</v>
      </c>
      <c r="G46" s="76">
        <f>VLOOKUP(A46,'[5]Source Medicaid'!$A$2:$F$50,5,FALSE)</f>
        <v>0.18551077805718452</v>
      </c>
      <c r="H46" s="77">
        <f t="shared" si="1"/>
        <v>-2.3005285950495186E-2</v>
      </c>
      <c r="I46" s="75">
        <f t="shared" si="2"/>
        <v>-1109881</v>
      </c>
      <c r="J46" s="75">
        <f t="shared" si="4"/>
        <v>-1137160.8765970923</v>
      </c>
      <c r="K46" s="78">
        <f t="shared" si="5"/>
        <v>-2.3570744757102573E-2</v>
      </c>
      <c r="L46" s="75">
        <f>VLOOKUP(A46,'[6]7. PAU Savings to Use'!$A:$I,9,FALSE)</f>
        <v>-1010795.7697287716</v>
      </c>
      <c r="M46" s="78">
        <f t="shared" si="6"/>
        <v>-2.6189999999999998E-3</v>
      </c>
      <c r="N46" s="101">
        <f t="shared" si="3"/>
        <v>-126353</v>
      </c>
      <c r="O46" s="121">
        <f t="shared" si="7"/>
        <v>-2.3570744757102573E-2</v>
      </c>
    </row>
    <row r="47" spans="1:15" s="69" customFormat="1" ht="18.75" customHeight="1" x14ac:dyDescent="0.2">
      <c r="A47" s="79">
        <v>210061</v>
      </c>
      <c r="B47" s="79" t="s">
        <v>53</v>
      </c>
      <c r="C47" s="72">
        <f>VLOOKUP(A47,'[3]Source Revenue'!$A$3:$E$50,3,0)</f>
        <v>105151501.51613671</v>
      </c>
      <c r="D47" s="80">
        <f>VLOOKUP(A47,'Source  PAU%'!$A$2:$J$52,10,FALSE)</f>
        <v>9.1478774148340922E-2</v>
      </c>
      <c r="E47" s="81">
        <f>D47*'7a.Savings'!$C$10</f>
        <v>-1.4550068170479751E-2</v>
      </c>
      <c r="F47" s="75">
        <f t="shared" si="8"/>
        <v>-1529961.5152880941</v>
      </c>
      <c r="G47" s="76">
        <f>VLOOKUP(A47,'[5]Source Medicaid'!$A$2:$F$50,5,FALSE)</f>
        <v>0.12851753001451388</v>
      </c>
      <c r="H47" s="77">
        <f t="shared" si="1"/>
        <v>-1.4550068170479751E-2</v>
      </c>
      <c r="I47" s="75">
        <f t="shared" si="2"/>
        <v>-1529962</v>
      </c>
      <c r="J47" s="75">
        <f t="shared" si="4"/>
        <v>-1589419.8601823498</v>
      </c>
      <c r="K47" s="78">
        <f t="shared" si="5"/>
        <v>-1.5115522244239519E-2</v>
      </c>
      <c r="L47" s="75">
        <f>VLOOKUP(A47,'[6]7. PAU Savings to Use'!$A:$I,9,FALSE)</f>
        <v>-1180343.8384881401</v>
      </c>
      <c r="M47" s="78">
        <f t="shared" si="6"/>
        <v>-3.8899999999999998E-3</v>
      </c>
      <c r="N47" s="101">
        <f t="shared" si="3"/>
        <v>-409039</v>
      </c>
      <c r="O47" s="121">
        <f t="shared" si="7"/>
        <v>-1.5115522244239519E-2</v>
      </c>
    </row>
    <row r="48" spans="1:15" s="69" customFormat="1" ht="18.75" customHeight="1" x14ac:dyDescent="0.2">
      <c r="A48" s="79">
        <v>210062</v>
      </c>
      <c r="B48" s="79" t="s">
        <v>106</v>
      </c>
      <c r="C48" s="72">
        <f>VLOOKUP(A48,'[3]Source Revenue'!$A$3:$E$50,3,0)</f>
        <v>271260317.58742768</v>
      </c>
      <c r="D48" s="80">
        <f>VLOOKUP(A48,'Source  PAU%'!$A$2:$J$52,10,FALSE)</f>
        <v>0.1670710321699635</v>
      </c>
      <c r="E48" s="81">
        <f>D48*'7a.Savings'!$C$10</f>
        <v>-2.6573321844513061E-2</v>
      </c>
      <c r="F48" s="75">
        <f t="shared" si="8"/>
        <v>-7208287.7228955422</v>
      </c>
      <c r="G48" s="76">
        <f>VLOOKUP(A48,'[5]Source Medicaid'!$A$2:$F$50,5,FALSE)</f>
        <v>0.21347849277086295</v>
      </c>
      <c r="H48" s="77">
        <f t="shared" si="1"/>
        <v>-2.6573321844513061E-2</v>
      </c>
      <c r="I48" s="75">
        <f t="shared" si="2"/>
        <v>-7208288</v>
      </c>
      <c r="J48" s="75">
        <f t="shared" si="4"/>
        <v>-7361672.0012133159</v>
      </c>
      <c r="K48" s="78">
        <f t="shared" si="5"/>
        <v>-2.7138772330164495E-2</v>
      </c>
      <c r="L48" s="75">
        <f>VLOOKUP(A48,'[6]7. PAU Savings to Use'!$A:$I,9,FALSE)</f>
        <v>-5817602.2257389557</v>
      </c>
      <c r="M48" s="78">
        <f t="shared" si="6"/>
        <v>-5.692E-3</v>
      </c>
      <c r="N48" s="101">
        <f t="shared" si="3"/>
        <v>-1544014</v>
      </c>
      <c r="O48" s="121">
        <f t="shared" si="7"/>
        <v>-2.7138772330164495E-2</v>
      </c>
    </row>
    <row r="49" spans="1:28" s="69" customFormat="1" ht="18.75" customHeight="1" x14ac:dyDescent="0.2">
      <c r="A49" s="79">
        <v>210063</v>
      </c>
      <c r="B49" s="79" t="s">
        <v>55</v>
      </c>
      <c r="C49" s="72">
        <f>VLOOKUP(A49,'[3]Source Revenue'!$A$3:$E$50,3,0)</f>
        <v>398711781.45443678</v>
      </c>
      <c r="D49" s="80">
        <f>VLOOKUP(A49,'Source  PAU%'!$A$2:$J$52,10,FALSE)</f>
        <v>7.8038899972184703E-2</v>
      </c>
      <c r="E49" s="81">
        <f>D49*'7a.Savings'!$C$10</f>
        <v>-1.2412401949148014E-2</v>
      </c>
      <c r="F49" s="75">
        <f t="shared" si="8"/>
        <v>-4948970.8932733275</v>
      </c>
      <c r="G49" s="76">
        <f>VLOOKUP(A49,'[5]Source Medicaid'!$A$2:$F$50,5,FALSE)</f>
        <v>0.11488175598040593</v>
      </c>
      <c r="H49" s="77">
        <f t="shared" si="1"/>
        <v>-1.2412401949148014E-2</v>
      </c>
      <c r="I49" s="75">
        <f t="shared" si="2"/>
        <v>-4948971</v>
      </c>
      <c r="J49" s="75">
        <f t="shared" si="4"/>
        <v>-5174422.3631565738</v>
      </c>
      <c r="K49" s="78">
        <f t="shared" si="5"/>
        <v>-1.2977851680933804E-2</v>
      </c>
      <c r="L49" s="75">
        <f>VLOOKUP(A49,'[6]7. PAU Savings to Use'!$A:$I,9,FALSE)</f>
        <v>-4623341.3453765912</v>
      </c>
      <c r="M49" s="78">
        <f t="shared" si="6"/>
        <v>-1.382E-3</v>
      </c>
      <c r="N49" s="101">
        <f t="shared" si="3"/>
        <v>-551020</v>
      </c>
      <c r="O49" s="121">
        <f t="shared" si="7"/>
        <v>-1.2977851680933804E-2</v>
      </c>
    </row>
    <row r="50" spans="1:28" s="86" customFormat="1" ht="18.75" customHeight="1" x14ac:dyDescent="0.2">
      <c r="A50" s="79">
        <v>210064</v>
      </c>
      <c r="B50" s="79" t="s">
        <v>56</v>
      </c>
      <c r="C50" s="72">
        <f>VLOOKUP(A50,'[3]Source Revenue'!$A$3:$E$50,3,0)</f>
        <v>58867710.087362573</v>
      </c>
      <c r="D50" s="80">
        <f>VLOOKUP(A50,'Source  PAU%'!$A$2:$J$52,10,FALSE)</f>
        <v>7.1629942893931625E-2</v>
      </c>
      <c r="E50" s="81">
        <f>D50*'7a.Savings'!$C$10</f>
        <v>-1.1393031463935274E-2</v>
      </c>
      <c r="F50" s="75">
        <f t="shared" si="8"/>
        <v>-670681.67323514167</v>
      </c>
      <c r="G50" s="76">
        <v>5.7032807347420306E-2</v>
      </c>
      <c r="H50" s="77">
        <f t="shared" si="1"/>
        <v>-1.1393031463935274E-2</v>
      </c>
      <c r="I50" s="75">
        <f t="shared" si="2"/>
        <v>-670682</v>
      </c>
      <c r="J50" s="75">
        <f t="shared" si="4"/>
        <v>-703968.71512210765</v>
      </c>
      <c r="K50" s="78">
        <f t="shared" si="5"/>
        <v>-1.195848647887583E-2</v>
      </c>
      <c r="L50" s="75">
        <f>VLOOKUP(A50,'[6]7. PAU Savings to Use'!$A:$I,9,FALSE)</f>
        <v>-611430.13822850946</v>
      </c>
      <c r="M50" s="78">
        <f t="shared" si="6"/>
        <v>-1.572E-3</v>
      </c>
      <c r="N50" s="101">
        <f t="shared" si="3"/>
        <v>-92540</v>
      </c>
      <c r="O50" s="121">
        <f t="shared" si="7"/>
        <v>-1.195848647887583E-2</v>
      </c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1:28" s="69" customFormat="1" ht="18.75" customHeight="1" x14ac:dyDescent="0.2">
      <c r="A51" s="82">
        <v>210065</v>
      </c>
      <c r="B51" s="82" t="s">
        <v>88</v>
      </c>
      <c r="C51" s="72">
        <f>VLOOKUP(A51,'[3]Source Revenue'!$A$3:$E$50,3,0)</f>
        <v>102303759.88960856</v>
      </c>
      <c r="D51" s="80">
        <f>VLOOKUP(A51,'Source  PAU%'!$A$2:$J$52,10,FALSE)</f>
        <v>0.12843278855347895</v>
      </c>
      <c r="E51" s="83">
        <f>D51*'7a.Savings'!$C$10</f>
        <v>-2.0427753281298439E-2</v>
      </c>
      <c r="F51" s="75">
        <f t="shared" si="8"/>
        <v>-2089835.9667741191</v>
      </c>
      <c r="G51" s="76">
        <f>VLOOKUP(A51,'[5]Source Medicaid'!$A$2:$F$50,5,FALSE)</f>
        <v>0.22102577074696253</v>
      </c>
      <c r="H51" s="77">
        <f t="shared" si="1"/>
        <v>-2.0427753281298439E-2</v>
      </c>
      <c r="I51" s="75">
        <f t="shared" si="2"/>
        <v>-2089836</v>
      </c>
      <c r="J51" s="75">
        <f t="shared" si="4"/>
        <v>-2147683.6062057144</v>
      </c>
      <c r="K51" s="78">
        <f t="shared" si="5"/>
        <v>-2.0993203070182213E-2</v>
      </c>
      <c r="L51" s="75">
        <f>VLOOKUP(A51,'[6]7. PAU Savings to Use'!$A:$I,9,FALSE)</f>
        <v>-1649332.4924100887</v>
      </c>
      <c r="M51" s="78">
        <f t="shared" si="6"/>
        <v>-4.8710000000000003E-3</v>
      </c>
      <c r="N51" s="101">
        <f t="shared" si="3"/>
        <v>-498322</v>
      </c>
      <c r="O51" s="121">
        <f t="shared" si="7"/>
        <v>-2.0993203070182213E-2</v>
      </c>
    </row>
    <row r="52" spans="1:28" s="69" customFormat="1" ht="6" customHeight="1" x14ac:dyDescent="0.2">
      <c r="A52" s="18"/>
      <c r="B52" s="18"/>
      <c r="C52" s="87"/>
      <c r="D52" s="88"/>
      <c r="E52" s="89"/>
      <c r="F52" s="100"/>
      <c r="G52" s="90"/>
      <c r="H52" s="90"/>
      <c r="I52" s="100"/>
      <c r="J52" s="91"/>
      <c r="K52" s="91"/>
      <c r="L52" s="91"/>
      <c r="M52" s="92"/>
      <c r="N52" s="100"/>
    </row>
    <row r="53" spans="1:28" s="69" customFormat="1" ht="18.75" customHeight="1" x14ac:dyDescent="0.25">
      <c r="A53" s="102" t="str">
        <f>'[7]3 Shared Savings '!A50</f>
        <v>Total</v>
      </c>
      <c r="B53" s="102" t="str">
        <f>'[7]3 Shared Savings '!B50</f>
        <v>Total</v>
      </c>
      <c r="C53" s="103">
        <f>SUM(C3:C51)</f>
        <v>16292627632.201357</v>
      </c>
      <c r="D53" s="104">
        <f>'Source  PAU%'!$J$52</f>
        <v>0.11002550151922631</v>
      </c>
      <c r="E53" s="105">
        <f>D53*'7a.Savings'!$C$10</f>
        <v>-1.7500000000000002E-2</v>
      </c>
      <c r="F53" s="106">
        <f>C53*E53</f>
        <v>-285120983.56352377</v>
      </c>
      <c r="G53" s="107">
        <f>AVERAGE(G3:G51)</f>
        <v>0.21049365659496397</v>
      </c>
      <c r="H53" s="108"/>
      <c r="I53" s="106">
        <f>SUM(I4:I51)</f>
        <v>-275908326</v>
      </c>
      <c r="J53" s="106">
        <f>SUM(J4:J51)</f>
        <v>-285120983.56352377</v>
      </c>
      <c r="K53" s="117">
        <f>J53/C53</f>
        <v>-1.7500000000000002E-2</v>
      </c>
      <c r="L53" s="106">
        <f>VLOOKUP(A53,'[6]7. PAU Savings to Use'!$A:$I,9,FALSE)</f>
        <v>-228429106.81842282</v>
      </c>
      <c r="M53" s="109">
        <f t="shared" si="6"/>
        <v>-3.48E-3</v>
      </c>
      <c r="N53" s="106">
        <f t="shared" si="3"/>
        <v>-56698344</v>
      </c>
    </row>
    <row r="54" spans="1:28" ht="18.75" customHeight="1" x14ac:dyDescent="0.25">
      <c r="C54" s="93"/>
      <c r="D54" s="94"/>
      <c r="E54" s="93"/>
      <c r="F54" s="93"/>
      <c r="G54" s="93"/>
      <c r="H54" s="93"/>
      <c r="I54" s="116">
        <f>I53/$C$53</f>
        <v>-1.6934550535892965E-2</v>
      </c>
      <c r="J54" s="115">
        <f>J53/$C$53</f>
        <v>-1.7500000000000002E-2</v>
      </c>
      <c r="K54" s="118"/>
      <c r="L54" s="93"/>
      <c r="M54" s="95"/>
      <c r="N54" s="95"/>
    </row>
    <row r="55" spans="1:28" ht="18.75" customHeight="1" x14ac:dyDescent="0.2">
      <c r="E55" s="68" t="s">
        <v>80</v>
      </c>
      <c r="G55" s="96">
        <f>_xlfn.PERCENTILE.INC(G4:G51,0.75)</f>
        <v>0.2452793753752652</v>
      </c>
      <c r="H55" s="97"/>
      <c r="I55" s="98">
        <f>J55/C53</f>
        <v>-5.6544946410703751E-4</v>
      </c>
      <c r="J55" s="119">
        <f>F53-I53</f>
        <v>-9212657.5635237694</v>
      </c>
      <c r="K55" s="98"/>
      <c r="M55" s="98"/>
      <c r="N55" s="98"/>
    </row>
    <row r="56" spans="1:28" x14ac:dyDescent="0.2">
      <c r="G56" s="76"/>
      <c r="I56" s="112"/>
      <c r="J56" s="112"/>
      <c r="K56" s="112"/>
      <c r="M56" s="99"/>
    </row>
    <row r="57" spans="1:28" x14ac:dyDescent="0.2">
      <c r="A57" s="41" t="s">
        <v>81</v>
      </c>
    </row>
    <row r="58" spans="1:28" x14ac:dyDescent="0.2">
      <c r="A58" s="110"/>
      <c r="B58" s="69"/>
      <c r="C58" s="69"/>
      <c r="D58" s="70"/>
      <c r="E58" s="69"/>
      <c r="F58" s="69"/>
      <c r="G58" s="69"/>
      <c r="H58" s="69"/>
      <c r="I58" s="69"/>
      <c r="J58" s="69"/>
      <c r="K58" s="69"/>
      <c r="L58" s="69"/>
      <c r="M58" s="69"/>
      <c r="N58" s="69"/>
    </row>
  </sheetData>
  <autoFilter ref="A3:N3">
    <sortState ref="A4:L51">
      <sortCondition ref="A3"/>
    </sortState>
  </autoFilter>
  <conditionalFormatting sqref="H3:H51">
    <cfRule type="cellIs" dxfId="3" priority="6" operator="equal">
      <formula>#REF!</formula>
    </cfRule>
  </conditionalFormatting>
  <conditionalFormatting sqref="G1 G4:G1048576">
    <cfRule type="cellIs" dxfId="2" priority="3" operator="greaterThan">
      <formula>$G$55</formula>
    </cfRule>
  </conditionalFormatting>
  <conditionalFormatting sqref="H1:H1048576">
    <cfRule type="cellIs" dxfId="1" priority="2" operator="equal">
      <formula>$E$53</formula>
    </cfRule>
  </conditionalFormatting>
  <conditionalFormatting sqref="K2">
    <cfRule type="cellIs" dxfId="0" priority="1" operator="equal">
      <formula>$E$53</formula>
    </cfRule>
  </conditionalFormatting>
  <pageMargins left="0.25" right="0.25" top="0.75" bottom="0.75" header="0.3" footer="0.3"/>
  <pageSetup scale="8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30FABA-0C56-40E5-810D-B9B90D367AF2}"/>
</file>

<file path=customXml/itemProps2.xml><?xml version="1.0" encoding="utf-8"?>
<ds:datastoreItem xmlns:ds="http://schemas.openxmlformats.org/officeDocument/2006/customXml" ds:itemID="{A4074048-E3F7-4094-ADA6-E1EC914DB88D}"/>
</file>

<file path=customXml/itemProps3.xml><?xml version="1.0" encoding="utf-8"?>
<ds:datastoreItem xmlns:ds="http://schemas.openxmlformats.org/officeDocument/2006/customXml" ds:itemID="{A603E7C5-FDF1-4021-8CB9-13903DB9E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Source  PAU%</vt:lpstr>
      <vt:lpstr>7a.Savings</vt:lpstr>
      <vt:lpstr>7. PAU Savings to Use</vt:lpstr>
      <vt:lpstr>'7. PAU Savings to Use'!Print_Titles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Caitlin Grim</cp:lastModifiedBy>
  <cp:lastPrinted>2018-04-17T17:58:10Z</cp:lastPrinted>
  <dcterms:created xsi:type="dcterms:W3CDTF">2017-08-22T16:40:20Z</dcterms:created>
  <dcterms:modified xsi:type="dcterms:W3CDTF">2018-06-20T17:18:46Z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