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charts/style4.xml" ContentType="application/vnd.ms-office.chartstyle+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chart3.xml" ContentType="application/vnd.openxmlformats-officedocument.drawingml.chart+xml"/>
  <Override PartName="/xl/charts/colors2.xml" ContentType="application/vnd.ms-office.chartcolorstyle+xml"/>
  <Override PartName="/xl/charts/style2.xml" ContentType="application/vnd.ms-office.chartstyle+xml"/>
  <Override PartName="/xl/charts/colors4.xml" ContentType="application/vnd.ms-office.chartcolorstyle+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charts/style1.xml" ContentType="application/vnd.ms-office.chartstyle+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59.xml" ContentType="application/vnd.openxmlformats-officedocument.spreadsheetml.worksheet+xml"/>
  <Override PartName="/xl/charts/colors1.xml" ContentType="application/vnd.ms-office.chartcolorstyle+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charts/chart1.xml" ContentType="application/vnd.openxmlformats-officedocument.drawingml.chart+xml"/>
  <Override PartName="/xl/theme/theme1.xml" ContentType="application/vnd.openxmlformats-officedocument.theme+xml"/>
  <Override PartName="/xl/externalLinks/externalLink12.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Amanda\CommunityBenefitsReports\FY 17 Final Report\"/>
    </mc:Choice>
  </mc:AlternateContent>
  <workbookProtection lockStructure="1"/>
  <bookViews>
    <workbookView xWindow="0" yWindow="0" windowWidth="28800" windowHeight="14210" tabRatio="874" firstSheet="3" activeTab="3"/>
  </bookViews>
  <sheets>
    <sheet name="DME_NSPI-all" sheetId="3" state="hidden" r:id="rId1"/>
    <sheet name="Charity in Rates" sheetId="127" state="hidden" r:id="rId2"/>
    <sheet name="Charts" sheetId="6" state="hidden" r:id="rId3"/>
    <sheet name="CB Table 1" sheetId="5" r:id="rId4"/>
    <sheet name="Rate Support-Attachment I" sheetId="4" r:id="rId5"/>
    <sheet name="Attachment II-All Hospitals" sheetId="126" r:id="rId6"/>
    <sheet name="Attachment III-All" sheetId="60" r:id="rId7"/>
    <sheet name="#1-Meritus" sheetId="67" r:id="rId8"/>
    <sheet name="#2-UMMC" sheetId="68" r:id="rId9"/>
    <sheet name="#3-Prince Georges Hospital" sheetId="110" r:id="rId10"/>
    <sheet name="#4-Holy Cross Hospital" sheetId="76" r:id="rId11"/>
    <sheet name="#5-Frederick Memorial Hospital" sheetId="77" r:id="rId12"/>
    <sheet name="#6-UM Harford Memorial" sheetId="73" r:id="rId13"/>
    <sheet name="#8-Mercy" sheetId="78" r:id="rId14"/>
    <sheet name="#9-Johns Hopkins" sheetId="79" r:id="rId15"/>
    <sheet name="#10-UM Shore Health Dorchester" sheetId="108" r:id="rId16"/>
    <sheet name="#11-St. Agnes Hospital" sheetId="80" r:id="rId17"/>
    <sheet name="#12-Sinai" sheetId="81" r:id="rId18"/>
    <sheet name="#13-Bon Secours" sheetId="82" r:id="rId19"/>
    <sheet name="#15-MedStar Franklin Square" sheetId="83" r:id="rId20"/>
    <sheet name="#16-Washington Adventist" sheetId="113" r:id="rId21"/>
    <sheet name="#17-Garrett County Memorial" sheetId="84" r:id="rId22"/>
    <sheet name="#18-MedStar Montgomery General" sheetId="85" r:id="rId23"/>
    <sheet name="#19-Peninsula Regional" sheetId="86" r:id="rId24"/>
    <sheet name="#22-Suburban" sheetId="122" r:id="rId25"/>
    <sheet name="#23-AAMC" sheetId="123" r:id="rId26"/>
    <sheet name="#24-MedStar Union Memorial" sheetId="88" r:id="rId27"/>
    <sheet name="#27-Western Maryland Regional" sheetId="89" r:id="rId28"/>
    <sheet name="#28-MedStar St. Marys" sheetId="90" r:id="rId29"/>
    <sheet name="#29-JH Bayview" sheetId="124" r:id="rId30"/>
    <sheet name="#30-UM Shore Health Chestertown" sheetId="107" r:id="rId31"/>
    <sheet name="#32-Union Hospital Cecil Co" sheetId="92" r:id="rId32"/>
    <sheet name="#33-Carroll Hospital Center" sheetId="93" r:id="rId33"/>
    <sheet name="#34-MedStar Harbor Hospital" sheetId="94" r:id="rId34"/>
    <sheet name="#35-UM Charles Regional" sheetId="95" r:id="rId35"/>
    <sheet name="#37-UM Shore Health Easton" sheetId="109" r:id="rId36"/>
    <sheet name="#38-UM Midtown" sheetId="70" r:id="rId37"/>
    <sheet name="#39-Calvert Memorial" sheetId="96" r:id="rId38"/>
    <sheet name="#40-Lifebridge Northwest" sheetId="97" r:id="rId39"/>
    <sheet name="#43-UM BWMC" sheetId="71" r:id="rId40"/>
    <sheet name="#44-GBMC" sheetId="118" r:id="rId41"/>
    <sheet name="#45-McCready" sheetId="117" r:id="rId42"/>
    <sheet name="#48-Howard County" sheetId="98" r:id="rId43"/>
    <sheet name="#49-UM Upper Chesapeake Medical" sheetId="74" r:id="rId44"/>
    <sheet name="#51-Doctors Community Hospital" sheetId="99" r:id="rId45"/>
    <sheet name="#55-Laurel Regional" sheetId="111" r:id="rId46"/>
    <sheet name="#60-Fort Washington" sheetId="101" r:id="rId47"/>
    <sheet name="#61-Atlantic General" sheetId="102" r:id="rId48"/>
    <sheet name="#62-MedStar Southern Maryland" sheetId="103" r:id="rId49"/>
    <sheet name="#63-UM St Joseph" sheetId="125" r:id="rId50"/>
    <sheet name="#64-Levindale" sheetId="104" r:id="rId51"/>
    <sheet name="#65-Holy Cross Germantown" sheetId="106" r:id="rId52"/>
    <sheet name="#2001-UM ROI" sheetId="72" r:id="rId53"/>
    <sheet name="#2004-MedStar Good Samaritan" sheetId="100" r:id="rId54"/>
    <sheet name="#5050-Shady Grove Adventist" sheetId="114" r:id="rId55"/>
    <sheet name="#3029-Adventist Rehab" sheetId="119" r:id="rId56"/>
    <sheet name="#4000-Sheppard Pratt" sheetId="105" r:id="rId57"/>
    <sheet name="#4013-ABH-Rockville" sheetId="115" r:id="rId58"/>
    <sheet name="#5034-Mt Washington Pediatric" sheetId="75" r:id="rId59"/>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_xlnm._FilterDatabase" localSheetId="5" hidden="1">'Attachment II-All Hospitals'!$A$2:$K$2</definedName>
    <definedName name="_xlnm._FilterDatabase" localSheetId="2" hidden="1">Charts!$A$2:$C$11</definedName>
    <definedName name="acct" localSheetId="24">#REF!</definedName>
    <definedName name="acct" localSheetId="25">#REF!</definedName>
    <definedName name="acct" localSheetId="29">#REF!</definedName>
    <definedName name="acct" localSheetId="49">#REF!</definedName>
    <definedName name="acct" localSheetId="5">#REF!</definedName>
    <definedName name="acct" localSheetId="6">#REF!</definedName>
    <definedName name="acct">#REF!</definedName>
    <definedName name="acct1" localSheetId="24">#REF!</definedName>
    <definedName name="acct1" localSheetId="25">#REF!</definedName>
    <definedName name="acct1" localSheetId="29">#REF!</definedName>
    <definedName name="acct1" localSheetId="49">#REF!</definedName>
    <definedName name="acct1" localSheetId="5">#REF!</definedName>
    <definedName name="acct1" localSheetId="6">#REF!</definedName>
    <definedName name="acct1">#REF!</definedName>
    <definedName name="bal_umc" localSheetId="24">'[1]p8 CONS BS'!#REF!</definedName>
    <definedName name="bal_umc" localSheetId="25">'[1]p8 CONS BS'!#REF!</definedName>
    <definedName name="bal_umc" localSheetId="29">'[1]p8 CONS BS'!#REF!</definedName>
    <definedName name="bal_umc" localSheetId="49">'[1]p8 CONS BS'!#REF!</definedName>
    <definedName name="bal_umc" localSheetId="5">'[1]p8 CONS BS'!#REF!</definedName>
    <definedName name="bal_umc" localSheetId="6">'[1]p8 CONS BS'!#REF!</definedName>
    <definedName name="bal_umc">'[1]p8 CONS BS'!#REF!</definedName>
    <definedName name="BALANCE_UMMC" localSheetId="24">'[1]p8 CONS BS'!#REF!</definedName>
    <definedName name="BALANCE_UMMC" localSheetId="25">'[1]p8 CONS BS'!#REF!</definedName>
    <definedName name="BALANCE_UMMC" localSheetId="29">'[1]p8 CONS BS'!#REF!</definedName>
    <definedName name="BALANCE_UMMC" localSheetId="49">'[1]p8 CONS BS'!#REF!</definedName>
    <definedName name="BALANCE_UMMC" localSheetId="5">'[1]p8 CONS BS'!#REF!</definedName>
    <definedName name="BALANCE_UMMC" localSheetId="6">'[1]p8 CONS BS'!#REF!</definedName>
    <definedName name="BALANCE_UMMC">'[1]p8 CONS BS'!#REF!</definedName>
    <definedName name="C_Code" localSheetId="24">[2]D!#REF!</definedName>
    <definedName name="C_Code" localSheetId="25">[2]D!#REF!</definedName>
    <definedName name="C_Code" localSheetId="29">[2]D!#REF!</definedName>
    <definedName name="C_Code" localSheetId="49">[2]D!#REF!</definedName>
    <definedName name="C_Code" localSheetId="5">[2]D!#REF!</definedName>
    <definedName name="C_Code">[2]D!#REF!</definedName>
    <definedName name="C_Num" localSheetId="24">[2]D!#REF!</definedName>
    <definedName name="C_Num" localSheetId="25">[2]D!#REF!</definedName>
    <definedName name="C_Num" localSheetId="29">[2]D!#REF!</definedName>
    <definedName name="C_Num" localSheetId="49">[2]D!#REF!</definedName>
    <definedName name="C_Num" localSheetId="5">[2]D!#REF!</definedName>
    <definedName name="C_Num">[2]D!#REF!</definedName>
    <definedName name="CASH_UMMC" localSheetId="24">'[1]p10 CF'!#REF!</definedName>
    <definedName name="CASH_UMMC" localSheetId="25">'[1]p10 CF'!#REF!</definedName>
    <definedName name="CASH_UMMC" localSheetId="29">'[1]p10 CF'!#REF!</definedName>
    <definedName name="CASH_UMMC" localSheetId="49">'[1]p10 CF'!#REF!</definedName>
    <definedName name="CASH_UMMC" localSheetId="5">'[1]p10 CF'!#REF!</definedName>
    <definedName name="CASH_UMMC">'[1]p10 CF'!#REF!</definedName>
    <definedName name="CFA_I" localSheetId="24">#REF!</definedName>
    <definedName name="CFA_I" localSheetId="25">#REF!</definedName>
    <definedName name="CFA_I" localSheetId="29">#REF!</definedName>
    <definedName name="CFA_I" localSheetId="49">#REF!</definedName>
    <definedName name="CFA_I" localSheetId="5">#REF!</definedName>
    <definedName name="CFA_I" localSheetId="6">#REF!</definedName>
    <definedName name="CFA_I">#REF!</definedName>
    <definedName name="consol" localSheetId="24">#REF!</definedName>
    <definedName name="consol" localSheetId="25">#REF!</definedName>
    <definedName name="consol" localSheetId="29">#REF!</definedName>
    <definedName name="consol" localSheetId="49">#REF!</definedName>
    <definedName name="consol" localSheetId="5">#REF!</definedName>
    <definedName name="consol" localSheetId="6">#REF!</definedName>
    <definedName name="consol">#REF!</definedName>
    <definedName name="CPV" localSheetId="24">#REF!</definedName>
    <definedName name="CPV" localSheetId="25">#REF!</definedName>
    <definedName name="CPV" localSheetId="29">#REF!</definedName>
    <definedName name="CPV" localSheetId="49">#REF!</definedName>
    <definedName name="CPV" localSheetId="5">#REF!</definedName>
    <definedName name="CPV">#REF!</definedName>
    <definedName name="csh_ummc" localSheetId="24">'[1]p10 CF'!#REF!</definedName>
    <definedName name="csh_ummc" localSheetId="25">'[1]p10 CF'!#REF!</definedName>
    <definedName name="csh_ummc" localSheetId="29">'[1]p10 CF'!#REF!</definedName>
    <definedName name="csh_ummc" localSheetId="49">'[1]p10 CF'!#REF!</definedName>
    <definedName name="csh_ummc" localSheetId="5">'[1]p10 CF'!#REF!</definedName>
    <definedName name="csh_ummc" localSheetId="6">'[1]p10 CF'!#REF!</definedName>
    <definedName name="csh_ummc">'[1]p10 CF'!#REF!</definedName>
    <definedName name="CurrRO">'[3]PY RO'!$A$13:$K$86</definedName>
    <definedName name="DataRange" localSheetId="24">#REF!</definedName>
    <definedName name="DataRange" localSheetId="25">#REF!</definedName>
    <definedName name="DataRange" localSheetId="29">#REF!</definedName>
    <definedName name="DataRange" localSheetId="49">#REF!</definedName>
    <definedName name="DataRange" localSheetId="5">#REF!</definedName>
    <definedName name="DataRange" localSheetId="6">#REF!</definedName>
    <definedName name="DataRange">#REF!</definedName>
    <definedName name="dept" localSheetId="24">#REF!</definedName>
    <definedName name="dept" localSheetId="25">#REF!</definedName>
    <definedName name="dept" localSheetId="29">#REF!</definedName>
    <definedName name="dept" localSheetId="49">#REF!</definedName>
    <definedName name="dept" localSheetId="5">#REF!</definedName>
    <definedName name="dept" localSheetId="6">#REF!</definedName>
    <definedName name="dept">#REF!</definedName>
    <definedName name="DP_Schedule" localSheetId="24">#REF!</definedName>
    <definedName name="DP_Schedule" localSheetId="25">#REF!</definedName>
    <definedName name="DP_Schedule" localSheetId="29">#REF!</definedName>
    <definedName name="DP_Schedule" localSheetId="49">#REF!</definedName>
    <definedName name="DP_Schedule" localSheetId="5">#REF!</definedName>
    <definedName name="DP_Schedule">#REF!</definedName>
    <definedName name="Exh_II" localSheetId="24">#REF!</definedName>
    <definedName name="Exh_II" localSheetId="25">#REF!</definedName>
    <definedName name="Exh_II" localSheetId="29">#REF!</definedName>
    <definedName name="Exh_II" localSheetId="49">#REF!</definedName>
    <definedName name="Exh_II" localSheetId="5">#REF!</definedName>
    <definedName name="Exh_II">#REF!</definedName>
    <definedName name="Exh_V" localSheetId="24">#REF!</definedName>
    <definedName name="Exh_V" localSheetId="25">#REF!</definedName>
    <definedName name="Exh_V" localSheetId="29">#REF!</definedName>
    <definedName name="Exh_V" localSheetId="49">#REF!</definedName>
    <definedName name="Exh_V" localSheetId="5">#REF!</definedName>
    <definedName name="Exh_V">#REF!</definedName>
    <definedName name="Factors_I" localSheetId="24">#REF!</definedName>
    <definedName name="Factors_I" localSheetId="25">#REF!</definedName>
    <definedName name="Factors_I" localSheetId="29">#REF!</definedName>
    <definedName name="Factors_I" localSheetId="49">#REF!</definedName>
    <definedName name="Factors_I" localSheetId="5">#REF!</definedName>
    <definedName name="Factors_I" localSheetId="6">#REF!</definedName>
    <definedName name="Factors_I">#REF!</definedName>
    <definedName name="flex" localSheetId="24">#REF!</definedName>
    <definedName name="flex" localSheetId="25">#REF!</definedName>
    <definedName name="flex" localSheetId="29">#REF!</definedName>
    <definedName name="flex" localSheetId="49">#REF!</definedName>
    <definedName name="flex" localSheetId="5">#REF!</definedName>
    <definedName name="flex" localSheetId="6">#REF!</definedName>
    <definedName name="flex">#REF!</definedName>
    <definedName name="FUND_CONS" localSheetId="24">#REF!</definedName>
    <definedName name="FUND_CONS" localSheetId="25">#REF!</definedName>
    <definedName name="FUND_CONS" localSheetId="29">#REF!</definedName>
    <definedName name="FUND_CONS" localSheetId="49">#REF!</definedName>
    <definedName name="FUND_CONS" localSheetId="5">#REF!</definedName>
    <definedName name="FUND_CONS" localSheetId="6">#REF!</definedName>
    <definedName name="FUND_CONS">#REF!</definedName>
    <definedName name="HeaderRange" localSheetId="24">#REF!</definedName>
    <definedName name="HeaderRange" localSheetId="25">#REF!</definedName>
    <definedName name="HeaderRange" localSheetId="29">#REF!</definedName>
    <definedName name="HeaderRange" localSheetId="49">#REF!</definedName>
    <definedName name="HeaderRange" localSheetId="5">#REF!</definedName>
    <definedName name="HeaderRange" localSheetId="6">#REF!</definedName>
    <definedName name="HeaderRange">#REF!</definedName>
    <definedName name="Hosp_Num">'[3]Gen Info'!$B$4</definedName>
    <definedName name="Hospital_Phys" localSheetId="24">#REF!</definedName>
    <definedName name="Hospital_Phys" localSheetId="25">#REF!</definedName>
    <definedName name="Hospital_Phys" localSheetId="29">#REF!</definedName>
    <definedName name="Hospital_Phys" localSheetId="49">#REF!</definedName>
    <definedName name="Hospital_Phys" localSheetId="5">#REF!</definedName>
    <definedName name="Hospital_Phys">#REF!</definedName>
    <definedName name="inac1">[4]UMH!$A$976:$W$1022</definedName>
    <definedName name="inac4">[4]CC!$A$136:$W$140</definedName>
    <definedName name="inac7">[4]STC!$A$208:$W$212</definedName>
    <definedName name="ker" localSheetId="24">#REF!</definedName>
    <definedName name="ker" localSheetId="25">#REF!</definedName>
    <definedName name="ker" localSheetId="29">#REF!</definedName>
    <definedName name="ker" localSheetId="49">#REF!</definedName>
    <definedName name="ker" localSheetId="5">#REF!</definedName>
    <definedName name="ker" localSheetId="6">#REF!</definedName>
    <definedName name="ker">#REF!</definedName>
    <definedName name="kernan" localSheetId="24">#REF!</definedName>
    <definedName name="kernan" localSheetId="25">#REF!</definedName>
    <definedName name="kernan" localSheetId="29">#REF!</definedName>
    <definedName name="kernan" localSheetId="49">#REF!</definedName>
    <definedName name="kernan" localSheetId="5">#REF!</definedName>
    <definedName name="kernan" localSheetId="6">#REF!</definedName>
    <definedName name="kernan">#REF!</definedName>
    <definedName name="LookDate">'[3]Cvr (DON''T HIDE)'!$P$1:$Q$12</definedName>
    <definedName name="Med_Ed" localSheetId="24">#REF!</definedName>
    <definedName name="Med_Ed" localSheetId="25">#REF!</definedName>
    <definedName name="Med_Ed" localSheetId="29">#REF!</definedName>
    <definedName name="Med_Ed" localSheetId="49">#REF!</definedName>
    <definedName name="Med_Ed" localSheetId="5">#REF!</definedName>
    <definedName name="Med_Ed">#REF!</definedName>
    <definedName name="mrh" localSheetId="24">#REF!</definedName>
    <definedName name="mrh" localSheetId="25">#REF!</definedName>
    <definedName name="mrh" localSheetId="29">#REF!</definedName>
    <definedName name="mrh" localSheetId="49">#REF!</definedName>
    <definedName name="mrh" localSheetId="5">#REF!</definedName>
    <definedName name="mrh" localSheetId="6">#REF!</definedName>
    <definedName name="mrh">#REF!</definedName>
    <definedName name="MTC_Test">[3]MTC!$C$17</definedName>
    <definedName name="P1_Test">[3]P1!$J$102</definedName>
    <definedName name="P2_Test">[3]P2!$J$245</definedName>
    <definedName name="P3_Test">[3]P3!$F$83</definedName>
    <definedName name="P4_Test">[3]P4!$J$283</definedName>
    <definedName name="P5_Test">[3]P5!$J$284</definedName>
    <definedName name="pan" localSheetId="24">'[1]p7 CONS IS'!#REF!</definedName>
    <definedName name="pan" localSheetId="25">'[1]p7 CONS IS'!#REF!</definedName>
    <definedName name="pan" localSheetId="29">'[1]p7 CONS IS'!#REF!</definedName>
    <definedName name="pan" localSheetId="49">'[1]p7 CONS IS'!#REF!</definedName>
    <definedName name="pan" localSheetId="5">'[1]p7 CONS IS'!#REF!</definedName>
    <definedName name="pan" localSheetId="6">'[1]p7 CONS IS'!#REF!</definedName>
    <definedName name="pan">'[1]p7 CONS IS'!#REF!</definedName>
    <definedName name="PANDL" localSheetId="24">'[1]p7 CONS IS'!#REF!</definedName>
    <definedName name="PANDL" localSheetId="25">'[1]p7 CONS IS'!#REF!</definedName>
    <definedName name="PANDL" localSheetId="29">'[1]p7 CONS IS'!#REF!</definedName>
    <definedName name="PANDL" localSheetId="49">'[1]p7 CONS IS'!#REF!</definedName>
    <definedName name="PANDL" localSheetId="5">'[1]p7 CONS IS'!#REF!</definedName>
    <definedName name="PANDL" localSheetId="6">'[1]p7 CONS IS'!#REF!</definedName>
    <definedName name="PANDL">'[1]p7 CONS IS'!#REF!</definedName>
    <definedName name="PLROWS" localSheetId="24">#REF!</definedName>
    <definedName name="PLROWS" localSheetId="25">#REF!</definedName>
    <definedName name="PLROWS" localSheetId="29">#REF!</definedName>
    <definedName name="PLROWS" localSheetId="49">#REF!</definedName>
    <definedName name="PLROWS" localSheetId="5">#REF!</definedName>
    <definedName name="PLROWS" localSheetId="6">#REF!</definedName>
    <definedName name="PLROWS">#REF!</definedName>
    <definedName name="_xlnm.Print_Area" localSheetId="16">'#11-St. Agnes Hospital'!$A$1:$L$156</definedName>
    <definedName name="_xlnm.Print_Area" localSheetId="17">'#12-Sinai'!$A$1:$L$156</definedName>
    <definedName name="_xlnm.Print_Area" localSheetId="18">'#13-Bon Secours'!$A$1:$L$156</definedName>
    <definedName name="_xlnm.Print_Area" localSheetId="19">'#15-MedStar Franklin Square'!$A$1:$K$157</definedName>
    <definedName name="_xlnm.Print_Area" localSheetId="20">'#16-Washington Adventist'!$A$1:$L$156</definedName>
    <definedName name="_xlnm.Print_Area" localSheetId="21">'#17-Garrett County Memorial'!$A$1:$L$156</definedName>
    <definedName name="_xlnm.Print_Area" localSheetId="23">'#19-Peninsula Regional'!$A$1:$L$146</definedName>
    <definedName name="_xlnm.Print_Area" localSheetId="7">'#1-Meritus'!$A$1:$L$156</definedName>
    <definedName name="_xlnm.Print_Area" localSheetId="52">'#2001-UM ROI'!$A$1:$L$156</definedName>
    <definedName name="_xlnm.Print_Area" localSheetId="53">'#2004-MedStar Good Samaritan'!$A$1:$L$156</definedName>
    <definedName name="_xlnm.Print_Area" localSheetId="24">'#22-Suburban'!$A$1:$K$145</definedName>
    <definedName name="_xlnm.Print_Area" localSheetId="25">'#23-AAMC'!#REF!</definedName>
    <definedName name="_xlnm.Print_Area" localSheetId="27">'#27-Western Maryland Regional'!$A$1:$L$156</definedName>
    <definedName name="_xlnm.Print_Area" localSheetId="29">'[1]p7 CONS IS'!#REF!</definedName>
    <definedName name="_xlnm.Print_Area" localSheetId="8">'#2-UMMC'!$A$1:$L$156</definedName>
    <definedName name="_xlnm.Print_Area" localSheetId="55">'#3029-Adventist Rehab'!$A$1:$L$156</definedName>
    <definedName name="_xlnm.Print_Area" localSheetId="31">'#32-Union Hospital Cecil Co'!$A$1:$L$156</definedName>
    <definedName name="_xlnm.Print_Area" localSheetId="32">'#33-Carroll Hospital Center'!$A$1:$L$156</definedName>
    <definedName name="_xlnm.Print_Area" localSheetId="34">'#35-UM Charles Regional'!$A$1:$L$156</definedName>
    <definedName name="_xlnm.Print_Area" localSheetId="36">'#38-UM Midtown'!$A$1:$L$156</definedName>
    <definedName name="_xlnm.Print_Area" localSheetId="37">'#39-Calvert Memorial'!$A$1:$K$156</definedName>
    <definedName name="_xlnm.Print_Area" localSheetId="9">'#3-Prince Georges Hospital'!$A$1:$L$156</definedName>
    <definedName name="_xlnm.Print_Area" localSheetId="56">'#4000-Sheppard Pratt'!$A$1:$L$156</definedName>
    <definedName name="_xlnm.Print_Area" localSheetId="57">'#4013-ABH-Rockville'!$A$1:$L$156</definedName>
    <definedName name="_xlnm.Print_Area" localSheetId="38">'#40-Lifebridge Northwest'!$A$1:$L$156</definedName>
    <definedName name="_xlnm.Print_Area" localSheetId="39">'#43-UM BWMC'!$A$1:$L$156</definedName>
    <definedName name="_xlnm.Print_Area" localSheetId="40">'#44-GBMC'!$A$1:$L$156</definedName>
    <definedName name="_xlnm.Print_Area" localSheetId="41">'#45-McCready'!$A$1:$L$156</definedName>
    <definedName name="_xlnm.Print_Area" localSheetId="42">'#48-Howard County'!$A$1:$L$156</definedName>
    <definedName name="_xlnm.Print_Area" localSheetId="43">'#49-UM Upper Chesapeake Medical'!$A$1:$L$156</definedName>
    <definedName name="_xlnm.Print_Area" localSheetId="10">'#4-Holy Cross Hospital'!$A$1:$L$156</definedName>
    <definedName name="_xlnm.Print_Area" localSheetId="54">'#5050-Shady Grove Adventist'!$A$1:$L$156</definedName>
    <definedName name="_xlnm.Print_Area" localSheetId="44">'#51-Doctors Community Hospital'!$A$1:$L$156</definedName>
    <definedName name="_xlnm.Print_Area" localSheetId="45">'#55-Laurel Regional'!$A$1:$L$156</definedName>
    <definedName name="_xlnm.Print_Area" localSheetId="11">'#5-Frederick Memorial Hospital'!$A$1:$L$156</definedName>
    <definedName name="_xlnm.Print_Area" localSheetId="46">'#60-Fort Washington'!$A$1:$L$156</definedName>
    <definedName name="_xlnm.Print_Area" localSheetId="47">'#61-Atlantic General'!$A$1:$L$156</definedName>
    <definedName name="_xlnm.Print_Area" localSheetId="48">'#62-MedStar Southern Maryland'!$A$1:$L$156</definedName>
    <definedName name="_xlnm.Print_Area" localSheetId="49">'[1]p7 CONS IS'!#REF!</definedName>
    <definedName name="_xlnm.Print_Area" localSheetId="50">'#64-Levindale'!$A$1:$L$156</definedName>
    <definedName name="_xlnm.Print_Area" localSheetId="51">'#65-Holy Cross Germantown'!$A$1:$L$156</definedName>
    <definedName name="_xlnm.Print_Area" localSheetId="12">'#6-UM Harford Memorial'!$A$1:$L$156</definedName>
    <definedName name="_xlnm.Print_Area" localSheetId="13">'#8-Mercy'!$A$1:$L$156</definedName>
    <definedName name="_xlnm.Print_Area" localSheetId="14">'#9-Johns Hopkins'!$A$1:$L$156</definedName>
    <definedName name="_xlnm.Print_Area" localSheetId="5">'Attachment II-All Hospitals'!$A$1:$K$55</definedName>
    <definedName name="_xlnm.Print_Area" localSheetId="3">'CB Table 1'!$A$1:$G$13</definedName>
    <definedName name="_xlnm.Print_Area" localSheetId="2">Charts!$A$1:$O$91</definedName>
    <definedName name="_xlnm.Print_Area" localSheetId="0">'DME_NSPI-all'!$B$2:$E$55</definedName>
    <definedName name="_xlnm.Print_Area" localSheetId="4">'Rate Support-Attachment I'!$A$1:$F$57</definedName>
    <definedName name="_xlnm.Print_Area">'[1]p7 CONS IS'!#REF!</definedName>
    <definedName name="_xlnm.Print_Titles" localSheetId="15">'#10-UM Shore Health Dorchester'!$1:$12</definedName>
    <definedName name="_xlnm.Print_Titles" localSheetId="30">'#30-UM Shore Health Chestertown'!$1:$12</definedName>
    <definedName name="_xlnm.Print_Titles" localSheetId="35">'#37-UM Shore Health Easton'!$1:$12</definedName>
    <definedName name="_xlnm.Print_Titles" localSheetId="6">'Attachment III-All'!$1:$1</definedName>
    <definedName name="Prior_M">'[3]Input M'!$A$4:$I$85</definedName>
    <definedName name="Prior_TB">'[3]Input TB'!$B$4:$CV$133</definedName>
    <definedName name="Psych?">'[5]Gen Info'!$B$17</definedName>
    <definedName name="PY_M">[3]PY_M!$A$4:$AP$106</definedName>
    <definedName name="Rate_Realignment" localSheetId="24">#REF!</definedName>
    <definedName name="Rate_Realignment" localSheetId="25">#REF!</definedName>
    <definedName name="Rate_Realignment" localSheetId="29">#REF!</definedName>
    <definedName name="Rate_Realignment" localSheetId="49">#REF!</definedName>
    <definedName name="Rate_Realignment" localSheetId="5">#REF!</definedName>
    <definedName name="Rate_Realignment">#REF!</definedName>
    <definedName name="RNAdj" localSheetId="24">[6]RR!#REF!</definedName>
    <definedName name="RNAdj" localSheetId="25">[6]RR!#REF!</definedName>
    <definedName name="RNAdj" localSheetId="29">[6]RR!#REF!</definedName>
    <definedName name="RNAdj" localSheetId="49">[6]RR!#REF!</definedName>
    <definedName name="RNAdj" localSheetId="5">[6]RR!#REF!</definedName>
    <definedName name="RNAdj">[6]RR!#REF!</definedName>
    <definedName name="RoutineSpread" localSheetId="24">[6]RR!#REF!</definedName>
    <definedName name="RoutineSpread" localSheetId="25">[6]RR!#REF!</definedName>
    <definedName name="RoutineSpread" localSheetId="29">[6]RR!#REF!</definedName>
    <definedName name="RoutineSpread" localSheetId="49">[6]RR!#REF!</definedName>
    <definedName name="RoutineSpread" localSheetId="5">[6]RR!#REF!</definedName>
    <definedName name="RoutineSpread">[6]RR!#REF!</definedName>
    <definedName name="RR_1" localSheetId="24">#REF!</definedName>
    <definedName name="RR_1" localSheetId="25">#REF!</definedName>
    <definedName name="RR_1" localSheetId="29">#REF!</definedName>
    <definedName name="RR_1" localSheetId="49">#REF!</definedName>
    <definedName name="RR_1" localSheetId="5">#REF!</definedName>
    <definedName name="RR_1">#REF!</definedName>
    <definedName name="RR_2" localSheetId="24">#REF!</definedName>
    <definedName name="RR_2" localSheetId="25">#REF!</definedName>
    <definedName name="RR_2" localSheetId="29">#REF!</definedName>
    <definedName name="RR_2" localSheetId="49">#REF!</definedName>
    <definedName name="RR_2" localSheetId="5">#REF!</definedName>
    <definedName name="RR_2" localSheetId="6">#REF!</definedName>
    <definedName name="RR_2">#REF!</definedName>
    <definedName name="RRAdjustor" localSheetId="24">#REF!</definedName>
    <definedName name="RRAdjustor" localSheetId="25">#REF!</definedName>
    <definedName name="RRAdjustor" localSheetId="29">#REF!</definedName>
    <definedName name="RRAdjustor" localSheetId="49">#REF!</definedName>
    <definedName name="RRAdjustor" localSheetId="5">#REF!</definedName>
    <definedName name="RRAdjustor" localSheetId="6">#REF!</definedName>
    <definedName name="RRAdjustor">#REF!</definedName>
    <definedName name="SAP_Account">'[7]SAP Summary'!$C$4:$C$59</definedName>
    <definedName name="SAP_Apr">'[7]SAP Summary'!$N$4:$N$60</definedName>
    <definedName name="SAP_Aug">'[7]SAP Summary'!$F$4:$F$60</definedName>
    <definedName name="SAP_Dec">'[7]SAP Summary'!$J$4:$J$60</definedName>
    <definedName name="SAP_Feb">'[7]SAP Summary'!$L$4:$L$60</definedName>
    <definedName name="SAP_Jan">'[7]SAP Summary'!$K$4:$K$60</definedName>
    <definedName name="SAP_Jul">'[7]SAP Summary'!$E$4:$E$60</definedName>
    <definedName name="SAP_Jun">'[7]SAP Summary'!$P$4:$P$59</definedName>
    <definedName name="SAP_Mar">'[7]SAP Summary'!$M$4:$M$60</definedName>
    <definedName name="SAP_May">'[7]SAP Summary'!$O$4:$O$60</definedName>
    <definedName name="SAP_Nov">'[7]SAP Summary'!$I$4:$I$60</definedName>
    <definedName name="SAP_Oct">'[7]SAP Summary'!$H$4:$H$60</definedName>
    <definedName name="SAP_Sep">'[7]SAP Summary'!$G$4:$G$60</definedName>
    <definedName name="SAPBEXdnldView" hidden="1">"45B0DMIFL4DG42VFK6L1FXXXP"</definedName>
    <definedName name="SAPBEXsysID" hidden="1">"BWP"</definedName>
    <definedName name="SortRange" localSheetId="24">#REF!</definedName>
    <definedName name="SortRange" localSheetId="25">#REF!</definedName>
    <definedName name="SortRange" localSheetId="29">#REF!</definedName>
    <definedName name="SortRange" localSheetId="49">#REF!</definedName>
    <definedName name="SortRange" localSheetId="5">#REF!</definedName>
    <definedName name="SortRange" localSheetId="6">#REF!</definedName>
    <definedName name="SortRange">#REF!</definedName>
    <definedName name="Supp_Birth_I">'[3]SB Input'!$A$1</definedName>
    <definedName name="Supp2" localSheetId="24">#REF!</definedName>
    <definedName name="Supp2" localSheetId="25">#REF!</definedName>
    <definedName name="Supp2" localSheetId="29">#REF!</definedName>
    <definedName name="Supp2" localSheetId="49">#REF!</definedName>
    <definedName name="Supp2" localSheetId="5">#REF!</definedName>
    <definedName name="Supp2">#REF!</definedName>
    <definedName name="Supp4" localSheetId="24">#REF!</definedName>
    <definedName name="Supp4" localSheetId="25">#REF!</definedName>
    <definedName name="Supp4" localSheetId="29">#REF!</definedName>
    <definedName name="Supp4" localSheetId="49">#REF!</definedName>
    <definedName name="Supp4" localSheetId="5">#REF!</definedName>
    <definedName name="Supp4">#REF!</definedName>
    <definedName name="SUPPLEMENTAL_SCHEDULE_6" localSheetId="24">#REF!</definedName>
    <definedName name="SUPPLEMENTAL_SCHEDULE_6" localSheetId="25">#REF!</definedName>
    <definedName name="SUPPLEMENTAL_SCHEDULE_6" localSheetId="29">#REF!</definedName>
    <definedName name="SUPPLEMENTAL_SCHEDULE_6" localSheetId="49">#REF!</definedName>
    <definedName name="SUPPLEMENTAL_SCHEDULE_6" localSheetId="5">#REF!</definedName>
    <definedName name="SUPPLEMENTAL_SCHEDULE_6">#REF!</definedName>
    <definedName name="T_Bal">'[3]Expense TB'!$B$15:$DL$146</definedName>
    <definedName name="Titles" localSheetId="24">#REF!</definedName>
    <definedName name="Titles" localSheetId="25">#REF!</definedName>
    <definedName name="Titles" localSheetId="29">#REF!</definedName>
    <definedName name="Titles" localSheetId="49">#REF!</definedName>
    <definedName name="Titles" localSheetId="5">#REF!</definedName>
    <definedName name="Titles" localSheetId="6">#REF!</definedName>
    <definedName name="Titles">#REF!</definedName>
    <definedName name="TopSection" localSheetId="24">#REF!</definedName>
    <definedName name="TopSection" localSheetId="25">#REF!</definedName>
    <definedName name="TopSection" localSheetId="29">#REF!</definedName>
    <definedName name="TopSection" localSheetId="49">#REF!</definedName>
    <definedName name="TopSection" localSheetId="5">#REF!</definedName>
    <definedName name="TopSection" localSheetId="6">#REF!</definedName>
    <definedName name="TopSection">#REF!</definedName>
    <definedName name="ttl.salaries" localSheetId="24">#REF!</definedName>
    <definedName name="ttl.salaries" localSheetId="25">#REF!</definedName>
    <definedName name="ttl.salaries" localSheetId="29">#REF!</definedName>
    <definedName name="ttl.salaries" localSheetId="49">#REF!</definedName>
    <definedName name="ttl.salaries" localSheetId="5">#REF!</definedName>
    <definedName name="ttl.salaries" localSheetId="6">#REF!</definedName>
    <definedName name="ttl.salaries">#REF!</definedName>
    <definedName name="UMMC_DEAT" localSheetId="24">'[1]p8 CONS BS'!#REF!</definedName>
    <definedName name="UMMC_DEAT" localSheetId="25">'[1]p8 CONS BS'!#REF!</definedName>
    <definedName name="UMMC_DEAT" localSheetId="29">'[1]p8 CONS BS'!#REF!</definedName>
    <definedName name="UMMC_DEAT" localSheetId="49">'[1]p8 CONS BS'!#REF!</definedName>
    <definedName name="UMMC_DEAT" localSheetId="5">'[1]p8 CONS BS'!#REF!</definedName>
    <definedName name="UMMC_DEAT" localSheetId="6">'[1]p8 CONS BS'!#REF!</definedName>
    <definedName name="UMMC_DEAT">'[1]p8 CONS BS'!#REF!</definedName>
    <definedName name="UR_Rev_I" localSheetId="24">#REF!</definedName>
    <definedName name="UR_Rev_I" localSheetId="25">#REF!</definedName>
    <definedName name="UR_Rev_I" localSheetId="29">#REF!</definedName>
    <definedName name="UR_Rev_I" localSheetId="49">#REF!</definedName>
    <definedName name="UR_Rev_I" localSheetId="5">#REF!</definedName>
    <definedName name="UR_Rev_I" localSheetId="6">#REF!</definedName>
    <definedName name="UR_Rev_I">#REF!</definedName>
    <definedName name="URS_Schedule" localSheetId="24">#REF!</definedName>
    <definedName name="URS_Schedule" localSheetId="25">#REF!</definedName>
    <definedName name="URS_Schedule" localSheetId="29">#REF!</definedName>
    <definedName name="URS_Schedule" localSheetId="49">#REF!</definedName>
    <definedName name="URS_Schedule" localSheetId="5">#REF!</definedName>
    <definedName name="URS_Schedule" localSheetId="6">#REF!</definedName>
    <definedName name="URS_Schedule">#REF!</definedName>
  </definedNames>
  <calcPr calcId="162913"/>
</workbook>
</file>

<file path=xl/calcChain.xml><?xml version="1.0" encoding="utf-8"?>
<calcChain xmlns="http://schemas.openxmlformats.org/spreadsheetml/2006/main">
  <c r="C3" i="6" l="1"/>
  <c r="B3" i="6"/>
  <c r="F13" i="5" l="1"/>
  <c r="D13" i="5"/>
  <c r="C13" i="5"/>
  <c r="B13" i="5"/>
  <c r="L55" i="109" l="1"/>
  <c r="K70" i="98"/>
  <c r="G147" i="98" l="1"/>
  <c r="H147" i="98"/>
  <c r="I147" i="98"/>
  <c r="J147" i="98"/>
  <c r="K147" i="98"/>
  <c r="F147" i="98"/>
  <c r="G146" i="98"/>
  <c r="H146" i="98"/>
  <c r="I146" i="98"/>
  <c r="J146" i="98"/>
  <c r="K146" i="98"/>
  <c r="F146" i="98"/>
  <c r="G145" i="98"/>
  <c r="H145" i="98"/>
  <c r="I145" i="98"/>
  <c r="J145" i="98"/>
  <c r="K145" i="98"/>
  <c r="F145" i="98"/>
  <c r="H144" i="98"/>
  <c r="K143" i="98"/>
  <c r="K142" i="98"/>
  <c r="K141" i="98"/>
  <c r="G143" i="98"/>
  <c r="H143" i="98"/>
  <c r="I143" i="98"/>
  <c r="J143" i="98"/>
  <c r="F143" i="98"/>
  <c r="H142" i="98"/>
  <c r="I142" i="98"/>
  <c r="J142" i="98"/>
  <c r="G142" i="98"/>
  <c r="F142" i="98"/>
  <c r="G141" i="98"/>
  <c r="H141" i="98"/>
  <c r="I141" i="98"/>
  <c r="J141" i="98"/>
  <c r="F141" i="98"/>
  <c r="K150" i="98"/>
  <c r="J150" i="98"/>
  <c r="I150" i="98"/>
  <c r="H150" i="98"/>
  <c r="K148" i="98"/>
  <c r="K103" i="98"/>
  <c r="K104" i="98"/>
  <c r="K105" i="98"/>
  <c r="K108" i="98" s="1"/>
  <c r="K106" i="98"/>
  <c r="K102" i="98"/>
  <c r="G108" i="98"/>
  <c r="H108" i="98"/>
  <c r="I108" i="98"/>
  <c r="J108" i="98"/>
  <c r="F108" i="98"/>
  <c r="K87" i="98"/>
  <c r="K88" i="98"/>
  <c r="K89" i="98"/>
  <c r="K90" i="98"/>
  <c r="K91" i="98"/>
  <c r="K92" i="98"/>
  <c r="K93" i="98"/>
  <c r="K94" i="98"/>
  <c r="K95" i="98"/>
  <c r="K96" i="98"/>
  <c r="K86" i="98"/>
  <c r="G98" i="98"/>
  <c r="H98" i="98"/>
  <c r="I98" i="98"/>
  <c r="J98" i="98"/>
  <c r="F98" i="98"/>
  <c r="K78" i="98"/>
  <c r="K79" i="98"/>
  <c r="K80" i="98"/>
  <c r="K77" i="98"/>
  <c r="K82" i="98" s="1"/>
  <c r="H82" i="98"/>
  <c r="I82" i="98"/>
  <c r="J82" i="98"/>
  <c r="G82" i="98"/>
  <c r="F82" i="98"/>
  <c r="K69" i="98"/>
  <c r="K72" i="98"/>
  <c r="K74" i="98" s="1"/>
  <c r="K144" i="98" s="1"/>
  <c r="K68" i="98"/>
  <c r="G74" i="98"/>
  <c r="G144" i="98" s="1"/>
  <c r="H74" i="98"/>
  <c r="I74" i="98"/>
  <c r="I144" i="98" s="1"/>
  <c r="I152" i="98" s="1"/>
  <c r="J74" i="98"/>
  <c r="J144" i="98" s="1"/>
  <c r="F74" i="98"/>
  <c r="F144" i="98" s="1"/>
  <c r="F152" i="98" s="1"/>
  <c r="K54" i="98"/>
  <c r="K55" i="98"/>
  <c r="K56" i="98"/>
  <c r="K57" i="98"/>
  <c r="K58" i="98"/>
  <c r="K59" i="98"/>
  <c r="K60" i="98"/>
  <c r="K64" i="98" s="1"/>
  <c r="K61" i="98"/>
  <c r="K62" i="98"/>
  <c r="K53" i="98"/>
  <c r="G64" i="98"/>
  <c r="H64" i="98"/>
  <c r="I64" i="98"/>
  <c r="J64" i="98"/>
  <c r="F64" i="98"/>
  <c r="K41" i="98"/>
  <c r="K42" i="98"/>
  <c r="K43" i="98"/>
  <c r="K44" i="98"/>
  <c r="K45" i="98"/>
  <c r="K49" i="98" s="1"/>
  <c r="K46" i="98"/>
  <c r="K47" i="98"/>
  <c r="K40" i="98"/>
  <c r="G49" i="98"/>
  <c r="H49" i="98"/>
  <c r="I49" i="98"/>
  <c r="J49" i="98"/>
  <c r="F49" i="98"/>
  <c r="K22" i="98"/>
  <c r="K23" i="98"/>
  <c r="K24" i="98"/>
  <c r="K25" i="98"/>
  <c r="K26" i="98"/>
  <c r="K27" i="98"/>
  <c r="K28" i="98"/>
  <c r="K29" i="98"/>
  <c r="K30" i="98"/>
  <c r="K31" i="98"/>
  <c r="K32" i="98"/>
  <c r="K33" i="98"/>
  <c r="K34" i="98"/>
  <c r="K21" i="98"/>
  <c r="G36" i="98"/>
  <c r="H36" i="98"/>
  <c r="I36" i="98"/>
  <c r="J36" i="98"/>
  <c r="F36" i="98"/>
  <c r="K18" i="98"/>
  <c r="H152" i="98" l="1"/>
  <c r="K152" i="98"/>
  <c r="J152" i="98"/>
  <c r="G152" i="98"/>
  <c r="K98" i="98"/>
  <c r="K36" i="98"/>
  <c r="K18" i="107"/>
  <c r="K152" i="124"/>
  <c r="J152" i="124"/>
  <c r="I152" i="124"/>
  <c r="H152" i="124"/>
  <c r="G152" i="124"/>
  <c r="F152" i="124"/>
  <c r="K148" i="124"/>
  <c r="K103" i="124"/>
  <c r="K108" i="124" s="1"/>
  <c r="K102" i="124"/>
  <c r="G108" i="124"/>
  <c r="H108" i="124"/>
  <c r="I108" i="124"/>
  <c r="J108" i="124"/>
  <c r="F108" i="124"/>
  <c r="K87" i="124"/>
  <c r="K98" i="124" s="1"/>
  <c r="K88" i="124"/>
  <c r="K89" i="124"/>
  <c r="K90" i="124"/>
  <c r="K91" i="124"/>
  <c r="K92" i="124"/>
  <c r="K93" i="124"/>
  <c r="K86" i="124"/>
  <c r="G98" i="124"/>
  <c r="H98" i="124"/>
  <c r="I98" i="124"/>
  <c r="J98" i="124"/>
  <c r="F98" i="124"/>
  <c r="K78" i="124"/>
  <c r="K79" i="124"/>
  <c r="K80" i="124"/>
  <c r="K77" i="124"/>
  <c r="G82" i="124"/>
  <c r="H82" i="124"/>
  <c r="I82" i="124"/>
  <c r="J82" i="124"/>
  <c r="F82" i="124"/>
  <c r="K69" i="124"/>
  <c r="K70" i="124"/>
  <c r="K68" i="124"/>
  <c r="K74" i="124" s="1"/>
  <c r="G74" i="124"/>
  <c r="H74" i="124"/>
  <c r="I74" i="124"/>
  <c r="J74" i="124"/>
  <c r="F74" i="124"/>
  <c r="K53" i="124"/>
  <c r="K54" i="124"/>
  <c r="K55" i="124"/>
  <c r="K56" i="124"/>
  <c r="K57" i="124"/>
  <c r="K58" i="124"/>
  <c r="K59" i="124"/>
  <c r="K52" i="124"/>
  <c r="K64" i="124" s="1"/>
  <c r="G64" i="124"/>
  <c r="H64" i="124"/>
  <c r="I64" i="124"/>
  <c r="J64" i="124"/>
  <c r="F64" i="124"/>
  <c r="K41" i="124"/>
  <c r="K42" i="124"/>
  <c r="K43" i="124"/>
  <c r="K40" i="124"/>
  <c r="G48" i="124"/>
  <c r="H48" i="124"/>
  <c r="I48" i="124"/>
  <c r="J48" i="124"/>
  <c r="K48" i="124"/>
  <c r="F48" i="124"/>
  <c r="K22" i="124"/>
  <c r="K23" i="124"/>
  <c r="K24" i="124"/>
  <c r="K25" i="124"/>
  <c r="K26" i="124"/>
  <c r="K27" i="124"/>
  <c r="K28" i="124"/>
  <c r="K29" i="124"/>
  <c r="K30" i="124"/>
  <c r="K31" i="124"/>
  <c r="K32" i="124"/>
  <c r="K33" i="124"/>
  <c r="K34" i="124"/>
  <c r="K21" i="124"/>
  <c r="G36" i="124"/>
  <c r="H36" i="124"/>
  <c r="I36" i="124"/>
  <c r="J36" i="124"/>
  <c r="F36" i="124"/>
  <c r="K18" i="124"/>
  <c r="F107" i="122"/>
  <c r="F97" i="122"/>
  <c r="F81" i="122"/>
  <c r="K36" i="122"/>
  <c r="J36" i="122"/>
  <c r="I36" i="122"/>
  <c r="H36" i="122"/>
  <c r="G36" i="122"/>
  <c r="F36" i="122"/>
  <c r="K82" i="124" l="1"/>
  <c r="K36" i="124"/>
  <c r="K147" i="109"/>
  <c r="J149" i="109"/>
  <c r="H149" i="109"/>
  <c r="G144" i="109"/>
  <c r="K132" i="109" l="1"/>
  <c r="K133" i="109"/>
  <c r="K134" i="109"/>
  <c r="K135" i="109"/>
  <c r="K131" i="109"/>
  <c r="G136" i="109"/>
  <c r="G148" i="109" s="1"/>
  <c r="H136" i="109"/>
  <c r="H148" i="109" s="1"/>
  <c r="I136" i="109"/>
  <c r="I148" i="109" s="1"/>
  <c r="J136" i="109"/>
  <c r="J148" i="109" s="1"/>
  <c r="F136" i="109"/>
  <c r="F148" i="109" s="1"/>
  <c r="K103" i="109"/>
  <c r="K104" i="109"/>
  <c r="K105" i="109"/>
  <c r="K106" i="109"/>
  <c r="K107" i="109"/>
  <c r="K102" i="109"/>
  <c r="G108" i="109"/>
  <c r="G146" i="109" s="1"/>
  <c r="H108" i="109"/>
  <c r="H146" i="109" s="1"/>
  <c r="I108" i="109"/>
  <c r="I146" i="109" s="1"/>
  <c r="J108" i="109"/>
  <c r="J146" i="109" s="1"/>
  <c r="F108" i="109"/>
  <c r="F146" i="109" s="1"/>
  <c r="K87" i="109"/>
  <c r="K88" i="109"/>
  <c r="K89" i="109"/>
  <c r="K90" i="109"/>
  <c r="K91" i="109"/>
  <c r="K92" i="109"/>
  <c r="K93" i="109"/>
  <c r="K94" i="109"/>
  <c r="K95" i="109"/>
  <c r="K96" i="109"/>
  <c r="K86" i="109"/>
  <c r="G97" i="109"/>
  <c r="G145" i="109" s="1"/>
  <c r="H97" i="109"/>
  <c r="H145" i="109" s="1"/>
  <c r="I97" i="109"/>
  <c r="I145" i="109" s="1"/>
  <c r="J97" i="109"/>
  <c r="J145" i="109" s="1"/>
  <c r="F97" i="109"/>
  <c r="F145" i="109" s="1"/>
  <c r="K81" i="109"/>
  <c r="K80" i="109"/>
  <c r="K79" i="109"/>
  <c r="K78" i="109"/>
  <c r="K77" i="109"/>
  <c r="J82" i="109"/>
  <c r="I82" i="109"/>
  <c r="I144" i="109" s="1"/>
  <c r="H82" i="109"/>
  <c r="H144" i="109" s="1"/>
  <c r="G82" i="109"/>
  <c r="F82" i="109"/>
  <c r="F144" i="109" s="1"/>
  <c r="K53" i="109"/>
  <c r="K54" i="109"/>
  <c r="K55" i="109"/>
  <c r="K56" i="109"/>
  <c r="K57" i="109"/>
  <c r="K58" i="109"/>
  <c r="K59" i="109"/>
  <c r="K60" i="109"/>
  <c r="K61" i="109"/>
  <c r="K62" i="109"/>
  <c r="K63" i="109"/>
  <c r="K52" i="109"/>
  <c r="G64" i="109"/>
  <c r="G142" i="109" s="1"/>
  <c r="H64" i="109"/>
  <c r="H142" i="109" s="1"/>
  <c r="I64" i="109"/>
  <c r="I142" i="109" s="1"/>
  <c r="J64" i="109"/>
  <c r="J142" i="109" s="1"/>
  <c r="F64" i="109"/>
  <c r="F142" i="109" s="1"/>
  <c r="K41" i="109"/>
  <c r="K42" i="109"/>
  <c r="K40" i="109"/>
  <c r="G49" i="109"/>
  <c r="G141" i="109" s="1"/>
  <c r="H49" i="109"/>
  <c r="H141" i="109" s="1"/>
  <c r="I49" i="109"/>
  <c r="I141" i="109" s="1"/>
  <c r="J49" i="109"/>
  <c r="J141" i="109" s="1"/>
  <c r="F49" i="109"/>
  <c r="F141" i="109" s="1"/>
  <c r="K22" i="109"/>
  <c r="K23" i="109"/>
  <c r="K24" i="109"/>
  <c r="K25" i="109"/>
  <c r="K26" i="109"/>
  <c r="K27" i="109"/>
  <c r="K28" i="109"/>
  <c r="K29" i="109"/>
  <c r="K21" i="109"/>
  <c r="G36" i="109"/>
  <c r="G140" i="109" s="1"/>
  <c r="H36" i="109"/>
  <c r="H140" i="109" s="1"/>
  <c r="I36" i="109"/>
  <c r="I140" i="109" s="1"/>
  <c r="J36" i="109"/>
  <c r="J140" i="109" s="1"/>
  <c r="F36" i="109"/>
  <c r="F140" i="109" s="1"/>
  <c r="K18" i="109"/>
  <c r="K149" i="109" s="1"/>
  <c r="G152" i="107"/>
  <c r="H152" i="107"/>
  <c r="I152" i="107"/>
  <c r="J152" i="107"/>
  <c r="K152" i="107"/>
  <c r="F152" i="107"/>
  <c r="K136" i="109" l="1"/>
  <c r="K148" i="109" s="1"/>
  <c r="K108" i="109"/>
  <c r="K146" i="109" s="1"/>
  <c r="K36" i="109"/>
  <c r="K140" i="109" s="1"/>
  <c r="K64" i="109"/>
  <c r="K142" i="109" s="1"/>
  <c r="K97" i="109"/>
  <c r="K145" i="109" s="1"/>
  <c r="K82" i="109"/>
  <c r="K144" i="109" s="1"/>
  <c r="K49" i="109"/>
  <c r="K141" i="109" s="1"/>
  <c r="K153" i="75" l="1"/>
  <c r="I153" i="75"/>
  <c r="J153" i="75"/>
  <c r="H153" i="75"/>
  <c r="I151" i="109"/>
  <c r="J151" i="109"/>
  <c r="H151" i="109"/>
  <c r="K143" i="109"/>
  <c r="K151" i="109" s="1"/>
  <c r="J151" i="122"/>
  <c r="I151" i="122"/>
  <c r="H151" i="122"/>
  <c r="K150" i="107" l="1"/>
  <c r="J150" i="107"/>
  <c r="H150" i="107" l="1"/>
  <c r="K150" i="124"/>
  <c r="H150" i="124"/>
  <c r="D30" i="6" l="1"/>
  <c r="C30" i="6"/>
  <c r="E40" i="6"/>
  <c r="C66" i="6"/>
  <c r="B53" i="6" s="1"/>
  <c r="B66" i="6"/>
  <c r="B78" i="6" s="1"/>
  <c r="B30" i="6" l="1"/>
  <c r="E30" i="6" s="1"/>
  <c r="D66" i="6" s="1"/>
  <c r="C53" i="6" s="1"/>
  <c r="C78" i="6" l="1"/>
  <c r="E4" i="4" l="1"/>
  <c r="E19" i="126" l="1"/>
  <c r="K19" i="126"/>
  <c r="K31" i="126"/>
  <c r="E49" i="4" l="1"/>
  <c r="E47" i="4" l="1"/>
  <c r="F31" i="126" l="1"/>
  <c r="E31" i="126"/>
  <c r="D31" i="126"/>
  <c r="E20" i="126"/>
  <c r="E38" i="126"/>
  <c r="G100" i="60" l="1"/>
  <c r="H100" i="60"/>
  <c r="I100" i="60"/>
  <c r="K100" i="60"/>
  <c r="G101" i="60"/>
  <c r="H101" i="60"/>
  <c r="I101" i="60"/>
  <c r="K101" i="60"/>
  <c r="G102" i="60"/>
  <c r="H102" i="60"/>
  <c r="I102" i="60"/>
  <c r="K102" i="60"/>
  <c r="G103" i="60"/>
  <c r="H103" i="60"/>
  <c r="I103" i="60"/>
  <c r="K103" i="60"/>
  <c r="H99" i="60"/>
  <c r="I99" i="60"/>
  <c r="K99" i="60"/>
  <c r="H85" i="60"/>
  <c r="K68" i="60"/>
  <c r="H72" i="60"/>
  <c r="K72" i="60"/>
  <c r="G76" i="60"/>
  <c r="H76" i="60"/>
  <c r="I76" i="60"/>
  <c r="K76" i="60"/>
  <c r="H66" i="60"/>
  <c r="K66" i="60"/>
  <c r="G66" i="60"/>
  <c r="G56" i="60" l="1"/>
  <c r="H56" i="60"/>
  <c r="I56" i="60"/>
  <c r="K56" i="60"/>
  <c r="K57" i="60"/>
  <c r="G58" i="60"/>
  <c r="H58" i="60"/>
  <c r="I58" i="60"/>
  <c r="K58" i="60"/>
  <c r="G48" i="60"/>
  <c r="H48" i="60"/>
  <c r="K48" i="60"/>
  <c r="G49" i="60"/>
  <c r="H49" i="60"/>
  <c r="I49" i="60"/>
  <c r="K49" i="60"/>
  <c r="H47" i="60"/>
  <c r="K30" i="60"/>
  <c r="G32" i="60"/>
  <c r="H32" i="60"/>
  <c r="I32" i="60"/>
  <c r="K32" i="60"/>
  <c r="G33" i="60"/>
  <c r="H33" i="60"/>
  <c r="I33" i="60"/>
  <c r="K33" i="60"/>
  <c r="G34" i="60"/>
  <c r="H34" i="60"/>
  <c r="I34" i="60"/>
  <c r="K34" i="60"/>
  <c r="G35" i="60"/>
  <c r="H35" i="60"/>
  <c r="I35" i="60"/>
  <c r="K35" i="60"/>
  <c r="G36" i="60"/>
  <c r="H36" i="60"/>
  <c r="I36" i="60"/>
  <c r="K36" i="60"/>
  <c r="H6" i="60"/>
  <c r="J6" i="60"/>
  <c r="G6" i="60"/>
  <c r="G99" i="60" l="1"/>
  <c r="K22" i="60"/>
  <c r="I22" i="60"/>
  <c r="H22" i="60"/>
  <c r="G22" i="60"/>
  <c r="K21" i="60"/>
  <c r="I21" i="60"/>
  <c r="H21" i="60"/>
  <c r="G21" i="60"/>
  <c r="K20" i="60"/>
  <c r="H20" i="60"/>
  <c r="K19" i="60"/>
  <c r="I19" i="60"/>
  <c r="H19" i="60"/>
  <c r="G19" i="60"/>
  <c r="H18" i="60"/>
  <c r="H17" i="60"/>
  <c r="K16" i="60"/>
  <c r="H16" i="60"/>
  <c r="G16" i="60"/>
  <c r="K15" i="60"/>
  <c r="I15" i="60"/>
  <c r="H15" i="60"/>
  <c r="G15" i="60"/>
  <c r="H14" i="60"/>
  <c r="G14" i="60"/>
  <c r="J150" i="73" l="1"/>
  <c r="I150" i="73"/>
  <c r="H150" i="73"/>
  <c r="K148" i="73"/>
  <c r="J137" i="73"/>
  <c r="J149" i="73" s="1"/>
  <c r="H137" i="73"/>
  <c r="H149" i="73" s="1"/>
  <c r="G137" i="73"/>
  <c r="G149" i="73" s="1"/>
  <c r="F137" i="73"/>
  <c r="F149" i="73" s="1"/>
  <c r="I135" i="73"/>
  <c r="I134" i="73"/>
  <c r="I133" i="73"/>
  <c r="I132" i="73"/>
  <c r="I131" i="73"/>
  <c r="F119" i="73"/>
  <c r="J108" i="73"/>
  <c r="J147" i="73" s="1"/>
  <c r="H108" i="73"/>
  <c r="H147" i="73" s="1"/>
  <c r="G108" i="73"/>
  <c r="G147" i="73" s="1"/>
  <c r="F108" i="73"/>
  <c r="F147" i="73" s="1"/>
  <c r="I106" i="73"/>
  <c r="I105" i="73"/>
  <c r="K105" i="73" s="1"/>
  <c r="I104" i="73"/>
  <c r="I103" i="73"/>
  <c r="I102" i="73"/>
  <c r="K102" i="73" s="1"/>
  <c r="J98" i="73"/>
  <c r="J146" i="73" s="1"/>
  <c r="H98" i="73"/>
  <c r="H146" i="73" s="1"/>
  <c r="G98" i="73"/>
  <c r="G146" i="73" s="1"/>
  <c r="F98" i="73"/>
  <c r="F146" i="73" s="1"/>
  <c r="I96" i="73"/>
  <c r="I95" i="73"/>
  <c r="I94" i="73"/>
  <c r="I93" i="73"/>
  <c r="I92" i="73"/>
  <c r="I91" i="73"/>
  <c r="I90" i="73"/>
  <c r="I89" i="73"/>
  <c r="I88" i="73"/>
  <c r="K88" i="73" s="1"/>
  <c r="I87" i="73"/>
  <c r="I86" i="73"/>
  <c r="J82" i="73"/>
  <c r="J145" i="73" s="1"/>
  <c r="H82" i="73"/>
  <c r="H145" i="73" s="1"/>
  <c r="G82" i="73"/>
  <c r="G145" i="73" s="1"/>
  <c r="F82" i="73"/>
  <c r="F145" i="73" s="1"/>
  <c r="I80" i="73"/>
  <c r="I79" i="73"/>
  <c r="I78" i="73"/>
  <c r="I77" i="73"/>
  <c r="J74" i="73"/>
  <c r="J144" i="73" s="1"/>
  <c r="H74" i="73"/>
  <c r="H144" i="73" s="1"/>
  <c r="G74" i="73"/>
  <c r="G144" i="73" s="1"/>
  <c r="F74" i="73"/>
  <c r="F144" i="73" s="1"/>
  <c r="I72" i="73"/>
  <c r="I71" i="73"/>
  <c r="I70" i="73"/>
  <c r="I69" i="73"/>
  <c r="I68" i="73"/>
  <c r="K68" i="73" s="1"/>
  <c r="J64" i="73"/>
  <c r="J143" i="73" s="1"/>
  <c r="H64" i="73"/>
  <c r="H143" i="73" s="1"/>
  <c r="G64" i="73"/>
  <c r="G143" i="73" s="1"/>
  <c r="F64" i="73"/>
  <c r="F143" i="73" s="1"/>
  <c r="I62" i="73"/>
  <c r="I61" i="73"/>
  <c r="I60" i="73"/>
  <c r="I59" i="73"/>
  <c r="I58" i="73"/>
  <c r="I57" i="73"/>
  <c r="I56" i="73"/>
  <c r="I55" i="73"/>
  <c r="I54" i="73"/>
  <c r="I53" i="73"/>
  <c r="K53" i="73" s="1"/>
  <c r="J49" i="73"/>
  <c r="J142" i="73" s="1"/>
  <c r="H49" i="73"/>
  <c r="H142" i="73" s="1"/>
  <c r="G49" i="73"/>
  <c r="G142" i="73" s="1"/>
  <c r="F49" i="73"/>
  <c r="F142" i="73" s="1"/>
  <c r="I47" i="73"/>
  <c r="I46" i="73"/>
  <c r="I45" i="73"/>
  <c r="I44" i="73"/>
  <c r="I43" i="73"/>
  <c r="I42" i="73"/>
  <c r="I41" i="73"/>
  <c r="I40" i="73"/>
  <c r="J36" i="73"/>
  <c r="J141" i="73" s="1"/>
  <c r="F36" i="73"/>
  <c r="F141" i="73" s="1"/>
  <c r="I34" i="73"/>
  <c r="K34" i="73" s="1"/>
  <c r="I33" i="73"/>
  <c r="K33" i="73" s="1"/>
  <c r="I32" i="73"/>
  <c r="K32" i="73" s="1"/>
  <c r="I31" i="73"/>
  <c r="K31" i="73" s="1"/>
  <c r="I30" i="73"/>
  <c r="K30" i="73" s="1"/>
  <c r="I29" i="73"/>
  <c r="I28" i="73"/>
  <c r="I27" i="73"/>
  <c r="I26" i="73"/>
  <c r="K25" i="73"/>
  <c r="I25" i="73"/>
  <c r="H24" i="73"/>
  <c r="I24" i="73" s="1"/>
  <c r="G24" i="73"/>
  <c r="H23" i="73"/>
  <c r="G23" i="73"/>
  <c r="I22" i="73"/>
  <c r="G22" i="73"/>
  <c r="K21" i="73"/>
  <c r="I21" i="73"/>
  <c r="G21" i="73"/>
  <c r="K18" i="73"/>
  <c r="K80" i="73" l="1"/>
  <c r="K134" i="73"/>
  <c r="K43" i="73"/>
  <c r="K58" i="73"/>
  <c r="K90" i="73"/>
  <c r="K41" i="73"/>
  <c r="K71" i="73"/>
  <c r="K57" i="73"/>
  <c r="K135" i="73"/>
  <c r="K87" i="73"/>
  <c r="K26" i="73"/>
  <c r="K62" i="73"/>
  <c r="K77" i="73"/>
  <c r="K106" i="73"/>
  <c r="K132" i="73"/>
  <c r="K45" i="73"/>
  <c r="K44" i="73"/>
  <c r="K69" i="73"/>
  <c r="K92" i="73"/>
  <c r="H36" i="73"/>
  <c r="H141" i="73" s="1"/>
  <c r="K91" i="73"/>
  <c r="K29" i="73"/>
  <c r="K47" i="73"/>
  <c r="K54" i="73"/>
  <c r="K59" i="73"/>
  <c r="K72" i="73"/>
  <c r="K78" i="73"/>
  <c r="K96" i="73"/>
  <c r="K104" i="73"/>
  <c r="F152" i="73"/>
  <c r="K22" i="73"/>
  <c r="K93" i="73"/>
  <c r="I98" i="73"/>
  <c r="I146" i="73" s="1"/>
  <c r="K103" i="73"/>
  <c r="K133" i="73"/>
  <c r="K70" i="73"/>
  <c r="I64" i="73"/>
  <c r="I143" i="73" s="1"/>
  <c r="K24" i="73"/>
  <c r="K28" i="73"/>
  <c r="I82" i="73"/>
  <c r="I145" i="73" s="1"/>
  <c r="K40" i="73"/>
  <c r="K61" i="73"/>
  <c r="K86" i="73"/>
  <c r="K95" i="73"/>
  <c r="I49" i="73"/>
  <c r="I142" i="73" s="1"/>
  <c r="K46" i="73"/>
  <c r="K56" i="73"/>
  <c r="I74" i="73"/>
  <c r="I144" i="73" s="1"/>
  <c r="I108" i="73"/>
  <c r="I147" i="73" s="1"/>
  <c r="K27" i="73"/>
  <c r="K89" i="73"/>
  <c r="I137" i="73"/>
  <c r="I149" i="73" s="1"/>
  <c r="G36" i="73"/>
  <c r="G141" i="73" s="1"/>
  <c r="K150" i="73"/>
  <c r="I23" i="73"/>
  <c r="K60" i="73"/>
  <c r="K55" i="73"/>
  <c r="K94" i="73"/>
  <c r="K131" i="73"/>
  <c r="J152" i="73"/>
  <c r="K42" i="73"/>
  <c r="K79" i="73"/>
  <c r="H152" i="73" l="1"/>
  <c r="K108" i="73"/>
  <c r="K147" i="73" s="1"/>
  <c r="K23" i="73"/>
  <c r="K74" i="73"/>
  <c r="K144" i="73" s="1"/>
  <c r="G152" i="73"/>
  <c r="I36" i="73"/>
  <c r="I141" i="73" s="1"/>
  <c r="K49" i="73"/>
  <c r="K142" i="73" s="1"/>
  <c r="K82" i="73"/>
  <c r="K145" i="73" s="1"/>
  <c r="K64" i="73"/>
  <c r="K143" i="73" s="1"/>
  <c r="K137" i="73"/>
  <c r="K149" i="73" s="1"/>
  <c r="K98" i="73"/>
  <c r="K146" i="73" s="1"/>
  <c r="I152" i="73" l="1"/>
  <c r="K36" i="73"/>
  <c r="K141" i="73" s="1"/>
  <c r="K152" i="73" l="1"/>
  <c r="J150" i="115"/>
  <c r="I150" i="115"/>
  <c r="H150" i="115"/>
  <c r="J137" i="115"/>
  <c r="J149" i="115" s="1"/>
  <c r="I137" i="115"/>
  <c r="I149" i="115" s="1"/>
  <c r="H137" i="115"/>
  <c r="H149" i="115" s="1"/>
  <c r="G137" i="115"/>
  <c r="G149" i="115" s="1"/>
  <c r="F137" i="115"/>
  <c r="F149" i="115" s="1"/>
  <c r="K135" i="115"/>
  <c r="K134" i="115"/>
  <c r="K133" i="115"/>
  <c r="K132" i="115"/>
  <c r="K131" i="115"/>
  <c r="F125" i="115"/>
  <c r="F121" i="115"/>
  <c r="F118" i="115"/>
  <c r="F117" i="115"/>
  <c r="F114" i="115"/>
  <c r="I33" i="115" s="1"/>
  <c r="K33" i="115" s="1"/>
  <c r="F111" i="115"/>
  <c r="K148" i="115" s="1"/>
  <c r="G108" i="115"/>
  <c r="G147" i="115" s="1"/>
  <c r="J104" i="115"/>
  <c r="I104" i="115"/>
  <c r="H104" i="115"/>
  <c r="F104" i="115"/>
  <c r="F103" i="115"/>
  <c r="J102" i="115"/>
  <c r="I102" i="115"/>
  <c r="H102" i="115"/>
  <c r="F102" i="115"/>
  <c r="G98" i="115"/>
  <c r="G146" i="115" s="1"/>
  <c r="I92" i="115"/>
  <c r="H92" i="115"/>
  <c r="F92" i="115"/>
  <c r="J91" i="115"/>
  <c r="J98" i="115" s="1"/>
  <c r="J146" i="115" s="1"/>
  <c r="I91" i="115"/>
  <c r="H91" i="115"/>
  <c r="F91" i="115"/>
  <c r="F90" i="115"/>
  <c r="I88" i="115"/>
  <c r="H88" i="115"/>
  <c r="F88" i="115"/>
  <c r="F87" i="115"/>
  <c r="I86" i="115"/>
  <c r="H86" i="115"/>
  <c r="J82" i="115"/>
  <c r="J145" i="115" s="1"/>
  <c r="I82" i="115"/>
  <c r="I145" i="115" s="1"/>
  <c r="G82" i="115"/>
  <c r="G145" i="115" s="1"/>
  <c r="K80" i="115"/>
  <c r="K79" i="115"/>
  <c r="F79" i="115"/>
  <c r="K78" i="115"/>
  <c r="H77" i="115"/>
  <c r="H82" i="115" s="1"/>
  <c r="H145" i="115" s="1"/>
  <c r="F77" i="115"/>
  <c r="J74" i="115"/>
  <c r="J144" i="115" s="1"/>
  <c r="I74" i="115"/>
  <c r="I144" i="115" s="1"/>
  <c r="H74" i="115"/>
  <c r="H144" i="115" s="1"/>
  <c r="G74" i="115"/>
  <c r="G144" i="115" s="1"/>
  <c r="F74" i="115"/>
  <c r="F144" i="115" s="1"/>
  <c r="K72" i="115"/>
  <c r="K71" i="115"/>
  <c r="K70" i="115"/>
  <c r="K69" i="115"/>
  <c r="K68" i="115"/>
  <c r="J64" i="115"/>
  <c r="J143" i="115" s="1"/>
  <c r="I64" i="115"/>
  <c r="I143" i="115" s="1"/>
  <c r="K62" i="115"/>
  <c r="K61" i="115"/>
  <c r="K60" i="115"/>
  <c r="K59" i="115"/>
  <c r="K58" i="115"/>
  <c r="H57" i="115"/>
  <c r="K57" i="115" s="1"/>
  <c r="F57" i="115"/>
  <c r="K56" i="115"/>
  <c r="K55" i="115"/>
  <c r="H54" i="115"/>
  <c r="K54" i="115" s="1"/>
  <c r="G54" i="115"/>
  <c r="G64" i="115" s="1"/>
  <c r="G143" i="115" s="1"/>
  <c r="F54" i="115"/>
  <c r="K53" i="115"/>
  <c r="I49" i="115"/>
  <c r="I142" i="115" s="1"/>
  <c r="K47" i="115"/>
  <c r="K46" i="115"/>
  <c r="K45" i="115"/>
  <c r="K44" i="115"/>
  <c r="K43" i="115"/>
  <c r="J42" i="115"/>
  <c r="J49" i="115" s="1"/>
  <c r="J142" i="115" s="1"/>
  <c r="H42" i="115"/>
  <c r="H49" i="115" s="1"/>
  <c r="H142" i="115" s="1"/>
  <c r="G42" i="115"/>
  <c r="G49" i="115" s="1"/>
  <c r="G142" i="115" s="1"/>
  <c r="F42" i="115"/>
  <c r="F49" i="115" s="1"/>
  <c r="F142" i="115" s="1"/>
  <c r="K41" i="115"/>
  <c r="K40" i="115"/>
  <c r="J30" i="115"/>
  <c r="I30" i="115"/>
  <c r="H30" i="115"/>
  <c r="F30" i="115"/>
  <c r="I29" i="115"/>
  <c r="H29" i="115"/>
  <c r="F29" i="115"/>
  <c r="J25" i="115"/>
  <c r="I25" i="115"/>
  <c r="H25" i="115"/>
  <c r="F25" i="115"/>
  <c r="I23" i="115"/>
  <c r="H23" i="115"/>
  <c r="F23" i="115"/>
  <c r="J22" i="115"/>
  <c r="I22" i="115"/>
  <c r="H22" i="115"/>
  <c r="F22" i="115"/>
  <c r="J21" i="115"/>
  <c r="I21" i="115"/>
  <c r="H21" i="115"/>
  <c r="G21" i="115"/>
  <c r="G36" i="115" s="1"/>
  <c r="G141" i="115" s="1"/>
  <c r="F21" i="115"/>
  <c r="K18" i="115"/>
  <c r="K150" i="115" s="1"/>
  <c r="C7" i="115"/>
  <c r="K30" i="115" l="1"/>
  <c r="I26" i="115"/>
  <c r="K26" i="115" s="1"/>
  <c r="K104" i="115"/>
  <c r="F155" i="73"/>
  <c r="F154" i="73"/>
  <c r="K74" i="115"/>
  <c r="K144" i="115" s="1"/>
  <c r="F82" i="115"/>
  <c r="F145" i="115" s="1"/>
  <c r="K137" i="115"/>
  <c r="K149" i="115" s="1"/>
  <c r="K88" i="115"/>
  <c r="I87" i="115"/>
  <c r="K87" i="115" s="1"/>
  <c r="K86" i="115"/>
  <c r="I27" i="115"/>
  <c r="K27" i="115" s="1"/>
  <c r="I90" i="115"/>
  <c r="K90" i="115" s="1"/>
  <c r="I96" i="115"/>
  <c r="K96" i="115" s="1"/>
  <c r="F119" i="115"/>
  <c r="F123" i="115" s="1"/>
  <c r="F127" i="115" s="1"/>
  <c r="I94" i="115"/>
  <c r="K94" i="115" s="1"/>
  <c r="K77" i="115"/>
  <c r="K82" i="115" s="1"/>
  <c r="K145" i="115" s="1"/>
  <c r="I89" i="115"/>
  <c r="K89" i="115" s="1"/>
  <c r="J108" i="115"/>
  <c r="J147" i="115" s="1"/>
  <c r="I103" i="115"/>
  <c r="K103" i="115" s="1"/>
  <c r="K29" i="115"/>
  <c r="I106" i="115"/>
  <c r="K106" i="115" s="1"/>
  <c r="J36" i="115"/>
  <c r="J141" i="115" s="1"/>
  <c r="I34" i="115"/>
  <c r="K34" i="115" s="1"/>
  <c r="H108" i="115"/>
  <c r="H147" i="115" s="1"/>
  <c r="I24" i="115"/>
  <c r="K24" i="115" s="1"/>
  <c r="I32" i="115"/>
  <c r="K32" i="115" s="1"/>
  <c r="K91" i="115"/>
  <c r="K21" i="115"/>
  <c r="K23" i="115"/>
  <c r="I95" i="115"/>
  <c r="K95" i="115" s="1"/>
  <c r="K102" i="115"/>
  <c r="F98" i="115"/>
  <c r="F146" i="115" s="1"/>
  <c r="K92" i="115"/>
  <c r="F36" i="115"/>
  <c r="F141" i="115" s="1"/>
  <c r="H36" i="115"/>
  <c r="H141" i="115" s="1"/>
  <c r="F108" i="115"/>
  <c r="F147" i="115" s="1"/>
  <c r="K25" i="115"/>
  <c r="F64" i="115"/>
  <c r="F143" i="115" s="1"/>
  <c r="H64" i="115"/>
  <c r="H143" i="115" s="1"/>
  <c r="G152" i="115"/>
  <c r="K64" i="115"/>
  <c r="K143" i="115" s="1"/>
  <c r="I31" i="115"/>
  <c r="K31" i="115" s="1"/>
  <c r="I105" i="115"/>
  <c r="H98" i="115"/>
  <c r="H146" i="115" s="1"/>
  <c r="K22" i="115"/>
  <c r="I28" i="115"/>
  <c r="K28" i="115" s="1"/>
  <c r="I93" i="115"/>
  <c r="K93" i="115" s="1"/>
  <c r="K42" i="115"/>
  <c r="K49" i="115" s="1"/>
  <c r="K142" i="115" s="1"/>
  <c r="J152" i="115" l="1"/>
  <c r="H152" i="115"/>
  <c r="K36" i="115"/>
  <c r="K141" i="115" s="1"/>
  <c r="F152" i="115"/>
  <c r="K98" i="115"/>
  <c r="K146" i="115" s="1"/>
  <c r="I98" i="115"/>
  <c r="I146" i="115" s="1"/>
  <c r="I108" i="115"/>
  <c r="I147" i="115" s="1"/>
  <c r="K105" i="115"/>
  <c r="K108" i="115" s="1"/>
  <c r="K147" i="115" s="1"/>
  <c r="I36" i="115"/>
  <c r="I141" i="115" s="1"/>
  <c r="K152" i="115" l="1"/>
  <c r="F155" i="115" s="1"/>
  <c r="I152" i="115"/>
  <c r="F154" i="115" l="1"/>
  <c r="J150" i="105"/>
  <c r="I150" i="105"/>
  <c r="H150" i="105"/>
  <c r="K148" i="105"/>
  <c r="J137" i="105"/>
  <c r="J149" i="105" s="1"/>
  <c r="I137" i="105"/>
  <c r="I149" i="105" s="1"/>
  <c r="H137" i="105"/>
  <c r="H149" i="105" s="1"/>
  <c r="G137" i="105"/>
  <c r="G149" i="105" s="1"/>
  <c r="F137" i="105"/>
  <c r="F149" i="105" s="1"/>
  <c r="K135" i="105"/>
  <c r="K134" i="105"/>
  <c r="K133" i="105"/>
  <c r="K132" i="105"/>
  <c r="K131" i="105"/>
  <c r="F119" i="105"/>
  <c r="F123" i="105" s="1"/>
  <c r="F127" i="105" s="1"/>
  <c r="J108" i="105"/>
  <c r="J147" i="105" s="1"/>
  <c r="H108" i="105"/>
  <c r="H147" i="105" s="1"/>
  <c r="G108" i="105"/>
  <c r="G147" i="105" s="1"/>
  <c r="F108" i="105"/>
  <c r="F147" i="105" s="1"/>
  <c r="I106" i="105"/>
  <c r="K106" i="105" s="1"/>
  <c r="I105" i="105"/>
  <c r="K105" i="105" s="1"/>
  <c r="I104" i="105"/>
  <c r="K104" i="105" s="1"/>
  <c r="I103" i="105"/>
  <c r="K103" i="105" s="1"/>
  <c r="K102" i="105"/>
  <c r="J98" i="105"/>
  <c r="J146" i="105" s="1"/>
  <c r="H98" i="105"/>
  <c r="H146" i="105" s="1"/>
  <c r="G98" i="105"/>
  <c r="G146" i="105" s="1"/>
  <c r="F98" i="105"/>
  <c r="F146" i="105" s="1"/>
  <c r="I96" i="105"/>
  <c r="K96" i="105" s="1"/>
  <c r="I95" i="105"/>
  <c r="K95" i="105" s="1"/>
  <c r="I94" i="105"/>
  <c r="K94" i="105" s="1"/>
  <c r="I93" i="105"/>
  <c r="K93" i="105" s="1"/>
  <c r="I92" i="105"/>
  <c r="K92" i="105" s="1"/>
  <c r="K91" i="105"/>
  <c r="I90" i="105"/>
  <c r="K90" i="105" s="1"/>
  <c r="I89" i="105"/>
  <c r="K89" i="105" s="1"/>
  <c r="I88" i="105"/>
  <c r="K88" i="105" s="1"/>
  <c r="I87" i="105"/>
  <c r="K87" i="105" s="1"/>
  <c r="I86" i="105"/>
  <c r="K86" i="105" s="1"/>
  <c r="J82" i="105"/>
  <c r="J145" i="105" s="1"/>
  <c r="I82" i="105"/>
  <c r="I145" i="105" s="1"/>
  <c r="H82" i="105"/>
  <c r="H145" i="105" s="1"/>
  <c r="G82" i="105"/>
  <c r="G145" i="105" s="1"/>
  <c r="F82" i="105"/>
  <c r="F145" i="105" s="1"/>
  <c r="K80" i="105"/>
  <c r="K79" i="105"/>
  <c r="K78" i="105"/>
  <c r="K77" i="105"/>
  <c r="J74" i="105"/>
  <c r="J144" i="105" s="1"/>
  <c r="I74" i="105"/>
  <c r="I144" i="105" s="1"/>
  <c r="H74" i="105"/>
  <c r="H144" i="105" s="1"/>
  <c r="G74" i="105"/>
  <c r="G144" i="105" s="1"/>
  <c r="F74" i="105"/>
  <c r="F144" i="105" s="1"/>
  <c r="K72" i="105"/>
  <c r="K71" i="105"/>
  <c r="K70" i="105"/>
  <c r="K69" i="105"/>
  <c r="K68" i="105"/>
  <c r="J64" i="105"/>
  <c r="J143" i="105" s="1"/>
  <c r="I64" i="105"/>
  <c r="I143" i="105" s="1"/>
  <c r="H64" i="105"/>
  <c r="H143" i="105" s="1"/>
  <c r="G64" i="105"/>
  <c r="G143" i="105" s="1"/>
  <c r="F64" i="105"/>
  <c r="F143" i="105" s="1"/>
  <c r="K62" i="105"/>
  <c r="K61" i="105"/>
  <c r="K60" i="105"/>
  <c r="K59" i="105"/>
  <c r="K58" i="105"/>
  <c r="K57" i="105"/>
  <c r="K56" i="105"/>
  <c r="K55" i="105"/>
  <c r="K54" i="105"/>
  <c r="K53" i="105"/>
  <c r="J49" i="105"/>
  <c r="J142" i="105" s="1"/>
  <c r="I49" i="105"/>
  <c r="I142" i="105" s="1"/>
  <c r="H49" i="105"/>
  <c r="H142" i="105" s="1"/>
  <c r="G49" i="105"/>
  <c r="G142" i="105" s="1"/>
  <c r="F49" i="105"/>
  <c r="F142" i="105" s="1"/>
  <c r="K47" i="105"/>
  <c r="K46" i="105"/>
  <c r="K45" i="105"/>
  <c r="K44" i="105"/>
  <c r="K43" i="105"/>
  <c r="K42" i="105"/>
  <c r="K41" i="105"/>
  <c r="K40" i="105"/>
  <c r="J36" i="105"/>
  <c r="J141" i="105" s="1"/>
  <c r="H36" i="105"/>
  <c r="H141" i="105" s="1"/>
  <c r="G36" i="105"/>
  <c r="G141" i="105" s="1"/>
  <c r="F36" i="105"/>
  <c r="F141" i="105" s="1"/>
  <c r="I34" i="105"/>
  <c r="K34" i="105" s="1"/>
  <c r="K33" i="105"/>
  <c r="K32" i="105"/>
  <c r="K31" i="105"/>
  <c r="K30" i="105"/>
  <c r="I29" i="105"/>
  <c r="K29" i="105" s="1"/>
  <c r="I28" i="105"/>
  <c r="K28" i="105" s="1"/>
  <c r="K27" i="105"/>
  <c r="I26" i="105"/>
  <c r="K26" i="105" s="1"/>
  <c r="I25" i="105"/>
  <c r="K25" i="105" s="1"/>
  <c r="I24" i="105"/>
  <c r="K24" i="105" s="1"/>
  <c r="I23" i="105"/>
  <c r="K23" i="105" s="1"/>
  <c r="I22" i="105"/>
  <c r="K22" i="105" s="1"/>
  <c r="K21" i="105"/>
  <c r="K18" i="105"/>
  <c r="K150" i="105" s="1"/>
  <c r="K64" i="105" l="1"/>
  <c r="K143" i="105" s="1"/>
  <c r="K49" i="105"/>
  <c r="K142" i="105" s="1"/>
  <c r="I36" i="105"/>
  <c r="I141" i="105" s="1"/>
  <c r="K82" i="105"/>
  <c r="K145" i="105" s="1"/>
  <c r="I98" i="105"/>
  <c r="I146" i="105" s="1"/>
  <c r="K74" i="105"/>
  <c r="K144" i="105" s="1"/>
  <c r="K137" i="105"/>
  <c r="K149" i="105" s="1"/>
  <c r="G152" i="105"/>
  <c r="K36" i="105"/>
  <c r="K141" i="105" s="1"/>
  <c r="K108" i="105"/>
  <c r="K147" i="105" s="1"/>
  <c r="F152" i="105"/>
  <c r="H152" i="105"/>
  <c r="K98" i="105"/>
  <c r="K146" i="105" s="1"/>
  <c r="J152" i="105"/>
  <c r="I108" i="105"/>
  <c r="I147" i="105" s="1"/>
  <c r="I152" i="105" l="1"/>
  <c r="K152" i="105"/>
  <c r="F154" i="105" l="1"/>
  <c r="F155" i="105"/>
  <c r="J150" i="119" l="1"/>
  <c r="I150" i="119"/>
  <c r="H150" i="119"/>
  <c r="J137" i="119"/>
  <c r="J149" i="119" s="1"/>
  <c r="I137" i="119"/>
  <c r="I149" i="119" s="1"/>
  <c r="H137" i="119"/>
  <c r="H149" i="119" s="1"/>
  <c r="G137" i="119"/>
  <c r="G149" i="119" s="1"/>
  <c r="F137" i="119"/>
  <c r="F149" i="119" s="1"/>
  <c r="K135" i="119"/>
  <c r="K134" i="119"/>
  <c r="K133" i="119"/>
  <c r="K132" i="119"/>
  <c r="K131" i="119"/>
  <c r="F125" i="119"/>
  <c r="F121" i="119"/>
  <c r="F118" i="119"/>
  <c r="F117" i="119"/>
  <c r="F114" i="119"/>
  <c r="F111" i="119"/>
  <c r="G108" i="119"/>
  <c r="G147" i="119" s="1"/>
  <c r="J104" i="119"/>
  <c r="I104" i="119"/>
  <c r="H104" i="119"/>
  <c r="F104" i="119"/>
  <c r="F103" i="119"/>
  <c r="J102" i="119"/>
  <c r="I102" i="119"/>
  <c r="H102" i="119"/>
  <c r="F102" i="119"/>
  <c r="G98" i="119"/>
  <c r="G146" i="119" s="1"/>
  <c r="I92" i="119"/>
  <c r="H92" i="119"/>
  <c r="F92" i="119"/>
  <c r="J91" i="119"/>
  <c r="I91" i="119"/>
  <c r="H91" i="119"/>
  <c r="F91" i="119"/>
  <c r="F90" i="119"/>
  <c r="I88" i="119"/>
  <c r="H88" i="119"/>
  <c r="F88" i="119"/>
  <c r="F87" i="119"/>
  <c r="I86" i="119"/>
  <c r="H86" i="119"/>
  <c r="J82" i="119"/>
  <c r="J145" i="119" s="1"/>
  <c r="I82" i="119"/>
  <c r="I145" i="119" s="1"/>
  <c r="G82" i="119"/>
  <c r="G145" i="119" s="1"/>
  <c r="K80" i="119"/>
  <c r="K79" i="119"/>
  <c r="F79" i="119"/>
  <c r="K78" i="119"/>
  <c r="H77" i="119"/>
  <c r="F77" i="119"/>
  <c r="J74" i="119"/>
  <c r="J144" i="119" s="1"/>
  <c r="I74" i="119"/>
  <c r="I144" i="119" s="1"/>
  <c r="H74" i="119"/>
  <c r="H144" i="119" s="1"/>
  <c r="G74" i="119"/>
  <c r="G144" i="119" s="1"/>
  <c r="F74" i="119"/>
  <c r="F144" i="119" s="1"/>
  <c r="K72" i="119"/>
  <c r="K71" i="119"/>
  <c r="K70" i="119"/>
  <c r="K69" i="119"/>
  <c r="K68" i="119"/>
  <c r="J64" i="119"/>
  <c r="J143" i="119" s="1"/>
  <c r="I64" i="119"/>
  <c r="I143" i="119" s="1"/>
  <c r="G64" i="119"/>
  <c r="G143" i="119" s="1"/>
  <c r="F64" i="119"/>
  <c r="F143" i="119" s="1"/>
  <c r="K62" i="119"/>
  <c r="K61" i="119"/>
  <c r="K60" i="119"/>
  <c r="K59" i="119"/>
  <c r="K58" i="119"/>
  <c r="H57" i="119"/>
  <c r="H64" i="119" s="1"/>
  <c r="H143" i="119" s="1"/>
  <c r="K56" i="119"/>
  <c r="K55" i="119"/>
  <c r="K54" i="119"/>
  <c r="K53" i="119"/>
  <c r="I49" i="119"/>
  <c r="I142" i="119" s="1"/>
  <c r="K47" i="119"/>
  <c r="K46" i="119"/>
  <c r="K45" i="119"/>
  <c r="K44" i="119"/>
  <c r="K43" i="119"/>
  <c r="J42" i="119"/>
  <c r="H42" i="119"/>
  <c r="G42" i="119"/>
  <c r="F42" i="119"/>
  <c r="F49" i="119" s="1"/>
  <c r="F142" i="119" s="1"/>
  <c r="K41" i="119"/>
  <c r="K40" i="119"/>
  <c r="J30" i="119"/>
  <c r="I30" i="119"/>
  <c r="H30" i="119"/>
  <c r="F30" i="119"/>
  <c r="I29" i="119"/>
  <c r="H29" i="119"/>
  <c r="F29" i="119"/>
  <c r="J25" i="119"/>
  <c r="I25" i="119"/>
  <c r="H25" i="119"/>
  <c r="F25" i="119"/>
  <c r="J24" i="119"/>
  <c r="I24" i="119"/>
  <c r="H24" i="119"/>
  <c r="G24" i="119"/>
  <c r="F24" i="119"/>
  <c r="I23" i="119"/>
  <c r="H23" i="119"/>
  <c r="F23" i="119"/>
  <c r="J22" i="119"/>
  <c r="I22" i="119"/>
  <c r="H22" i="119"/>
  <c r="G22" i="119"/>
  <c r="F22" i="119"/>
  <c r="J21" i="119"/>
  <c r="I21" i="119"/>
  <c r="H21" i="119"/>
  <c r="G21" i="119"/>
  <c r="F21" i="119"/>
  <c r="K18" i="119"/>
  <c r="K150" i="119" s="1"/>
  <c r="K57" i="119" l="1"/>
  <c r="K64" i="119" s="1"/>
  <c r="K143" i="119" s="1"/>
  <c r="J98" i="119"/>
  <c r="J146" i="119" s="1"/>
  <c r="K148" i="119"/>
  <c r="G49" i="119"/>
  <c r="G142" i="119" s="1"/>
  <c r="I106" i="119"/>
  <c r="J49" i="119"/>
  <c r="J142" i="119" s="1"/>
  <c r="H82" i="119"/>
  <c r="H145" i="119" s="1"/>
  <c r="H49" i="119"/>
  <c r="H142" i="119" s="1"/>
  <c r="F119" i="119"/>
  <c r="F123" i="119" s="1"/>
  <c r="F127" i="119" s="1"/>
  <c r="K104" i="119"/>
  <c r="I32" i="119"/>
  <c r="K102" i="119"/>
  <c r="I34" i="119"/>
  <c r="I33" i="119"/>
  <c r="I31" i="119"/>
  <c r="I87" i="119"/>
  <c r="I27" i="119"/>
  <c r="I28" i="119"/>
  <c r="I26" i="119"/>
  <c r="I95" i="119"/>
  <c r="I94" i="119"/>
  <c r="I90" i="119"/>
  <c r="I93" i="119"/>
  <c r="J108" i="119"/>
  <c r="J147" i="119" s="1"/>
  <c r="I105" i="119"/>
  <c r="K88" i="119"/>
  <c r="K74" i="119"/>
  <c r="K144" i="119" s="1"/>
  <c r="I89" i="119"/>
  <c r="K137" i="119"/>
  <c r="K149" i="119" s="1"/>
  <c r="I96" i="119"/>
  <c r="I103" i="119"/>
  <c r="K77" i="119"/>
  <c r="F82" i="119"/>
  <c r="F145" i="119" s="1"/>
  <c r="K29" i="119"/>
  <c r="H108" i="119"/>
  <c r="H147" i="119" s="1"/>
  <c r="K86" i="119"/>
  <c r="G36" i="119"/>
  <c r="G141" i="119" s="1"/>
  <c r="K23" i="119"/>
  <c r="K24" i="119"/>
  <c r="K30" i="119"/>
  <c r="K21" i="119"/>
  <c r="H98" i="119"/>
  <c r="H146" i="119" s="1"/>
  <c r="K25" i="119"/>
  <c r="K91" i="119"/>
  <c r="J36" i="119"/>
  <c r="J141" i="119" s="1"/>
  <c r="K22" i="119"/>
  <c r="F36" i="119"/>
  <c r="F141" i="119" s="1"/>
  <c r="F98" i="119"/>
  <c r="F146" i="119" s="1"/>
  <c r="F108" i="119"/>
  <c r="F147" i="119" s="1"/>
  <c r="K42" i="119"/>
  <c r="H36" i="119"/>
  <c r="H141" i="119" s="1"/>
  <c r="K92" i="119"/>
  <c r="K32" i="119" l="1"/>
  <c r="K94" i="119"/>
  <c r="K96" i="119"/>
  <c r="K90" i="119"/>
  <c r="K33" i="119"/>
  <c r="K103" i="119"/>
  <c r="K93" i="119"/>
  <c r="K31" i="119"/>
  <c r="K26" i="119"/>
  <c r="K89" i="119"/>
  <c r="K82" i="119"/>
  <c r="K145" i="119" s="1"/>
  <c r="K87" i="119"/>
  <c r="K95" i="119"/>
  <c r="G152" i="119"/>
  <c r="K34" i="119"/>
  <c r="K105" i="119"/>
  <c r="K27" i="119"/>
  <c r="K106" i="119"/>
  <c r="K49" i="119"/>
  <c r="K142" i="119" s="1"/>
  <c r="K28" i="119"/>
  <c r="J152" i="119"/>
  <c r="I108" i="119"/>
  <c r="I147" i="119" s="1"/>
  <c r="I36" i="119"/>
  <c r="I141" i="119" s="1"/>
  <c r="I98" i="119"/>
  <c r="I146" i="119" s="1"/>
  <c r="H152" i="119"/>
  <c r="F152" i="119"/>
  <c r="K108" i="119" l="1"/>
  <c r="K147" i="119" s="1"/>
  <c r="K36" i="119"/>
  <c r="K141" i="119" s="1"/>
  <c r="K98" i="119"/>
  <c r="K146" i="119" s="1"/>
  <c r="I152" i="119"/>
  <c r="K152" i="119" l="1"/>
  <c r="F155" i="119" s="1"/>
  <c r="I150" i="114"/>
  <c r="J137" i="114"/>
  <c r="J149" i="114" s="1"/>
  <c r="I137" i="114"/>
  <c r="I149" i="114" s="1"/>
  <c r="H137" i="114"/>
  <c r="H149" i="114" s="1"/>
  <c r="G137" i="114"/>
  <c r="G149" i="114" s="1"/>
  <c r="F137" i="114"/>
  <c r="F149" i="114" s="1"/>
  <c r="K135" i="114"/>
  <c r="K134" i="114"/>
  <c r="K133" i="114"/>
  <c r="K132" i="114"/>
  <c r="K131" i="114"/>
  <c r="F125" i="114"/>
  <c r="F121" i="114"/>
  <c r="F118" i="114"/>
  <c r="F117" i="114"/>
  <c r="F114" i="114"/>
  <c r="F111" i="114"/>
  <c r="J104" i="114"/>
  <c r="I104" i="114"/>
  <c r="H104" i="114"/>
  <c r="F104" i="114"/>
  <c r="F103" i="114"/>
  <c r="J102" i="114"/>
  <c r="I102" i="114"/>
  <c r="H102" i="114"/>
  <c r="G102" i="114"/>
  <c r="F102" i="114"/>
  <c r="I93" i="114"/>
  <c r="H93" i="114"/>
  <c r="G93" i="114"/>
  <c r="F93" i="114"/>
  <c r="I92" i="114"/>
  <c r="H92" i="114"/>
  <c r="F92" i="114"/>
  <c r="J91" i="114"/>
  <c r="I91" i="114"/>
  <c r="H91" i="114"/>
  <c r="F91" i="114"/>
  <c r="F90" i="114"/>
  <c r="I88" i="114"/>
  <c r="H88" i="114"/>
  <c r="G88" i="114"/>
  <c r="F88" i="114"/>
  <c r="F87" i="114"/>
  <c r="I86" i="114"/>
  <c r="H86" i="114"/>
  <c r="J82" i="114"/>
  <c r="J145" i="114" s="1"/>
  <c r="I82" i="114"/>
  <c r="I145" i="114" s="1"/>
  <c r="G82" i="114"/>
  <c r="G145" i="114" s="1"/>
  <c r="K80" i="114"/>
  <c r="K79" i="114"/>
  <c r="F79" i="114"/>
  <c r="K78" i="114"/>
  <c r="H77" i="114"/>
  <c r="F77" i="114"/>
  <c r="I74" i="114"/>
  <c r="I144" i="114" s="1"/>
  <c r="G74" i="114"/>
  <c r="G144" i="114" s="1"/>
  <c r="K72" i="114"/>
  <c r="K71" i="114"/>
  <c r="K70" i="114"/>
  <c r="H69" i="114"/>
  <c r="J68" i="114"/>
  <c r="H68" i="114"/>
  <c r="F68" i="114"/>
  <c r="J64" i="114"/>
  <c r="J143" i="114" s="1"/>
  <c r="I64" i="114"/>
  <c r="I143" i="114" s="1"/>
  <c r="K62" i="114"/>
  <c r="K61" i="114"/>
  <c r="K60" i="114"/>
  <c r="K59" i="114"/>
  <c r="K58" i="114"/>
  <c r="H57" i="114"/>
  <c r="F57" i="114"/>
  <c r="K56" i="114"/>
  <c r="H55" i="114"/>
  <c r="G55" i="114"/>
  <c r="F55" i="114"/>
  <c r="H54" i="114"/>
  <c r="G54" i="114"/>
  <c r="F54" i="114"/>
  <c r="K53" i="114"/>
  <c r="K47" i="114"/>
  <c r="K46" i="114"/>
  <c r="K45" i="114"/>
  <c r="K44" i="114"/>
  <c r="K43" i="114"/>
  <c r="J42" i="114"/>
  <c r="H42" i="114"/>
  <c r="G42" i="114"/>
  <c r="F42" i="114"/>
  <c r="H41" i="114"/>
  <c r="G41" i="114"/>
  <c r="F41" i="114"/>
  <c r="J40" i="114"/>
  <c r="I40" i="114"/>
  <c r="H40" i="114"/>
  <c r="G40" i="114"/>
  <c r="F40" i="114"/>
  <c r="J30" i="114"/>
  <c r="I30" i="114"/>
  <c r="H30" i="114"/>
  <c r="F30" i="114"/>
  <c r="I29" i="114"/>
  <c r="H29" i="114"/>
  <c r="F29" i="114"/>
  <c r="J25" i="114"/>
  <c r="I25" i="114"/>
  <c r="H25" i="114"/>
  <c r="F25" i="114"/>
  <c r="J24" i="114"/>
  <c r="I24" i="114"/>
  <c r="H24" i="114"/>
  <c r="I12" i="60" s="1"/>
  <c r="G24" i="114"/>
  <c r="F24" i="114"/>
  <c r="J23" i="114"/>
  <c r="I23" i="114"/>
  <c r="H23" i="114"/>
  <c r="F23" i="114"/>
  <c r="J22" i="114"/>
  <c r="I22" i="114"/>
  <c r="H22" i="114"/>
  <c r="F22" i="114"/>
  <c r="J21" i="114"/>
  <c r="I21" i="114"/>
  <c r="H21" i="114"/>
  <c r="G21" i="114"/>
  <c r="F21" i="114"/>
  <c r="J18" i="114"/>
  <c r="F154" i="119" l="1"/>
  <c r="F74" i="114"/>
  <c r="F144" i="114" s="1"/>
  <c r="K148" i="114"/>
  <c r="G108" i="114"/>
  <c r="G147" i="114" s="1"/>
  <c r="K55" i="114"/>
  <c r="K57" i="114"/>
  <c r="I106" i="114"/>
  <c r="K69" i="114"/>
  <c r="J150" i="114"/>
  <c r="H150" i="114"/>
  <c r="K41" i="114"/>
  <c r="J98" i="114"/>
  <c r="J146" i="114" s="1"/>
  <c r="J74" i="114"/>
  <c r="J144" i="114" s="1"/>
  <c r="H82" i="114"/>
  <c r="H145" i="114" s="1"/>
  <c r="I49" i="114"/>
  <c r="I142" i="114" s="1"/>
  <c r="I33" i="114"/>
  <c r="I31" i="114"/>
  <c r="G64" i="114"/>
  <c r="G143" i="114" s="1"/>
  <c r="I89" i="114"/>
  <c r="I96" i="114"/>
  <c r="I95" i="114"/>
  <c r="I103" i="114"/>
  <c r="K137" i="114"/>
  <c r="K149" i="114" s="1"/>
  <c r="K29" i="114"/>
  <c r="K21" i="114"/>
  <c r="K40" i="114"/>
  <c r="G36" i="114"/>
  <c r="G141" i="114" s="1"/>
  <c r="K91" i="114"/>
  <c r="K93" i="114"/>
  <c r="K68" i="114"/>
  <c r="K42" i="114"/>
  <c r="F119" i="114"/>
  <c r="F123" i="114" s="1"/>
  <c r="F127" i="114" s="1"/>
  <c r="K77" i="114"/>
  <c r="H108" i="114"/>
  <c r="H147" i="114" s="1"/>
  <c r="I32" i="114"/>
  <c r="I87" i="114"/>
  <c r="I90" i="114"/>
  <c r="K104" i="114"/>
  <c r="K24" i="114"/>
  <c r="I27" i="114"/>
  <c r="I34" i="114"/>
  <c r="H74" i="114"/>
  <c r="H144" i="114" s="1"/>
  <c r="K88" i="114"/>
  <c r="I94" i="114"/>
  <c r="J108" i="114"/>
  <c r="J147" i="114" s="1"/>
  <c r="G49" i="114"/>
  <c r="G142" i="114" s="1"/>
  <c r="F36" i="114"/>
  <c r="F141" i="114" s="1"/>
  <c r="I28" i="114"/>
  <c r="K86" i="114"/>
  <c r="I26" i="114"/>
  <c r="G98" i="114"/>
  <c r="G146" i="114" s="1"/>
  <c r="I105" i="114"/>
  <c r="H36" i="114"/>
  <c r="H141" i="114" s="1"/>
  <c r="H98" i="114"/>
  <c r="H146" i="114" s="1"/>
  <c r="K30" i="114"/>
  <c r="J49" i="114"/>
  <c r="J142" i="114" s="1"/>
  <c r="F64" i="114"/>
  <c r="F143" i="114" s="1"/>
  <c r="K102" i="114"/>
  <c r="F98" i="114"/>
  <c r="F146" i="114" s="1"/>
  <c r="K22" i="114"/>
  <c r="H49" i="114"/>
  <c r="H142" i="114" s="1"/>
  <c r="K92" i="114"/>
  <c r="K25" i="114"/>
  <c r="F49" i="114"/>
  <c r="F142" i="114" s="1"/>
  <c r="J36" i="114"/>
  <c r="J141" i="114" s="1"/>
  <c r="H64" i="114"/>
  <c r="H143" i="114" s="1"/>
  <c r="F82" i="114"/>
  <c r="F145" i="114" s="1"/>
  <c r="F108" i="114"/>
  <c r="F147" i="114" s="1"/>
  <c r="K18" i="114"/>
  <c r="K23" i="114"/>
  <c r="K54" i="114"/>
  <c r="K95" i="114" l="1"/>
  <c r="K103" i="114"/>
  <c r="K27" i="114"/>
  <c r="K94" i="114"/>
  <c r="K150" i="114"/>
  <c r="K106" i="114"/>
  <c r="K28" i="114"/>
  <c r="K33" i="114"/>
  <c r="K34" i="114"/>
  <c r="K82" i="114"/>
  <c r="K145" i="114" s="1"/>
  <c r="K31" i="114"/>
  <c r="K105" i="114"/>
  <c r="K87" i="114"/>
  <c r="K96" i="114"/>
  <c r="K90" i="114"/>
  <c r="K64" i="114"/>
  <c r="K143" i="114" s="1"/>
  <c r="K26" i="114"/>
  <c r="K32" i="114"/>
  <c r="K89" i="114"/>
  <c r="K74" i="114"/>
  <c r="K144" i="114" s="1"/>
  <c r="G152" i="114"/>
  <c r="K49" i="114"/>
  <c r="K142" i="114" s="1"/>
  <c r="J152" i="114"/>
  <c r="I36" i="114"/>
  <c r="I141" i="114" s="1"/>
  <c r="I108" i="114"/>
  <c r="I147" i="114" s="1"/>
  <c r="I98" i="114"/>
  <c r="I146" i="114" s="1"/>
  <c r="H152" i="114"/>
  <c r="F152" i="114"/>
  <c r="K98" i="114" l="1"/>
  <c r="K146" i="114" s="1"/>
  <c r="K108" i="114"/>
  <c r="K147" i="114" s="1"/>
  <c r="I152" i="114"/>
  <c r="K36" i="114"/>
  <c r="K141" i="114" s="1"/>
  <c r="J150" i="100"/>
  <c r="I150" i="100"/>
  <c r="H150" i="100"/>
  <c r="K148" i="100"/>
  <c r="J137" i="100"/>
  <c r="J149" i="100" s="1"/>
  <c r="I137" i="100"/>
  <c r="I149" i="100" s="1"/>
  <c r="H137" i="100"/>
  <c r="H149" i="100" s="1"/>
  <c r="G137" i="100"/>
  <c r="G149" i="100" s="1"/>
  <c r="F137" i="100"/>
  <c r="F149" i="100" s="1"/>
  <c r="K135" i="100"/>
  <c r="K134" i="100"/>
  <c r="K133" i="100"/>
  <c r="K132" i="100"/>
  <c r="K131" i="100"/>
  <c r="F119" i="100"/>
  <c r="F123" i="100" s="1"/>
  <c r="F127" i="100" s="1"/>
  <c r="J108" i="100"/>
  <c r="J147" i="100" s="1"/>
  <c r="H108" i="100"/>
  <c r="H147" i="100" s="1"/>
  <c r="G108" i="100"/>
  <c r="G147" i="100" s="1"/>
  <c r="F108" i="100"/>
  <c r="F147" i="100" s="1"/>
  <c r="K106" i="100"/>
  <c r="I106" i="100"/>
  <c r="I105" i="100"/>
  <c r="K105" i="100" s="1"/>
  <c r="I104" i="100"/>
  <c r="K104" i="100" s="1"/>
  <c r="I103" i="100"/>
  <c r="K103" i="100" s="1"/>
  <c r="K102" i="100"/>
  <c r="J98" i="100"/>
  <c r="J146" i="100" s="1"/>
  <c r="H98" i="100"/>
  <c r="H146" i="100" s="1"/>
  <c r="G98" i="100"/>
  <c r="G146" i="100" s="1"/>
  <c r="F98" i="100"/>
  <c r="F146" i="100" s="1"/>
  <c r="I96" i="100"/>
  <c r="K96" i="100" s="1"/>
  <c r="I95" i="100"/>
  <c r="K95" i="100" s="1"/>
  <c r="I94" i="100"/>
  <c r="K94" i="100" s="1"/>
  <c r="K93" i="100"/>
  <c r="K92" i="100"/>
  <c r="I91" i="100"/>
  <c r="K91" i="100" s="1"/>
  <c r="I90" i="100"/>
  <c r="K90" i="100" s="1"/>
  <c r="I89" i="100"/>
  <c r="K89" i="100" s="1"/>
  <c r="K88" i="100"/>
  <c r="I87" i="100"/>
  <c r="K87" i="100" s="1"/>
  <c r="I86" i="100"/>
  <c r="K86" i="100" s="1"/>
  <c r="J82" i="100"/>
  <c r="J145" i="100" s="1"/>
  <c r="I82" i="100"/>
  <c r="I145" i="100" s="1"/>
  <c r="H82" i="100"/>
  <c r="H145" i="100" s="1"/>
  <c r="G82" i="100"/>
  <c r="G145" i="100" s="1"/>
  <c r="F82" i="100"/>
  <c r="F145" i="100" s="1"/>
  <c r="K80" i="100"/>
  <c r="K79" i="100"/>
  <c r="K78" i="100"/>
  <c r="K77" i="100"/>
  <c r="J74" i="100"/>
  <c r="J144" i="100" s="1"/>
  <c r="I74" i="100"/>
  <c r="I144" i="100" s="1"/>
  <c r="H74" i="100"/>
  <c r="H144" i="100" s="1"/>
  <c r="G74" i="100"/>
  <c r="G144" i="100" s="1"/>
  <c r="F74" i="100"/>
  <c r="F144" i="100" s="1"/>
  <c r="K72" i="100"/>
  <c r="K71" i="100"/>
  <c r="K70" i="100"/>
  <c r="K69" i="100"/>
  <c r="K68" i="100"/>
  <c r="J64" i="100"/>
  <c r="J143" i="100" s="1"/>
  <c r="I64" i="100"/>
  <c r="I143" i="100" s="1"/>
  <c r="H64" i="100"/>
  <c r="H143" i="100" s="1"/>
  <c r="G64" i="100"/>
  <c r="G143" i="100" s="1"/>
  <c r="F64" i="100"/>
  <c r="F143" i="100" s="1"/>
  <c r="K62" i="100"/>
  <c r="K61" i="100"/>
  <c r="K60" i="100"/>
  <c r="K59" i="100"/>
  <c r="K58" i="100"/>
  <c r="K57" i="100"/>
  <c r="K56" i="100"/>
  <c r="K55" i="100"/>
  <c r="K54" i="100"/>
  <c r="K53" i="100"/>
  <c r="J49" i="100"/>
  <c r="J142" i="100" s="1"/>
  <c r="I49" i="100"/>
  <c r="I142" i="100" s="1"/>
  <c r="H49" i="100"/>
  <c r="H142" i="100" s="1"/>
  <c r="G49" i="100"/>
  <c r="G142" i="100" s="1"/>
  <c r="F49" i="100"/>
  <c r="F142" i="100" s="1"/>
  <c r="K47" i="100"/>
  <c r="K46" i="100"/>
  <c r="K45" i="100"/>
  <c r="K44" i="100"/>
  <c r="K43" i="100"/>
  <c r="K42" i="100"/>
  <c r="K41" i="100"/>
  <c r="K40" i="100"/>
  <c r="J36" i="100"/>
  <c r="J141" i="100" s="1"/>
  <c r="H36" i="100"/>
  <c r="H141" i="100" s="1"/>
  <c r="G36" i="100"/>
  <c r="G141" i="100" s="1"/>
  <c r="F36" i="100"/>
  <c r="F141" i="100" s="1"/>
  <c r="I34" i="100"/>
  <c r="K34" i="100" s="1"/>
  <c r="I33" i="100"/>
  <c r="K33" i="100" s="1"/>
  <c r="I32" i="100"/>
  <c r="K32" i="100" s="1"/>
  <c r="I31" i="100"/>
  <c r="K31" i="100" s="1"/>
  <c r="I30" i="100"/>
  <c r="K30" i="100" s="1"/>
  <c r="K29" i="100"/>
  <c r="I28" i="100"/>
  <c r="K28" i="100" s="1"/>
  <c r="K27" i="100"/>
  <c r="K26" i="100"/>
  <c r="I26" i="100"/>
  <c r="K25" i="100"/>
  <c r="K24" i="100"/>
  <c r="K23" i="100"/>
  <c r="K22" i="100"/>
  <c r="K21" i="100"/>
  <c r="K18" i="100"/>
  <c r="K150" i="100" s="1"/>
  <c r="K152" i="114" l="1"/>
  <c r="F155" i="114" s="1"/>
  <c r="I98" i="100"/>
  <c r="I146" i="100" s="1"/>
  <c r="K137" i="100"/>
  <c r="K149" i="100" s="1"/>
  <c r="K49" i="100"/>
  <c r="K142" i="100" s="1"/>
  <c r="K82" i="100"/>
  <c r="K145" i="100" s="1"/>
  <c r="F152" i="100"/>
  <c r="K64" i="100"/>
  <c r="K143" i="100" s="1"/>
  <c r="K74" i="100"/>
  <c r="K144" i="100" s="1"/>
  <c r="K108" i="100"/>
  <c r="K147" i="100" s="1"/>
  <c r="J152" i="100"/>
  <c r="K36" i="100"/>
  <c r="K141" i="100" s="1"/>
  <c r="K98" i="100"/>
  <c r="K146" i="100" s="1"/>
  <c r="H152" i="100"/>
  <c r="G152" i="100"/>
  <c r="I36" i="100"/>
  <c r="I141" i="100" s="1"/>
  <c r="I108" i="100"/>
  <c r="I147" i="100" s="1"/>
  <c r="F154" i="114" l="1"/>
  <c r="I152" i="100"/>
  <c r="K152" i="100"/>
  <c r="F154" i="100" l="1"/>
  <c r="F155" i="100"/>
  <c r="J150" i="72" l="1"/>
  <c r="I150" i="72"/>
  <c r="H150" i="72"/>
  <c r="K148" i="72"/>
  <c r="J137" i="72"/>
  <c r="J149" i="72" s="1"/>
  <c r="I137" i="72"/>
  <c r="I149" i="72" s="1"/>
  <c r="H137" i="72"/>
  <c r="H149" i="72" s="1"/>
  <c r="G137" i="72"/>
  <c r="G149" i="72" s="1"/>
  <c r="F137" i="72"/>
  <c r="F149" i="72" s="1"/>
  <c r="K135" i="72"/>
  <c r="K134" i="72"/>
  <c r="K133" i="72"/>
  <c r="K132" i="72"/>
  <c r="K131" i="72"/>
  <c r="F119" i="72"/>
  <c r="J108" i="72"/>
  <c r="J147" i="72" s="1"/>
  <c r="H108" i="72"/>
  <c r="H147" i="72" s="1"/>
  <c r="G108" i="72"/>
  <c r="G147" i="72" s="1"/>
  <c r="F108" i="72"/>
  <c r="F147" i="72" s="1"/>
  <c r="I106" i="72"/>
  <c r="K106" i="72" s="1"/>
  <c r="I105" i="72"/>
  <c r="K105" i="72" s="1"/>
  <c r="I104" i="72"/>
  <c r="K104" i="72" s="1"/>
  <c r="I103" i="72"/>
  <c r="K103" i="72" s="1"/>
  <c r="I102" i="72"/>
  <c r="K102" i="72" s="1"/>
  <c r="J98" i="72"/>
  <c r="J146" i="72" s="1"/>
  <c r="H98" i="72"/>
  <c r="H146" i="72" s="1"/>
  <c r="G98" i="72"/>
  <c r="G146" i="72" s="1"/>
  <c r="F98" i="72"/>
  <c r="F146" i="72" s="1"/>
  <c r="I96" i="72"/>
  <c r="K96" i="72" s="1"/>
  <c r="I95" i="72"/>
  <c r="K95" i="72" s="1"/>
  <c r="I94" i="72"/>
  <c r="K94" i="72" s="1"/>
  <c r="I93" i="72"/>
  <c r="K93" i="72" s="1"/>
  <c r="I92" i="72"/>
  <c r="K92" i="72" s="1"/>
  <c r="I91" i="72"/>
  <c r="K91" i="72" s="1"/>
  <c r="I90" i="72"/>
  <c r="K90" i="72" s="1"/>
  <c r="I89" i="72"/>
  <c r="K89" i="72" s="1"/>
  <c r="I88" i="72"/>
  <c r="K88" i="72" s="1"/>
  <c r="I87" i="72"/>
  <c r="K87" i="72" s="1"/>
  <c r="I86" i="72"/>
  <c r="K86" i="72" s="1"/>
  <c r="J82" i="72"/>
  <c r="J145" i="72" s="1"/>
  <c r="H82" i="72"/>
  <c r="H145" i="72" s="1"/>
  <c r="G82" i="72"/>
  <c r="G145" i="72" s="1"/>
  <c r="F82" i="72"/>
  <c r="F145" i="72" s="1"/>
  <c r="K80" i="72"/>
  <c r="I79" i="72"/>
  <c r="K79" i="72" s="1"/>
  <c r="K78" i="72"/>
  <c r="I77" i="72"/>
  <c r="J74" i="72"/>
  <c r="J144" i="72" s="1"/>
  <c r="I74" i="72"/>
  <c r="I144" i="72" s="1"/>
  <c r="H74" i="72"/>
  <c r="H144" i="72" s="1"/>
  <c r="G74" i="72"/>
  <c r="G144" i="72" s="1"/>
  <c r="F74" i="72"/>
  <c r="F144" i="72" s="1"/>
  <c r="K72" i="72"/>
  <c r="K71" i="72"/>
  <c r="K70" i="72"/>
  <c r="K69" i="72"/>
  <c r="K68" i="72"/>
  <c r="J64" i="72"/>
  <c r="J143" i="72" s="1"/>
  <c r="H64" i="72"/>
  <c r="H143" i="72" s="1"/>
  <c r="G64" i="72"/>
  <c r="G143" i="72" s="1"/>
  <c r="F64" i="72"/>
  <c r="F143" i="72" s="1"/>
  <c r="K62" i="72"/>
  <c r="K61" i="72"/>
  <c r="K60" i="72"/>
  <c r="K59" i="72"/>
  <c r="K58" i="72"/>
  <c r="I57" i="72"/>
  <c r="K57" i="72" s="1"/>
  <c r="I56" i="72"/>
  <c r="K56" i="72" s="1"/>
  <c r="I55" i="72"/>
  <c r="K55" i="72" s="1"/>
  <c r="I54" i="72"/>
  <c r="K54" i="72" s="1"/>
  <c r="I53" i="72"/>
  <c r="K53" i="72" s="1"/>
  <c r="J49" i="72"/>
  <c r="J142" i="72" s="1"/>
  <c r="H49" i="72"/>
  <c r="H142" i="72" s="1"/>
  <c r="G49" i="72"/>
  <c r="G142" i="72" s="1"/>
  <c r="F49" i="72"/>
  <c r="F142" i="72" s="1"/>
  <c r="K47" i="72"/>
  <c r="K46" i="72"/>
  <c r="I45" i="72"/>
  <c r="K45" i="72" s="1"/>
  <c r="I44" i="72"/>
  <c r="K44" i="72" s="1"/>
  <c r="K43" i="72"/>
  <c r="I42" i="72"/>
  <c r="K42" i="72" s="1"/>
  <c r="I41" i="72"/>
  <c r="K41" i="72" s="1"/>
  <c r="I40" i="72"/>
  <c r="J36" i="72"/>
  <c r="J141" i="72" s="1"/>
  <c r="H36" i="72"/>
  <c r="H141" i="72" s="1"/>
  <c r="G36" i="72"/>
  <c r="G141" i="72" s="1"/>
  <c r="F36" i="72"/>
  <c r="F141" i="72" s="1"/>
  <c r="I34" i="72"/>
  <c r="K34" i="72" s="1"/>
  <c r="I33" i="72"/>
  <c r="K33" i="72" s="1"/>
  <c r="I32" i="72"/>
  <c r="K32" i="72" s="1"/>
  <c r="I31" i="72"/>
  <c r="K31" i="72" s="1"/>
  <c r="I30" i="72"/>
  <c r="K30" i="72" s="1"/>
  <c r="I29" i="72"/>
  <c r="K29" i="72" s="1"/>
  <c r="I28" i="72"/>
  <c r="K28" i="72" s="1"/>
  <c r="I27" i="72"/>
  <c r="K27" i="72" s="1"/>
  <c r="I26" i="72"/>
  <c r="K26" i="72" s="1"/>
  <c r="I25" i="72"/>
  <c r="K25" i="72" s="1"/>
  <c r="I24" i="72"/>
  <c r="K24" i="72" s="1"/>
  <c r="I23" i="72"/>
  <c r="K23" i="72" s="1"/>
  <c r="I22" i="72"/>
  <c r="K22" i="72" s="1"/>
  <c r="I21" i="72"/>
  <c r="K21" i="72" s="1"/>
  <c r="K18" i="72"/>
  <c r="K150" i="72" s="1"/>
  <c r="I49" i="72" l="1"/>
  <c r="I142" i="72" s="1"/>
  <c r="K137" i="72"/>
  <c r="K149" i="72" s="1"/>
  <c r="G152" i="72"/>
  <c r="K64" i="72"/>
  <c r="K143" i="72" s="1"/>
  <c r="I36" i="72"/>
  <c r="I141" i="72" s="1"/>
  <c r="I82" i="72"/>
  <c r="I145" i="72" s="1"/>
  <c r="K36" i="72"/>
  <c r="K141" i="72" s="1"/>
  <c r="K74" i="72"/>
  <c r="K144" i="72" s="1"/>
  <c r="J152" i="72"/>
  <c r="H152" i="72"/>
  <c r="K98" i="72"/>
  <c r="K146" i="72" s="1"/>
  <c r="F152" i="72"/>
  <c r="K108" i="72"/>
  <c r="K147" i="72" s="1"/>
  <c r="K40" i="72"/>
  <c r="K49" i="72" s="1"/>
  <c r="K142" i="72" s="1"/>
  <c r="I108" i="72"/>
  <c r="I147" i="72" s="1"/>
  <c r="I64" i="72"/>
  <c r="I143" i="72" s="1"/>
  <c r="I98" i="72"/>
  <c r="I146" i="72" s="1"/>
  <c r="K77" i="72"/>
  <c r="K82" i="72" s="1"/>
  <c r="K145" i="72" s="1"/>
  <c r="K152" i="72" l="1"/>
  <c r="F154" i="72" s="1"/>
  <c r="I152" i="72"/>
  <c r="F155" i="72" l="1"/>
  <c r="J150" i="106"/>
  <c r="I150" i="106"/>
  <c r="H150" i="106"/>
  <c r="K148" i="106"/>
  <c r="J137" i="106"/>
  <c r="J149" i="106" s="1"/>
  <c r="I137" i="106"/>
  <c r="I149" i="106" s="1"/>
  <c r="H137" i="106"/>
  <c r="H149" i="106" s="1"/>
  <c r="G137" i="106"/>
  <c r="G149" i="106" s="1"/>
  <c r="F137" i="106"/>
  <c r="F149" i="106" s="1"/>
  <c r="K135" i="106"/>
  <c r="K134" i="106"/>
  <c r="K133" i="106"/>
  <c r="K132" i="106"/>
  <c r="K131" i="106"/>
  <c r="F119" i="106"/>
  <c r="J108" i="106"/>
  <c r="J147" i="106" s="1"/>
  <c r="H108" i="106"/>
  <c r="H147" i="106" s="1"/>
  <c r="G108" i="106"/>
  <c r="G147" i="106" s="1"/>
  <c r="F108" i="106"/>
  <c r="F147" i="106" s="1"/>
  <c r="I106" i="106"/>
  <c r="I105" i="106"/>
  <c r="K104" i="106"/>
  <c r="K103" i="106"/>
  <c r="K102" i="106"/>
  <c r="J98" i="106"/>
  <c r="J146" i="106" s="1"/>
  <c r="H98" i="106"/>
  <c r="H146" i="106" s="1"/>
  <c r="G98" i="106"/>
  <c r="G146" i="106" s="1"/>
  <c r="F98" i="106"/>
  <c r="F146" i="106" s="1"/>
  <c r="I96" i="106"/>
  <c r="I95" i="106"/>
  <c r="I94" i="106"/>
  <c r="I93" i="106"/>
  <c r="I92" i="106"/>
  <c r="I91" i="106"/>
  <c r="K91" i="106" s="1"/>
  <c r="I90" i="106"/>
  <c r="I89" i="106"/>
  <c r="I88" i="106"/>
  <c r="K87" i="106"/>
  <c r="I86" i="106"/>
  <c r="J82" i="106"/>
  <c r="J145" i="106" s="1"/>
  <c r="I82" i="106"/>
  <c r="I145" i="106" s="1"/>
  <c r="H82" i="106"/>
  <c r="H145" i="106" s="1"/>
  <c r="G82" i="106"/>
  <c r="G145" i="106" s="1"/>
  <c r="F82" i="106"/>
  <c r="F145" i="106" s="1"/>
  <c r="K80" i="106"/>
  <c r="K79" i="106"/>
  <c r="K78" i="106"/>
  <c r="K77" i="106"/>
  <c r="J74" i="106"/>
  <c r="J144" i="106" s="1"/>
  <c r="I74" i="106"/>
  <c r="I144" i="106" s="1"/>
  <c r="H74" i="106"/>
  <c r="H144" i="106" s="1"/>
  <c r="G74" i="106"/>
  <c r="G144" i="106" s="1"/>
  <c r="F74" i="106"/>
  <c r="F144" i="106" s="1"/>
  <c r="K72" i="106"/>
  <c r="K71" i="106"/>
  <c r="K70" i="106"/>
  <c r="K69" i="106"/>
  <c r="K68" i="106"/>
  <c r="J64" i="106"/>
  <c r="J143" i="106" s="1"/>
  <c r="I64" i="106"/>
  <c r="I143" i="106" s="1"/>
  <c r="H64" i="106"/>
  <c r="H143" i="106" s="1"/>
  <c r="G64" i="106"/>
  <c r="G143" i="106" s="1"/>
  <c r="F64" i="106"/>
  <c r="F143" i="106" s="1"/>
  <c r="K62" i="106"/>
  <c r="K61" i="106"/>
  <c r="K60" i="106"/>
  <c r="K59" i="106"/>
  <c r="K58" i="106"/>
  <c r="K57" i="106"/>
  <c r="K56" i="106"/>
  <c r="K55" i="106"/>
  <c r="K54" i="106"/>
  <c r="K53" i="106"/>
  <c r="J49" i="106"/>
  <c r="J142" i="106" s="1"/>
  <c r="I49" i="106"/>
  <c r="I142" i="106" s="1"/>
  <c r="H49" i="106"/>
  <c r="H142" i="106" s="1"/>
  <c r="G49" i="106"/>
  <c r="G142" i="106" s="1"/>
  <c r="F49" i="106"/>
  <c r="F142" i="106" s="1"/>
  <c r="K47" i="106"/>
  <c r="K46" i="106"/>
  <c r="K45" i="106"/>
  <c r="K44" i="106"/>
  <c r="K43" i="106"/>
  <c r="K42" i="106"/>
  <c r="K41" i="106"/>
  <c r="K40" i="106"/>
  <c r="J36" i="106"/>
  <c r="J141" i="106" s="1"/>
  <c r="H36" i="106"/>
  <c r="H141" i="106" s="1"/>
  <c r="G36" i="106"/>
  <c r="G141" i="106" s="1"/>
  <c r="F36" i="106"/>
  <c r="F141" i="106" s="1"/>
  <c r="I34" i="106"/>
  <c r="I33" i="106"/>
  <c r="K32" i="106"/>
  <c r="I31" i="106"/>
  <c r="K30" i="106"/>
  <c r="K29" i="106"/>
  <c r="I28" i="106"/>
  <c r="I27" i="106"/>
  <c r="I26" i="106"/>
  <c r="I25" i="106"/>
  <c r="K24" i="106"/>
  <c r="I23" i="106"/>
  <c r="K23" i="106" s="1"/>
  <c r="I22" i="106"/>
  <c r="K22" i="106" s="1"/>
  <c r="K21" i="106"/>
  <c r="K18" i="106"/>
  <c r="K105" i="106" l="1"/>
  <c r="K94" i="106"/>
  <c r="K96" i="106"/>
  <c r="K28" i="106"/>
  <c r="K150" i="106"/>
  <c r="K27" i="106"/>
  <c r="K33" i="106"/>
  <c r="K88" i="106"/>
  <c r="K92" i="106"/>
  <c r="K106" i="106"/>
  <c r="K93" i="106"/>
  <c r="K31" i="106"/>
  <c r="K82" i="106"/>
  <c r="K145" i="106" s="1"/>
  <c r="K86" i="106"/>
  <c r="K25" i="106"/>
  <c r="J152" i="106"/>
  <c r="K89" i="106"/>
  <c r="K137" i="106"/>
  <c r="K149" i="106" s="1"/>
  <c r="K74" i="106"/>
  <c r="K144" i="106" s="1"/>
  <c r="K95" i="106"/>
  <c r="I108" i="106"/>
  <c r="I147" i="106" s="1"/>
  <c r="I36" i="106"/>
  <c r="I141" i="106" s="1"/>
  <c r="K34" i="106"/>
  <c r="K26" i="106"/>
  <c r="K49" i="106"/>
  <c r="K142" i="106" s="1"/>
  <c r="K64" i="106"/>
  <c r="K143" i="106" s="1"/>
  <c r="K90" i="106"/>
  <c r="G152" i="106"/>
  <c r="F152" i="106"/>
  <c r="H152" i="106"/>
  <c r="I98" i="106"/>
  <c r="I146" i="106" s="1"/>
  <c r="I152" i="106" l="1"/>
  <c r="K98" i="106"/>
  <c r="K146" i="106" s="1"/>
  <c r="K36" i="106"/>
  <c r="K141" i="106" s="1"/>
  <c r="K108" i="106"/>
  <c r="K147" i="106" s="1"/>
  <c r="K152" i="106" l="1"/>
  <c r="J150" i="125"/>
  <c r="I150" i="125"/>
  <c r="H150" i="125"/>
  <c r="K148" i="125"/>
  <c r="J137" i="125"/>
  <c r="J149" i="125" s="1"/>
  <c r="I137" i="125"/>
  <c r="I149" i="125" s="1"/>
  <c r="H137" i="125"/>
  <c r="H149" i="125" s="1"/>
  <c r="G137" i="125"/>
  <c r="G149" i="125" s="1"/>
  <c r="F137" i="125"/>
  <c r="F149" i="125" s="1"/>
  <c r="K135" i="125"/>
  <c r="K134" i="125"/>
  <c r="K133" i="125"/>
  <c r="K132" i="125"/>
  <c r="K131" i="125"/>
  <c r="F119" i="125"/>
  <c r="J108" i="125"/>
  <c r="J147" i="125" s="1"/>
  <c r="I108" i="125"/>
  <c r="I147" i="125" s="1"/>
  <c r="H108" i="125"/>
  <c r="H147" i="125" s="1"/>
  <c r="G108" i="125"/>
  <c r="G147" i="125" s="1"/>
  <c r="F108" i="125"/>
  <c r="F147" i="125" s="1"/>
  <c r="K106" i="125"/>
  <c r="K105" i="125"/>
  <c r="K104" i="125"/>
  <c r="K103" i="125"/>
  <c r="K102" i="125"/>
  <c r="J98" i="125"/>
  <c r="J146" i="125" s="1"/>
  <c r="I98" i="125"/>
  <c r="I146" i="125" s="1"/>
  <c r="H98" i="125"/>
  <c r="H146" i="125" s="1"/>
  <c r="G98" i="125"/>
  <c r="G146" i="125" s="1"/>
  <c r="F98" i="125"/>
  <c r="F146" i="125" s="1"/>
  <c r="K96" i="125"/>
  <c r="K95" i="125"/>
  <c r="K94" i="125"/>
  <c r="K93" i="125"/>
  <c r="K92" i="125"/>
  <c r="K91" i="125"/>
  <c r="K90" i="125"/>
  <c r="K89" i="125"/>
  <c r="K88" i="125"/>
  <c r="K87" i="125"/>
  <c r="K86" i="125"/>
  <c r="J82" i="125"/>
  <c r="J145" i="125" s="1"/>
  <c r="I82" i="125"/>
  <c r="I145" i="125" s="1"/>
  <c r="H82" i="125"/>
  <c r="H145" i="125" s="1"/>
  <c r="G82" i="125"/>
  <c r="G145" i="125" s="1"/>
  <c r="F82" i="125"/>
  <c r="F145" i="125" s="1"/>
  <c r="K80" i="125"/>
  <c r="K79" i="125"/>
  <c r="K78" i="125"/>
  <c r="K77" i="125"/>
  <c r="J74" i="125"/>
  <c r="J144" i="125" s="1"/>
  <c r="I74" i="125"/>
  <c r="I144" i="125" s="1"/>
  <c r="H74" i="125"/>
  <c r="H144" i="125" s="1"/>
  <c r="G74" i="125"/>
  <c r="G144" i="125" s="1"/>
  <c r="F74" i="125"/>
  <c r="F144" i="125" s="1"/>
  <c r="K72" i="125"/>
  <c r="K71" i="125"/>
  <c r="K70" i="125"/>
  <c r="K69" i="125"/>
  <c r="K68" i="125"/>
  <c r="J64" i="125"/>
  <c r="J143" i="125" s="1"/>
  <c r="I64" i="125"/>
  <c r="I143" i="125" s="1"/>
  <c r="H64" i="125"/>
  <c r="H143" i="125" s="1"/>
  <c r="G64" i="125"/>
  <c r="G143" i="125" s="1"/>
  <c r="F64" i="125"/>
  <c r="F143" i="125" s="1"/>
  <c r="K62" i="125"/>
  <c r="K61" i="125"/>
  <c r="K60" i="125"/>
  <c r="K59" i="125"/>
  <c r="K58" i="125"/>
  <c r="K57" i="125"/>
  <c r="K56" i="125"/>
  <c r="K55" i="125"/>
  <c r="K54" i="125"/>
  <c r="K53" i="125"/>
  <c r="J49" i="125"/>
  <c r="J142" i="125" s="1"/>
  <c r="I49" i="125"/>
  <c r="I142" i="125" s="1"/>
  <c r="H49" i="125"/>
  <c r="H142" i="125" s="1"/>
  <c r="G49" i="125"/>
  <c r="G142" i="125" s="1"/>
  <c r="F49" i="125"/>
  <c r="F142" i="125" s="1"/>
  <c r="K47" i="125"/>
  <c r="K46" i="125"/>
  <c r="K45" i="125"/>
  <c r="K44" i="125"/>
  <c r="K43" i="125"/>
  <c r="K42" i="125"/>
  <c r="K41" i="125"/>
  <c r="K40" i="125"/>
  <c r="J36" i="125"/>
  <c r="J141" i="125" s="1"/>
  <c r="I36" i="125"/>
  <c r="I141" i="125" s="1"/>
  <c r="H36" i="125"/>
  <c r="H141" i="125" s="1"/>
  <c r="G36" i="125"/>
  <c r="G141" i="125" s="1"/>
  <c r="F36" i="125"/>
  <c r="F141" i="125" s="1"/>
  <c r="K34" i="125"/>
  <c r="K33" i="125"/>
  <c r="K32" i="125"/>
  <c r="K31" i="125"/>
  <c r="K30" i="125"/>
  <c r="K29" i="125"/>
  <c r="K28" i="125"/>
  <c r="K27" i="125"/>
  <c r="K26" i="125"/>
  <c r="K25" i="125"/>
  <c r="K24" i="125"/>
  <c r="K23" i="125"/>
  <c r="K22" i="125"/>
  <c r="K21" i="125"/>
  <c r="K18" i="125"/>
  <c r="K150" i="125" s="1"/>
  <c r="F155" i="106" l="1"/>
  <c r="F154" i="106"/>
  <c r="K64" i="125"/>
  <c r="K143" i="125" s="1"/>
  <c r="K74" i="125"/>
  <c r="K144" i="125" s="1"/>
  <c r="K137" i="125"/>
  <c r="K149" i="125" s="1"/>
  <c r="K36" i="125"/>
  <c r="K141" i="125" s="1"/>
  <c r="K49" i="125"/>
  <c r="K142" i="125" s="1"/>
  <c r="K82" i="125"/>
  <c r="K145" i="125" s="1"/>
  <c r="K98" i="125"/>
  <c r="K146" i="125" s="1"/>
  <c r="K108" i="125"/>
  <c r="K147" i="125" s="1"/>
  <c r="I152" i="125"/>
  <c r="J152" i="125"/>
  <c r="H152" i="125"/>
  <c r="G152" i="125"/>
  <c r="F152" i="125"/>
  <c r="K152" i="125" l="1"/>
  <c r="F155" i="125" s="1"/>
  <c r="F154" i="125" l="1"/>
  <c r="J150" i="103"/>
  <c r="I150" i="103"/>
  <c r="H150" i="103"/>
  <c r="K148" i="103"/>
  <c r="J137" i="103"/>
  <c r="J149" i="103" s="1"/>
  <c r="I137" i="103"/>
  <c r="I149" i="103" s="1"/>
  <c r="H137" i="103"/>
  <c r="H149" i="103" s="1"/>
  <c r="G137" i="103"/>
  <c r="G149" i="103" s="1"/>
  <c r="F137" i="103"/>
  <c r="F149" i="103" s="1"/>
  <c r="K135" i="103"/>
  <c r="K134" i="103"/>
  <c r="K133" i="103"/>
  <c r="K132" i="103"/>
  <c r="K131" i="103"/>
  <c r="F119" i="103"/>
  <c r="F123" i="103" s="1"/>
  <c r="F127" i="103" s="1"/>
  <c r="J108" i="103"/>
  <c r="J147" i="103" s="1"/>
  <c r="I108" i="103"/>
  <c r="I147" i="103" s="1"/>
  <c r="H108" i="103"/>
  <c r="H147" i="103" s="1"/>
  <c r="G108" i="103"/>
  <c r="G147" i="103" s="1"/>
  <c r="F108" i="103"/>
  <c r="F147" i="103" s="1"/>
  <c r="K106" i="103"/>
  <c r="K105" i="103"/>
  <c r="K104" i="103"/>
  <c r="K103" i="103"/>
  <c r="K102" i="103"/>
  <c r="J98" i="103"/>
  <c r="J146" i="103" s="1"/>
  <c r="I98" i="103"/>
  <c r="I146" i="103" s="1"/>
  <c r="H98" i="103"/>
  <c r="H146" i="103" s="1"/>
  <c r="G98" i="103"/>
  <c r="G146" i="103" s="1"/>
  <c r="F98" i="103"/>
  <c r="F146" i="103" s="1"/>
  <c r="K96" i="103"/>
  <c r="K95" i="103"/>
  <c r="K94" i="103"/>
  <c r="K93" i="103"/>
  <c r="K92" i="103"/>
  <c r="K91" i="103"/>
  <c r="K90" i="103"/>
  <c r="K89" i="103"/>
  <c r="K88" i="103"/>
  <c r="K87" i="103"/>
  <c r="K86" i="103"/>
  <c r="J82" i="103"/>
  <c r="J145" i="103" s="1"/>
  <c r="I82" i="103"/>
  <c r="I145" i="103" s="1"/>
  <c r="H82" i="103"/>
  <c r="H145" i="103" s="1"/>
  <c r="G82" i="103"/>
  <c r="G145" i="103" s="1"/>
  <c r="F82" i="103"/>
  <c r="F145" i="103" s="1"/>
  <c r="K80" i="103"/>
  <c r="K79" i="103"/>
  <c r="K78" i="103"/>
  <c r="K77" i="103"/>
  <c r="J74" i="103"/>
  <c r="J144" i="103" s="1"/>
  <c r="I74" i="103"/>
  <c r="I144" i="103" s="1"/>
  <c r="H74" i="103"/>
  <c r="H144" i="103" s="1"/>
  <c r="G74" i="103"/>
  <c r="G144" i="103" s="1"/>
  <c r="F74" i="103"/>
  <c r="F144" i="103" s="1"/>
  <c r="K72" i="103"/>
  <c r="K71" i="103"/>
  <c r="K70" i="103"/>
  <c r="K69" i="103"/>
  <c r="K68" i="103"/>
  <c r="J64" i="103"/>
  <c r="J143" i="103" s="1"/>
  <c r="I64" i="103"/>
  <c r="I143" i="103" s="1"/>
  <c r="H64" i="103"/>
  <c r="H143" i="103" s="1"/>
  <c r="G64" i="103"/>
  <c r="G143" i="103" s="1"/>
  <c r="F64" i="103"/>
  <c r="F143" i="103" s="1"/>
  <c r="K62" i="103"/>
  <c r="K61" i="103"/>
  <c r="K60" i="103"/>
  <c r="K59" i="103"/>
  <c r="K58" i="103"/>
  <c r="K57" i="103"/>
  <c r="K56" i="103"/>
  <c r="K55" i="103"/>
  <c r="K54" i="103"/>
  <c r="K53" i="103"/>
  <c r="J49" i="103"/>
  <c r="J142" i="103" s="1"/>
  <c r="I49" i="103"/>
  <c r="I142" i="103" s="1"/>
  <c r="H49" i="103"/>
  <c r="H142" i="103" s="1"/>
  <c r="G49" i="103"/>
  <c r="G142" i="103" s="1"/>
  <c r="F49" i="103"/>
  <c r="F142" i="103" s="1"/>
  <c r="K47" i="103"/>
  <c r="K46" i="103"/>
  <c r="K45" i="103"/>
  <c r="K44" i="103"/>
  <c r="K43" i="103"/>
  <c r="K42" i="103"/>
  <c r="K41" i="103"/>
  <c r="K40" i="103"/>
  <c r="J36" i="103"/>
  <c r="J141" i="103" s="1"/>
  <c r="I36" i="103"/>
  <c r="I141" i="103" s="1"/>
  <c r="H36" i="103"/>
  <c r="H141" i="103" s="1"/>
  <c r="G36" i="103"/>
  <c r="G141" i="103" s="1"/>
  <c r="F36" i="103"/>
  <c r="F141" i="103" s="1"/>
  <c r="K34" i="103"/>
  <c r="K33" i="103"/>
  <c r="K32" i="103"/>
  <c r="K31" i="103"/>
  <c r="K30" i="103"/>
  <c r="K29" i="103"/>
  <c r="K28" i="103"/>
  <c r="K27" i="103"/>
  <c r="K26" i="103"/>
  <c r="K25" i="103"/>
  <c r="K24" i="103"/>
  <c r="K23" i="103"/>
  <c r="K22" i="103"/>
  <c r="K21" i="103"/>
  <c r="K18" i="103"/>
  <c r="K150" i="103" s="1"/>
  <c r="K108" i="103" l="1"/>
  <c r="K147" i="103" s="1"/>
  <c r="K137" i="103"/>
  <c r="K149" i="103" s="1"/>
  <c r="G152" i="103"/>
  <c r="K36" i="103"/>
  <c r="K141" i="103" s="1"/>
  <c r="K64" i="103"/>
  <c r="K143" i="103" s="1"/>
  <c r="K74" i="103"/>
  <c r="K144" i="103" s="1"/>
  <c r="K98" i="103"/>
  <c r="K146" i="103" s="1"/>
  <c r="K82" i="103"/>
  <c r="K145" i="103" s="1"/>
  <c r="K49" i="103"/>
  <c r="K142" i="103" s="1"/>
  <c r="J152" i="103"/>
  <c r="H152" i="103"/>
  <c r="F152" i="103"/>
  <c r="I152" i="103"/>
  <c r="K152" i="103" l="1"/>
  <c r="F155" i="103" s="1"/>
  <c r="F154" i="103" l="1"/>
  <c r="J150" i="102"/>
  <c r="I150" i="102"/>
  <c r="H150" i="102"/>
  <c r="K148" i="102"/>
  <c r="J137" i="102"/>
  <c r="J149" i="102" s="1"/>
  <c r="I137" i="102"/>
  <c r="I149" i="102" s="1"/>
  <c r="H137" i="102"/>
  <c r="H149" i="102" s="1"/>
  <c r="G137" i="102"/>
  <c r="G149" i="102" s="1"/>
  <c r="F137" i="102"/>
  <c r="F149" i="102" s="1"/>
  <c r="K135" i="102"/>
  <c r="K134" i="102"/>
  <c r="K133" i="102"/>
  <c r="K132" i="102"/>
  <c r="K131" i="102"/>
  <c r="F119" i="102"/>
  <c r="F123" i="102" s="1"/>
  <c r="F127" i="102" s="1"/>
  <c r="F114" i="102"/>
  <c r="I87" i="102" s="1"/>
  <c r="K87" i="102" s="1"/>
  <c r="J108" i="102"/>
  <c r="J147" i="102" s="1"/>
  <c r="G108" i="102"/>
  <c r="G147" i="102" s="1"/>
  <c r="F108" i="102"/>
  <c r="F147" i="102" s="1"/>
  <c r="H102" i="102"/>
  <c r="H108" i="102" s="1"/>
  <c r="H147" i="102" s="1"/>
  <c r="J98" i="102"/>
  <c r="J146" i="102" s="1"/>
  <c r="H98" i="102"/>
  <c r="H146" i="102" s="1"/>
  <c r="G98" i="102"/>
  <c r="G146" i="102" s="1"/>
  <c r="F98" i="102"/>
  <c r="F146" i="102" s="1"/>
  <c r="J82" i="102"/>
  <c r="J145" i="102" s="1"/>
  <c r="I82" i="102"/>
  <c r="I145" i="102" s="1"/>
  <c r="H82" i="102"/>
  <c r="H145" i="102" s="1"/>
  <c r="G82" i="102"/>
  <c r="G145" i="102" s="1"/>
  <c r="F82" i="102"/>
  <c r="F145" i="102" s="1"/>
  <c r="K80" i="102"/>
  <c r="K79" i="102"/>
  <c r="K78" i="102"/>
  <c r="K77" i="102"/>
  <c r="J74" i="102"/>
  <c r="J144" i="102" s="1"/>
  <c r="I74" i="102"/>
  <c r="I144" i="102" s="1"/>
  <c r="H74" i="102"/>
  <c r="H144" i="102" s="1"/>
  <c r="G74" i="102"/>
  <c r="G144" i="102" s="1"/>
  <c r="F74" i="102"/>
  <c r="F144" i="102" s="1"/>
  <c r="K72" i="102"/>
  <c r="K71" i="102"/>
  <c r="K70" i="102"/>
  <c r="K69" i="102"/>
  <c r="K68" i="102"/>
  <c r="J64" i="102"/>
  <c r="J143" i="102" s="1"/>
  <c r="I64" i="102"/>
  <c r="I143" i="102" s="1"/>
  <c r="H64" i="102"/>
  <c r="H143" i="102" s="1"/>
  <c r="G64" i="102"/>
  <c r="G143" i="102" s="1"/>
  <c r="F64" i="102"/>
  <c r="F143" i="102" s="1"/>
  <c r="K62" i="102"/>
  <c r="K61" i="102"/>
  <c r="K60" i="102"/>
  <c r="K59" i="102"/>
  <c r="K58" i="102"/>
  <c r="K57" i="102"/>
  <c r="K56" i="102"/>
  <c r="K55" i="102"/>
  <c r="K54" i="102"/>
  <c r="K53" i="102"/>
  <c r="J49" i="102"/>
  <c r="J142" i="102" s="1"/>
  <c r="I49" i="102"/>
  <c r="I142" i="102" s="1"/>
  <c r="H49" i="102"/>
  <c r="H142" i="102" s="1"/>
  <c r="G49" i="102"/>
  <c r="G142" i="102" s="1"/>
  <c r="F49" i="102"/>
  <c r="F142" i="102" s="1"/>
  <c r="K47" i="102"/>
  <c r="K46" i="102"/>
  <c r="K45" i="102"/>
  <c r="K44" i="102"/>
  <c r="K43" i="102"/>
  <c r="K42" i="102"/>
  <c r="K41" i="102"/>
  <c r="K40" i="102"/>
  <c r="J36" i="102"/>
  <c r="J141" i="102" s="1"/>
  <c r="H36" i="102"/>
  <c r="H141" i="102" s="1"/>
  <c r="G36" i="102"/>
  <c r="G141" i="102" s="1"/>
  <c r="F36" i="102"/>
  <c r="F141" i="102" s="1"/>
  <c r="K18" i="102"/>
  <c r="K150" i="102" s="1"/>
  <c r="I26" i="102" l="1"/>
  <c r="K26" i="102" s="1"/>
  <c r="I102" i="102"/>
  <c r="K102" i="102" s="1"/>
  <c r="I34" i="102"/>
  <c r="K34" i="102" s="1"/>
  <c r="I30" i="102"/>
  <c r="K30" i="102" s="1"/>
  <c r="K49" i="102"/>
  <c r="K142" i="102" s="1"/>
  <c r="K74" i="102"/>
  <c r="K144" i="102" s="1"/>
  <c r="K137" i="102"/>
  <c r="K149" i="102" s="1"/>
  <c r="I22" i="102"/>
  <c r="K22" i="102" s="1"/>
  <c r="K82" i="102"/>
  <c r="K145" i="102" s="1"/>
  <c r="K64" i="102"/>
  <c r="K143" i="102" s="1"/>
  <c r="I106" i="102"/>
  <c r="K106" i="102" s="1"/>
  <c r="J152" i="102"/>
  <c r="G152" i="102"/>
  <c r="H152" i="102"/>
  <c r="F152" i="102"/>
  <c r="I88" i="102"/>
  <c r="K88" i="102" s="1"/>
  <c r="I25" i="102"/>
  <c r="K25" i="102" s="1"/>
  <c r="I29" i="102"/>
  <c r="K29" i="102" s="1"/>
  <c r="I105" i="102"/>
  <c r="K105" i="102" s="1"/>
  <c r="I91" i="102"/>
  <c r="K91" i="102" s="1"/>
  <c r="I95" i="102"/>
  <c r="K95" i="102" s="1"/>
  <c r="I24" i="102"/>
  <c r="K24" i="102" s="1"/>
  <c r="I28" i="102"/>
  <c r="K28" i="102" s="1"/>
  <c r="I32" i="102"/>
  <c r="K32" i="102" s="1"/>
  <c r="I104" i="102"/>
  <c r="K104" i="102" s="1"/>
  <c r="I86" i="102"/>
  <c r="I90" i="102"/>
  <c r="K90" i="102" s="1"/>
  <c r="I94" i="102"/>
  <c r="K94" i="102" s="1"/>
  <c r="I92" i="102"/>
  <c r="K92" i="102" s="1"/>
  <c r="I23" i="102"/>
  <c r="K23" i="102" s="1"/>
  <c r="I27" i="102"/>
  <c r="K27" i="102" s="1"/>
  <c r="I31" i="102"/>
  <c r="K31" i="102" s="1"/>
  <c r="I103" i="102"/>
  <c r="K103" i="102" s="1"/>
  <c r="I89" i="102"/>
  <c r="K89" i="102" s="1"/>
  <c r="I93" i="102"/>
  <c r="K93" i="102" s="1"/>
  <c r="I96" i="102"/>
  <c r="K96" i="102" s="1"/>
  <c r="I21" i="102"/>
  <c r="I33" i="102"/>
  <c r="K33" i="102" s="1"/>
  <c r="K108" i="102" l="1"/>
  <c r="K147" i="102" s="1"/>
  <c r="I108" i="102"/>
  <c r="I147" i="102" s="1"/>
  <c r="I36" i="102"/>
  <c r="I141" i="102" s="1"/>
  <c r="K21" i="102"/>
  <c r="K36" i="102" s="1"/>
  <c r="K141" i="102" s="1"/>
  <c r="I98" i="102"/>
  <c r="I146" i="102" s="1"/>
  <c r="K86" i="102"/>
  <c r="K98" i="102" s="1"/>
  <c r="K146" i="102" s="1"/>
  <c r="K152" i="102" l="1"/>
  <c r="F155" i="102" s="1"/>
  <c r="I152" i="102"/>
  <c r="F154" i="102" l="1"/>
  <c r="J150" i="104"/>
  <c r="I150" i="104"/>
  <c r="H150" i="104"/>
  <c r="K148" i="104"/>
  <c r="J137" i="104"/>
  <c r="J149" i="104" s="1"/>
  <c r="I137" i="104"/>
  <c r="I149" i="104" s="1"/>
  <c r="H137" i="104"/>
  <c r="H149" i="104" s="1"/>
  <c r="G137" i="104"/>
  <c r="G149" i="104" s="1"/>
  <c r="F137" i="104"/>
  <c r="F149" i="104" s="1"/>
  <c r="K135" i="104"/>
  <c r="K134" i="104"/>
  <c r="K133" i="104"/>
  <c r="K132" i="104"/>
  <c r="K131" i="104"/>
  <c r="F121" i="104"/>
  <c r="F117" i="104"/>
  <c r="F119" i="104" s="1"/>
  <c r="J108" i="104"/>
  <c r="J147" i="104" s="1"/>
  <c r="H108" i="104"/>
  <c r="H147" i="104" s="1"/>
  <c r="G108" i="104"/>
  <c r="G147" i="104" s="1"/>
  <c r="F108" i="104"/>
  <c r="F147" i="104" s="1"/>
  <c r="I106" i="104"/>
  <c r="K106" i="104" s="1"/>
  <c r="I105" i="104"/>
  <c r="K105" i="104" s="1"/>
  <c r="I104" i="104"/>
  <c r="K104" i="104" s="1"/>
  <c r="I103" i="104"/>
  <c r="K103" i="104" s="1"/>
  <c r="I102" i="104"/>
  <c r="K102" i="104" s="1"/>
  <c r="J98" i="104"/>
  <c r="J146" i="104" s="1"/>
  <c r="H98" i="104"/>
  <c r="H146" i="104" s="1"/>
  <c r="G98" i="104"/>
  <c r="G146" i="104" s="1"/>
  <c r="F98" i="104"/>
  <c r="F146" i="104" s="1"/>
  <c r="I96" i="104"/>
  <c r="K96" i="104" s="1"/>
  <c r="I95" i="104"/>
  <c r="K95" i="104" s="1"/>
  <c r="I94" i="104"/>
  <c r="K94" i="104" s="1"/>
  <c r="I93" i="104"/>
  <c r="K93" i="104" s="1"/>
  <c r="I92" i="104"/>
  <c r="K92" i="104" s="1"/>
  <c r="I91" i="104"/>
  <c r="K91" i="104" s="1"/>
  <c r="I90" i="104"/>
  <c r="K90" i="104" s="1"/>
  <c r="I89" i="104"/>
  <c r="K89" i="104" s="1"/>
  <c r="I88" i="104"/>
  <c r="K88" i="104" s="1"/>
  <c r="I87" i="104"/>
  <c r="K87" i="104" s="1"/>
  <c r="I86" i="104"/>
  <c r="K86" i="104" s="1"/>
  <c r="J82" i="104"/>
  <c r="J145" i="104" s="1"/>
  <c r="I82" i="104"/>
  <c r="I145" i="104" s="1"/>
  <c r="H82" i="104"/>
  <c r="H145" i="104" s="1"/>
  <c r="G82" i="104"/>
  <c r="G145" i="104" s="1"/>
  <c r="F82" i="104"/>
  <c r="F145" i="104" s="1"/>
  <c r="K80" i="104"/>
  <c r="K79" i="104"/>
  <c r="K78" i="104"/>
  <c r="K77" i="104"/>
  <c r="J74" i="104"/>
  <c r="J144" i="104" s="1"/>
  <c r="I74" i="104"/>
  <c r="I144" i="104" s="1"/>
  <c r="H74" i="104"/>
  <c r="H144" i="104" s="1"/>
  <c r="G74" i="104"/>
  <c r="G144" i="104" s="1"/>
  <c r="F74" i="104"/>
  <c r="F144" i="104" s="1"/>
  <c r="K72" i="104"/>
  <c r="K71" i="104"/>
  <c r="K70" i="104"/>
  <c r="K69" i="104"/>
  <c r="K68" i="104"/>
  <c r="J64" i="104"/>
  <c r="J143" i="104" s="1"/>
  <c r="G64" i="104"/>
  <c r="G143" i="104" s="1"/>
  <c r="F64" i="104"/>
  <c r="F143" i="104" s="1"/>
  <c r="I62" i="104"/>
  <c r="K62" i="104" s="1"/>
  <c r="I61" i="104"/>
  <c r="K61" i="104" s="1"/>
  <c r="I60" i="104"/>
  <c r="K60" i="104" s="1"/>
  <c r="I59" i="104"/>
  <c r="K59" i="104" s="1"/>
  <c r="I58" i="104"/>
  <c r="K58" i="104" s="1"/>
  <c r="I57" i="104"/>
  <c r="K57" i="104" s="1"/>
  <c r="I56" i="104"/>
  <c r="K56" i="104" s="1"/>
  <c r="I55" i="104"/>
  <c r="K55" i="104" s="1"/>
  <c r="I54" i="104"/>
  <c r="K54" i="104" s="1"/>
  <c r="H53" i="104"/>
  <c r="H64" i="104" s="1"/>
  <c r="H143" i="104" s="1"/>
  <c r="J49" i="104"/>
  <c r="J142" i="104" s="1"/>
  <c r="G49" i="104"/>
  <c r="G142" i="104" s="1"/>
  <c r="F49" i="104"/>
  <c r="F142" i="104" s="1"/>
  <c r="I47" i="104"/>
  <c r="K47" i="104" s="1"/>
  <c r="I46" i="104"/>
  <c r="K46" i="104" s="1"/>
  <c r="I45" i="104"/>
  <c r="K45" i="104" s="1"/>
  <c r="I44" i="104"/>
  <c r="K44" i="104" s="1"/>
  <c r="I43" i="104"/>
  <c r="K43" i="104" s="1"/>
  <c r="H42" i="104"/>
  <c r="H49" i="104" s="1"/>
  <c r="H142" i="104" s="1"/>
  <c r="I41" i="104"/>
  <c r="K41" i="104" s="1"/>
  <c r="I40" i="104"/>
  <c r="K40" i="104" s="1"/>
  <c r="J36" i="104"/>
  <c r="J141" i="104" s="1"/>
  <c r="H36" i="104"/>
  <c r="H141" i="104" s="1"/>
  <c r="G36" i="104"/>
  <c r="G141" i="104" s="1"/>
  <c r="F36" i="104"/>
  <c r="F141" i="104" s="1"/>
  <c r="I34" i="104"/>
  <c r="K34" i="104" s="1"/>
  <c r="I33" i="104"/>
  <c r="K33" i="104" s="1"/>
  <c r="I32" i="104"/>
  <c r="K32" i="104" s="1"/>
  <c r="I31" i="104"/>
  <c r="K31" i="104" s="1"/>
  <c r="I30" i="104"/>
  <c r="K30" i="104" s="1"/>
  <c r="I29" i="104"/>
  <c r="K29" i="104" s="1"/>
  <c r="I28" i="104"/>
  <c r="K28" i="104" s="1"/>
  <c r="I27" i="104"/>
  <c r="K27" i="104" s="1"/>
  <c r="I26" i="104"/>
  <c r="K26" i="104" s="1"/>
  <c r="I25" i="104"/>
  <c r="K25" i="104" s="1"/>
  <c r="I24" i="104"/>
  <c r="K24" i="104" s="1"/>
  <c r="K23" i="104"/>
  <c r="I23" i="104"/>
  <c r="I22" i="104"/>
  <c r="K22" i="104" s="1"/>
  <c r="I21" i="104"/>
  <c r="K18" i="104"/>
  <c r="K150" i="104" s="1"/>
  <c r="F123" i="104" l="1"/>
  <c r="F127" i="104" s="1"/>
  <c r="I42" i="104"/>
  <c r="I49" i="104" s="1"/>
  <c r="I142" i="104" s="1"/>
  <c r="I53" i="104"/>
  <c r="I64" i="104" s="1"/>
  <c r="I143" i="104" s="1"/>
  <c r="I98" i="104"/>
  <c r="I146" i="104" s="1"/>
  <c r="I108" i="104"/>
  <c r="I147" i="104" s="1"/>
  <c r="H152" i="104"/>
  <c r="K108" i="104"/>
  <c r="K147" i="104" s="1"/>
  <c r="K98" i="104"/>
  <c r="K146" i="104" s="1"/>
  <c r="J152" i="104"/>
  <c r="K82" i="104"/>
  <c r="K145" i="104" s="1"/>
  <c r="I36" i="104"/>
  <c r="I141" i="104" s="1"/>
  <c r="K137" i="104"/>
  <c r="K149" i="104" s="1"/>
  <c r="K74" i="104"/>
  <c r="K144" i="104" s="1"/>
  <c r="G152" i="104"/>
  <c r="F152" i="104"/>
  <c r="K21" i="104"/>
  <c r="K36" i="104" s="1"/>
  <c r="K141" i="104" s="1"/>
  <c r="K42" i="104" l="1"/>
  <c r="K49" i="104" s="1"/>
  <c r="K142" i="104" s="1"/>
  <c r="K53" i="104"/>
  <c r="K64" i="104" s="1"/>
  <c r="K143" i="104" s="1"/>
  <c r="I152" i="104"/>
  <c r="K152" i="104" l="1"/>
  <c r="F155" i="104" s="1"/>
  <c r="J150" i="101"/>
  <c r="I150" i="101"/>
  <c r="H150" i="101"/>
  <c r="K148" i="101"/>
  <c r="J137" i="101"/>
  <c r="J149" i="101" s="1"/>
  <c r="I137" i="101"/>
  <c r="I149" i="101" s="1"/>
  <c r="H137" i="101"/>
  <c r="H149" i="101" s="1"/>
  <c r="G137" i="101"/>
  <c r="G149" i="101" s="1"/>
  <c r="F137" i="101"/>
  <c r="F149" i="101" s="1"/>
  <c r="K135" i="101"/>
  <c r="K134" i="101"/>
  <c r="K133" i="101"/>
  <c r="K132" i="101"/>
  <c r="K131" i="101"/>
  <c r="F119" i="101"/>
  <c r="J108" i="101"/>
  <c r="J147" i="101" s="1"/>
  <c r="H108" i="101"/>
  <c r="H147" i="101" s="1"/>
  <c r="G108" i="101"/>
  <c r="G147" i="101" s="1"/>
  <c r="F108" i="101"/>
  <c r="F147" i="101" s="1"/>
  <c r="I106" i="101"/>
  <c r="K106" i="101" s="1"/>
  <c r="I105" i="101"/>
  <c r="I104" i="101"/>
  <c r="K104" i="101" s="1"/>
  <c r="I103" i="101"/>
  <c r="K103" i="101" s="1"/>
  <c r="I102" i="101"/>
  <c r="K102" i="101" s="1"/>
  <c r="J98" i="101"/>
  <c r="J146" i="101" s="1"/>
  <c r="H98" i="101"/>
  <c r="H146" i="101" s="1"/>
  <c r="G98" i="101"/>
  <c r="G146" i="101" s="1"/>
  <c r="F98" i="101"/>
  <c r="F146" i="101" s="1"/>
  <c r="I96" i="101"/>
  <c r="K96" i="101" s="1"/>
  <c r="I95" i="101"/>
  <c r="K95" i="101" s="1"/>
  <c r="I94" i="101"/>
  <c r="K94" i="101" s="1"/>
  <c r="I93" i="101"/>
  <c r="K93" i="101" s="1"/>
  <c r="I92" i="101"/>
  <c r="K92" i="101" s="1"/>
  <c r="I91" i="101"/>
  <c r="K91" i="101" s="1"/>
  <c r="I90" i="101"/>
  <c r="K90" i="101" s="1"/>
  <c r="I89" i="101"/>
  <c r="K89" i="101" s="1"/>
  <c r="I88" i="101"/>
  <c r="K88" i="101" s="1"/>
  <c r="I87" i="101"/>
  <c r="K87" i="101" s="1"/>
  <c r="I86" i="101"/>
  <c r="K86" i="101" s="1"/>
  <c r="J82" i="101"/>
  <c r="J145" i="101" s="1"/>
  <c r="I82" i="101"/>
  <c r="I145" i="101" s="1"/>
  <c r="H82" i="101"/>
  <c r="H145" i="101" s="1"/>
  <c r="G82" i="101"/>
  <c r="G145" i="101" s="1"/>
  <c r="F82" i="101"/>
  <c r="F145" i="101" s="1"/>
  <c r="K80" i="101"/>
  <c r="K79" i="101"/>
  <c r="K78" i="101"/>
  <c r="K77" i="101"/>
  <c r="J74" i="101"/>
  <c r="J144" i="101" s="1"/>
  <c r="I74" i="101"/>
  <c r="I144" i="101" s="1"/>
  <c r="H74" i="101"/>
  <c r="H144" i="101" s="1"/>
  <c r="G74" i="101"/>
  <c r="G144" i="101" s="1"/>
  <c r="F74" i="101"/>
  <c r="F144" i="101" s="1"/>
  <c r="K72" i="101"/>
  <c r="K71" i="101"/>
  <c r="K70" i="101"/>
  <c r="K69" i="101"/>
  <c r="K68" i="101"/>
  <c r="J64" i="101"/>
  <c r="J143" i="101" s="1"/>
  <c r="I64" i="101"/>
  <c r="I143" i="101" s="1"/>
  <c r="H64" i="101"/>
  <c r="H143" i="101" s="1"/>
  <c r="G64" i="101"/>
  <c r="G143" i="101" s="1"/>
  <c r="F64" i="101"/>
  <c r="F143" i="101" s="1"/>
  <c r="K62" i="101"/>
  <c r="K61" i="101"/>
  <c r="K60" i="101"/>
  <c r="K59" i="101"/>
  <c r="K58" i="101"/>
  <c r="K57" i="101"/>
  <c r="K56" i="101"/>
  <c r="K55" i="101"/>
  <c r="K54" i="101"/>
  <c r="K53" i="101"/>
  <c r="J49" i="101"/>
  <c r="J142" i="101" s="1"/>
  <c r="I49" i="101"/>
  <c r="I142" i="101" s="1"/>
  <c r="H49" i="101"/>
  <c r="H142" i="101" s="1"/>
  <c r="G49" i="101"/>
  <c r="G142" i="101" s="1"/>
  <c r="F49" i="101"/>
  <c r="F142" i="101" s="1"/>
  <c r="K47" i="101"/>
  <c r="K46" i="101"/>
  <c r="K45" i="101"/>
  <c r="K44" i="101"/>
  <c r="K43" i="101"/>
  <c r="K42" i="101"/>
  <c r="K41" i="101"/>
  <c r="K40" i="101"/>
  <c r="J36" i="101"/>
  <c r="J141" i="101" s="1"/>
  <c r="H36" i="101"/>
  <c r="H141" i="101" s="1"/>
  <c r="G36" i="101"/>
  <c r="G141" i="101" s="1"/>
  <c r="F36" i="101"/>
  <c r="F141" i="101" s="1"/>
  <c r="I34" i="101"/>
  <c r="K34" i="101" s="1"/>
  <c r="I33" i="101"/>
  <c r="K33" i="101" s="1"/>
  <c r="I32" i="101"/>
  <c r="K32" i="101" s="1"/>
  <c r="I31" i="101"/>
  <c r="K31" i="101" s="1"/>
  <c r="I30" i="101"/>
  <c r="K30" i="101" s="1"/>
  <c r="I29" i="101"/>
  <c r="K29" i="101" s="1"/>
  <c r="I28" i="101"/>
  <c r="K28" i="101" s="1"/>
  <c r="I27" i="101"/>
  <c r="K27" i="101" s="1"/>
  <c r="I26" i="101"/>
  <c r="K26" i="101" s="1"/>
  <c r="I25" i="101"/>
  <c r="I24" i="101"/>
  <c r="K24" i="101" s="1"/>
  <c r="I23" i="101"/>
  <c r="K23" i="101" s="1"/>
  <c r="K22" i="101"/>
  <c r="I22" i="101"/>
  <c r="K21" i="101"/>
  <c r="K18" i="101"/>
  <c r="K150" i="101" s="1"/>
  <c r="F154" i="104" l="1"/>
  <c r="I108" i="101"/>
  <c r="I147" i="101" s="1"/>
  <c r="K98" i="101"/>
  <c r="K146" i="101" s="1"/>
  <c r="K74" i="101"/>
  <c r="K144" i="101" s="1"/>
  <c r="I36" i="101"/>
  <c r="I141" i="101" s="1"/>
  <c r="K137" i="101"/>
  <c r="K149" i="101" s="1"/>
  <c r="K49" i="101"/>
  <c r="K142" i="101" s="1"/>
  <c r="K64" i="101"/>
  <c r="K143" i="101" s="1"/>
  <c r="I98" i="101"/>
  <c r="I146" i="101" s="1"/>
  <c r="K82" i="101"/>
  <c r="K145" i="101" s="1"/>
  <c r="K105" i="101"/>
  <c r="K108" i="101" s="1"/>
  <c r="K147" i="101" s="1"/>
  <c r="G152" i="101"/>
  <c r="J152" i="101"/>
  <c r="H152" i="101"/>
  <c r="F152" i="101"/>
  <c r="K25" i="101"/>
  <c r="K36" i="101" s="1"/>
  <c r="K141" i="101" s="1"/>
  <c r="I152" i="101" l="1"/>
  <c r="K152" i="101"/>
  <c r="F154" i="101" s="1"/>
  <c r="F155" i="101" l="1"/>
  <c r="J150" i="111"/>
  <c r="I150" i="111"/>
  <c r="H150" i="111"/>
  <c r="J137" i="111"/>
  <c r="J149" i="111" s="1"/>
  <c r="I137" i="111"/>
  <c r="I149" i="111" s="1"/>
  <c r="H137" i="111"/>
  <c r="H149" i="111" s="1"/>
  <c r="G137" i="111"/>
  <c r="G149" i="111" s="1"/>
  <c r="F137" i="111"/>
  <c r="F149" i="111" s="1"/>
  <c r="K135" i="111"/>
  <c r="K134" i="111"/>
  <c r="K133" i="111"/>
  <c r="K132" i="111"/>
  <c r="K131" i="111"/>
  <c r="F125" i="111"/>
  <c r="F121" i="111"/>
  <c r="F118" i="111"/>
  <c r="F117" i="111"/>
  <c r="F114" i="111"/>
  <c r="I102" i="111" s="1"/>
  <c r="K102" i="111" s="1"/>
  <c r="F111" i="111"/>
  <c r="K148" i="111" s="1"/>
  <c r="J108" i="111"/>
  <c r="J147" i="111" s="1"/>
  <c r="H108" i="111"/>
  <c r="H147" i="111" s="1"/>
  <c r="G108" i="111"/>
  <c r="G147" i="111" s="1"/>
  <c r="F108" i="111"/>
  <c r="F147" i="111" s="1"/>
  <c r="J98" i="111"/>
  <c r="J146" i="111" s="1"/>
  <c r="H98" i="111"/>
  <c r="H146" i="111" s="1"/>
  <c r="G98" i="111"/>
  <c r="G146" i="111" s="1"/>
  <c r="F98" i="111"/>
  <c r="F146" i="111" s="1"/>
  <c r="J82" i="111"/>
  <c r="J145" i="111" s="1"/>
  <c r="I82" i="111"/>
  <c r="I145" i="111" s="1"/>
  <c r="H82" i="111"/>
  <c r="H145" i="111" s="1"/>
  <c r="G82" i="111"/>
  <c r="G145" i="111" s="1"/>
  <c r="F82" i="111"/>
  <c r="F145" i="111" s="1"/>
  <c r="K80" i="111"/>
  <c r="K79" i="111"/>
  <c r="K78" i="111"/>
  <c r="K77" i="111"/>
  <c r="J74" i="111"/>
  <c r="J144" i="111" s="1"/>
  <c r="I74" i="111"/>
  <c r="I144" i="111" s="1"/>
  <c r="H74" i="111"/>
  <c r="H144" i="111" s="1"/>
  <c r="G74" i="111"/>
  <c r="G144" i="111" s="1"/>
  <c r="F74" i="111"/>
  <c r="F144" i="111" s="1"/>
  <c r="K72" i="111"/>
  <c r="K71" i="111"/>
  <c r="K70" i="111"/>
  <c r="K69" i="111"/>
  <c r="K68" i="111"/>
  <c r="I64" i="111"/>
  <c r="I143" i="111" s="1"/>
  <c r="G64" i="111"/>
  <c r="G143" i="111" s="1"/>
  <c r="F64" i="111"/>
  <c r="F143" i="111" s="1"/>
  <c r="H62" i="111"/>
  <c r="K62" i="111" s="1"/>
  <c r="K61" i="111"/>
  <c r="K60" i="111"/>
  <c r="H59" i="111"/>
  <c r="K59" i="111" s="1"/>
  <c r="J58" i="111"/>
  <c r="H58" i="111"/>
  <c r="H57" i="111"/>
  <c r="K57" i="111" s="1"/>
  <c r="K56" i="111"/>
  <c r="J55" i="111"/>
  <c r="H55" i="111"/>
  <c r="J54" i="111"/>
  <c r="H54" i="111"/>
  <c r="H53" i="111"/>
  <c r="K53" i="111" s="1"/>
  <c r="J49" i="111"/>
  <c r="J142" i="111" s="1"/>
  <c r="I49" i="111"/>
  <c r="I142" i="111" s="1"/>
  <c r="H49" i="111"/>
  <c r="H142" i="111" s="1"/>
  <c r="G49" i="111"/>
  <c r="G142" i="111" s="1"/>
  <c r="F49" i="111"/>
  <c r="F142" i="111" s="1"/>
  <c r="K47" i="111"/>
  <c r="K46" i="111"/>
  <c r="K45" i="111"/>
  <c r="K44" i="111"/>
  <c r="K43" i="111"/>
  <c r="K42" i="111"/>
  <c r="K41" i="111"/>
  <c r="K40" i="111"/>
  <c r="J36" i="111"/>
  <c r="J141" i="111" s="1"/>
  <c r="G36" i="111"/>
  <c r="G141" i="111" s="1"/>
  <c r="F36" i="111"/>
  <c r="F141" i="111" s="1"/>
  <c r="H29" i="111"/>
  <c r="H36" i="111" s="1"/>
  <c r="H141" i="111" s="1"/>
  <c r="K18" i="111"/>
  <c r="K150" i="111" s="1"/>
  <c r="F119" i="111" l="1"/>
  <c r="F123" i="111" s="1"/>
  <c r="F127" i="111" s="1"/>
  <c r="I32" i="111"/>
  <c r="K32" i="111" s="1"/>
  <c r="I30" i="111"/>
  <c r="K30" i="111" s="1"/>
  <c r="I24" i="111"/>
  <c r="K24" i="111" s="1"/>
  <c r="I91" i="111"/>
  <c r="K91" i="111" s="1"/>
  <c r="I22" i="111"/>
  <c r="K22" i="111" s="1"/>
  <c r="I89" i="111"/>
  <c r="K89" i="111" s="1"/>
  <c r="I104" i="111"/>
  <c r="K104" i="111" s="1"/>
  <c r="I31" i="111"/>
  <c r="K31" i="111" s="1"/>
  <c r="I87" i="111"/>
  <c r="K87" i="111" s="1"/>
  <c r="I86" i="111"/>
  <c r="K86" i="111" s="1"/>
  <c r="I26" i="111"/>
  <c r="K26" i="111" s="1"/>
  <c r="I93" i="111"/>
  <c r="K93" i="111" s="1"/>
  <c r="I25" i="111"/>
  <c r="K25" i="111" s="1"/>
  <c r="I34" i="111"/>
  <c r="K34" i="111" s="1"/>
  <c r="I92" i="111"/>
  <c r="K92" i="111" s="1"/>
  <c r="I106" i="111"/>
  <c r="K106" i="111" s="1"/>
  <c r="I23" i="111"/>
  <c r="K23" i="111" s="1"/>
  <c r="I29" i="111"/>
  <c r="K29" i="111" s="1"/>
  <c r="I90" i="111"/>
  <c r="K90" i="111" s="1"/>
  <c r="I96" i="111"/>
  <c r="K96" i="111" s="1"/>
  <c r="I105" i="111"/>
  <c r="K105" i="111" s="1"/>
  <c r="I28" i="111"/>
  <c r="K28" i="111" s="1"/>
  <c r="I88" i="111"/>
  <c r="K88" i="111" s="1"/>
  <c r="I95" i="111"/>
  <c r="K95" i="111" s="1"/>
  <c r="I103" i="111"/>
  <c r="K103" i="111" s="1"/>
  <c r="J64" i="111"/>
  <c r="J143" i="111" s="1"/>
  <c r="J152" i="111" s="1"/>
  <c r="I21" i="111"/>
  <c r="K21" i="111" s="1"/>
  <c r="I27" i="111"/>
  <c r="K27" i="111" s="1"/>
  <c r="I33" i="111"/>
  <c r="K33" i="111" s="1"/>
  <c r="I94" i="111"/>
  <c r="K94" i="111" s="1"/>
  <c r="K137" i="111"/>
  <c r="K149" i="111" s="1"/>
  <c r="K49" i="111"/>
  <c r="K142" i="111" s="1"/>
  <c r="K82" i="111"/>
  <c r="K145" i="111" s="1"/>
  <c r="K74" i="111"/>
  <c r="K144" i="111" s="1"/>
  <c r="K55" i="111"/>
  <c r="K54" i="111"/>
  <c r="K58" i="111"/>
  <c r="H64" i="111"/>
  <c r="H143" i="111" s="1"/>
  <c r="H152" i="111" s="1"/>
  <c r="G152" i="111"/>
  <c r="F152" i="111"/>
  <c r="I36" i="111" l="1"/>
  <c r="I141" i="111" s="1"/>
  <c r="K108" i="111"/>
  <c r="K147" i="111" s="1"/>
  <c r="K98" i="111"/>
  <c r="K146" i="111" s="1"/>
  <c r="I108" i="111"/>
  <c r="I147" i="111" s="1"/>
  <c r="K36" i="111"/>
  <c r="K141" i="111" s="1"/>
  <c r="I98" i="111"/>
  <c r="I146" i="111" s="1"/>
  <c r="K64" i="111"/>
  <c r="K143" i="111" s="1"/>
  <c r="I152" i="111" l="1"/>
  <c r="K152" i="111"/>
  <c r="F155" i="111" s="1"/>
  <c r="J150" i="99"/>
  <c r="I150" i="99"/>
  <c r="H150" i="99"/>
  <c r="K148" i="99"/>
  <c r="J137" i="99"/>
  <c r="J149" i="99" s="1"/>
  <c r="I137" i="99"/>
  <c r="I149" i="99" s="1"/>
  <c r="H137" i="99"/>
  <c r="H149" i="99" s="1"/>
  <c r="G137" i="99"/>
  <c r="G149" i="99" s="1"/>
  <c r="F137" i="99"/>
  <c r="F149" i="99" s="1"/>
  <c r="K135" i="99"/>
  <c r="K134" i="99"/>
  <c r="K133" i="99"/>
  <c r="K132" i="99"/>
  <c r="K131" i="99"/>
  <c r="F119" i="99"/>
  <c r="J108" i="99"/>
  <c r="J147" i="99" s="1"/>
  <c r="H108" i="99"/>
  <c r="H147" i="99" s="1"/>
  <c r="G108" i="99"/>
  <c r="G147" i="99" s="1"/>
  <c r="F108" i="99"/>
  <c r="F147" i="99" s="1"/>
  <c r="I106" i="99"/>
  <c r="K106" i="99" s="1"/>
  <c r="I105" i="99"/>
  <c r="K105" i="99" s="1"/>
  <c r="I104" i="99"/>
  <c r="K104" i="99" s="1"/>
  <c r="I103" i="99"/>
  <c r="K103" i="99" s="1"/>
  <c r="I102" i="99"/>
  <c r="J98" i="99"/>
  <c r="J146" i="99" s="1"/>
  <c r="H98" i="99"/>
  <c r="H146" i="99" s="1"/>
  <c r="G98" i="99"/>
  <c r="G146" i="99" s="1"/>
  <c r="F98" i="99"/>
  <c r="F146" i="99" s="1"/>
  <c r="I96" i="99"/>
  <c r="K96" i="99" s="1"/>
  <c r="I95" i="99"/>
  <c r="K95" i="99" s="1"/>
  <c r="I94" i="99"/>
  <c r="K94" i="99" s="1"/>
  <c r="I93" i="99"/>
  <c r="K93" i="99" s="1"/>
  <c r="I92" i="99"/>
  <c r="K92" i="99" s="1"/>
  <c r="I91" i="99"/>
  <c r="K91" i="99" s="1"/>
  <c r="I90" i="99"/>
  <c r="K90" i="99" s="1"/>
  <c r="I89" i="99"/>
  <c r="K89" i="99" s="1"/>
  <c r="I88" i="99"/>
  <c r="K88" i="99" s="1"/>
  <c r="I87" i="99"/>
  <c r="K87" i="99" s="1"/>
  <c r="I86" i="99"/>
  <c r="J82" i="99"/>
  <c r="J145" i="99" s="1"/>
  <c r="I82" i="99"/>
  <c r="I145" i="99" s="1"/>
  <c r="H82" i="99"/>
  <c r="H145" i="99" s="1"/>
  <c r="G82" i="99"/>
  <c r="G145" i="99" s="1"/>
  <c r="F82" i="99"/>
  <c r="F145" i="99" s="1"/>
  <c r="K80" i="99"/>
  <c r="K79" i="99"/>
  <c r="K78" i="99"/>
  <c r="K77" i="99"/>
  <c r="J74" i="99"/>
  <c r="J144" i="99" s="1"/>
  <c r="I74" i="99"/>
  <c r="I144" i="99" s="1"/>
  <c r="H74" i="99"/>
  <c r="H144" i="99" s="1"/>
  <c r="G74" i="99"/>
  <c r="G144" i="99" s="1"/>
  <c r="F74" i="99"/>
  <c r="F144" i="99" s="1"/>
  <c r="K72" i="99"/>
  <c r="K71" i="99"/>
  <c r="K70" i="99"/>
  <c r="K69" i="99"/>
  <c r="K68" i="99"/>
  <c r="J64" i="99"/>
  <c r="J143" i="99" s="1"/>
  <c r="I64" i="99"/>
  <c r="I143" i="99" s="1"/>
  <c r="H64" i="99"/>
  <c r="H143" i="99" s="1"/>
  <c r="G64" i="99"/>
  <c r="G143" i="99" s="1"/>
  <c r="F64" i="99"/>
  <c r="F143" i="99" s="1"/>
  <c r="K62" i="99"/>
  <c r="K61" i="99"/>
  <c r="K60" i="99"/>
  <c r="K59" i="99"/>
  <c r="K58" i="99"/>
  <c r="K57" i="99"/>
  <c r="K56" i="99"/>
  <c r="K55" i="99"/>
  <c r="K54" i="99"/>
  <c r="K53" i="99"/>
  <c r="J49" i="99"/>
  <c r="J142" i="99" s="1"/>
  <c r="I49" i="99"/>
  <c r="I142" i="99" s="1"/>
  <c r="H49" i="99"/>
  <c r="H142" i="99" s="1"/>
  <c r="G49" i="99"/>
  <c r="G142" i="99" s="1"/>
  <c r="F49" i="99"/>
  <c r="F142" i="99" s="1"/>
  <c r="K47" i="99"/>
  <c r="K46" i="99"/>
  <c r="K45" i="99"/>
  <c r="K44" i="99"/>
  <c r="K43" i="99"/>
  <c r="K42" i="99"/>
  <c r="K41" i="99"/>
  <c r="K40" i="99"/>
  <c r="J36" i="99"/>
  <c r="J141" i="99" s="1"/>
  <c r="H36" i="99"/>
  <c r="H141" i="99" s="1"/>
  <c r="G36" i="99"/>
  <c r="G141" i="99" s="1"/>
  <c r="F36" i="99"/>
  <c r="F141" i="99" s="1"/>
  <c r="I34" i="99"/>
  <c r="K34" i="99" s="1"/>
  <c r="I33" i="99"/>
  <c r="K33" i="99" s="1"/>
  <c r="I32" i="99"/>
  <c r="K32" i="99" s="1"/>
  <c r="I31" i="99"/>
  <c r="K31" i="99" s="1"/>
  <c r="I30" i="99"/>
  <c r="K30" i="99" s="1"/>
  <c r="I29" i="99"/>
  <c r="K29" i="99" s="1"/>
  <c r="K28" i="99"/>
  <c r="I27" i="99"/>
  <c r="K27" i="99" s="1"/>
  <c r="I26" i="99"/>
  <c r="K26" i="99" s="1"/>
  <c r="I25" i="99"/>
  <c r="K25" i="99" s="1"/>
  <c r="I24" i="99"/>
  <c r="K24" i="99" s="1"/>
  <c r="I23" i="99"/>
  <c r="K23" i="99" s="1"/>
  <c r="I22" i="99"/>
  <c r="I21" i="99"/>
  <c r="K21" i="99" s="1"/>
  <c r="K18" i="99"/>
  <c r="K150" i="99" s="1"/>
  <c r="I108" i="99" l="1"/>
  <c r="I147" i="99" s="1"/>
  <c r="F154" i="111"/>
  <c r="I36" i="99"/>
  <c r="I141" i="99" s="1"/>
  <c r="I98" i="99"/>
  <c r="I146" i="99" s="1"/>
  <c r="K102" i="99"/>
  <c r="K108" i="99" s="1"/>
  <c r="K147" i="99" s="1"/>
  <c r="K64" i="99"/>
  <c r="K143" i="99" s="1"/>
  <c r="K74" i="99"/>
  <c r="K144" i="99" s="1"/>
  <c r="K49" i="99"/>
  <c r="K142" i="99" s="1"/>
  <c r="K86" i="99"/>
  <c r="K98" i="99" s="1"/>
  <c r="K146" i="99" s="1"/>
  <c r="K137" i="99"/>
  <c r="K149" i="99" s="1"/>
  <c r="K22" i="99"/>
  <c r="K36" i="99" s="1"/>
  <c r="K141" i="99" s="1"/>
  <c r="K82" i="99"/>
  <c r="K145" i="99" s="1"/>
  <c r="G152" i="99"/>
  <c r="F152" i="99"/>
  <c r="J152" i="99"/>
  <c r="H152" i="99"/>
  <c r="I152" i="99" l="1"/>
  <c r="K152" i="99"/>
  <c r="F155" i="99" s="1"/>
  <c r="F154" i="99" l="1"/>
  <c r="J150" i="74"/>
  <c r="I150" i="74"/>
  <c r="H150" i="74"/>
  <c r="K148" i="74"/>
  <c r="J137" i="74"/>
  <c r="J149" i="74" s="1"/>
  <c r="H137" i="74"/>
  <c r="H149" i="74" s="1"/>
  <c r="G137" i="74"/>
  <c r="G149" i="74" s="1"/>
  <c r="F137" i="74"/>
  <c r="F149" i="74" s="1"/>
  <c r="I135" i="74"/>
  <c r="I134" i="74"/>
  <c r="I133" i="74"/>
  <c r="J101" i="60" s="1"/>
  <c r="I132" i="74"/>
  <c r="I131" i="74"/>
  <c r="J99" i="60" s="1"/>
  <c r="F119" i="74"/>
  <c r="J108" i="74"/>
  <c r="J147" i="74" s="1"/>
  <c r="H108" i="74"/>
  <c r="H147" i="74" s="1"/>
  <c r="G108" i="74"/>
  <c r="G147" i="74" s="1"/>
  <c r="F108" i="74"/>
  <c r="F147" i="74" s="1"/>
  <c r="I106" i="74"/>
  <c r="K106" i="74" s="1"/>
  <c r="I105" i="74"/>
  <c r="K105" i="74" s="1"/>
  <c r="I104" i="74"/>
  <c r="K104" i="74" s="1"/>
  <c r="I103" i="74"/>
  <c r="K103" i="74" s="1"/>
  <c r="I102" i="74"/>
  <c r="K102" i="74" s="1"/>
  <c r="J98" i="74"/>
  <c r="J146" i="74" s="1"/>
  <c r="H98" i="74"/>
  <c r="H146" i="74" s="1"/>
  <c r="G98" i="74"/>
  <c r="G146" i="74" s="1"/>
  <c r="F98" i="74"/>
  <c r="F146" i="74" s="1"/>
  <c r="I96" i="74"/>
  <c r="K96" i="74" s="1"/>
  <c r="I95" i="74"/>
  <c r="K95" i="74" s="1"/>
  <c r="I94" i="74"/>
  <c r="K94" i="74" s="1"/>
  <c r="I93" i="74"/>
  <c r="K93" i="74" s="1"/>
  <c r="I92" i="74"/>
  <c r="K92" i="74" s="1"/>
  <c r="I91" i="74"/>
  <c r="K91" i="74" s="1"/>
  <c r="I90" i="74"/>
  <c r="K90" i="74" s="1"/>
  <c r="I89" i="74"/>
  <c r="K89" i="74" s="1"/>
  <c r="I88" i="74"/>
  <c r="K88" i="74" s="1"/>
  <c r="I87" i="74"/>
  <c r="K87" i="74" s="1"/>
  <c r="I86" i="74"/>
  <c r="J82" i="74"/>
  <c r="J145" i="74" s="1"/>
  <c r="H82" i="74"/>
  <c r="H145" i="74" s="1"/>
  <c r="G82" i="74"/>
  <c r="G145" i="74" s="1"/>
  <c r="F82" i="74"/>
  <c r="F145" i="74" s="1"/>
  <c r="I80" i="74"/>
  <c r="K80" i="74" s="1"/>
  <c r="I79" i="74"/>
  <c r="K79" i="74" s="1"/>
  <c r="I78" i="74"/>
  <c r="K78" i="74" s="1"/>
  <c r="I77" i="74"/>
  <c r="K77" i="74" s="1"/>
  <c r="J74" i="74"/>
  <c r="J144" i="74" s="1"/>
  <c r="H74" i="74"/>
  <c r="H144" i="74" s="1"/>
  <c r="G74" i="74"/>
  <c r="G144" i="74" s="1"/>
  <c r="F74" i="74"/>
  <c r="F144" i="74" s="1"/>
  <c r="I72" i="74"/>
  <c r="K72" i="74" s="1"/>
  <c r="I71" i="74"/>
  <c r="I70" i="74"/>
  <c r="K70" i="74" s="1"/>
  <c r="I69" i="74"/>
  <c r="K69" i="74" s="1"/>
  <c r="I68" i="74"/>
  <c r="K68" i="74" s="1"/>
  <c r="J64" i="74"/>
  <c r="J143" i="74" s="1"/>
  <c r="H64" i="74"/>
  <c r="H143" i="74" s="1"/>
  <c r="G64" i="74"/>
  <c r="G143" i="74" s="1"/>
  <c r="F64" i="74"/>
  <c r="F143" i="74" s="1"/>
  <c r="K62" i="74"/>
  <c r="I62" i="74"/>
  <c r="I61" i="74"/>
  <c r="K61" i="74" s="1"/>
  <c r="I60" i="74"/>
  <c r="K60" i="74" s="1"/>
  <c r="I59" i="74"/>
  <c r="K59" i="74" s="1"/>
  <c r="I58" i="74"/>
  <c r="K58" i="74" s="1"/>
  <c r="I57" i="74"/>
  <c r="K57" i="74" s="1"/>
  <c r="I56" i="74"/>
  <c r="K56" i="74" s="1"/>
  <c r="I55" i="74"/>
  <c r="K55" i="74" s="1"/>
  <c r="I54" i="74"/>
  <c r="K54" i="74" s="1"/>
  <c r="I53" i="74"/>
  <c r="K53" i="74" s="1"/>
  <c r="J49" i="74"/>
  <c r="J142" i="74" s="1"/>
  <c r="H49" i="74"/>
  <c r="H142" i="74" s="1"/>
  <c r="G49" i="74"/>
  <c r="G142" i="74" s="1"/>
  <c r="F49" i="74"/>
  <c r="F142" i="74" s="1"/>
  <c r="I47" i="74"/>
  <c r="K47" i="74" s="1"/>
  <c r="I46" i="74"/>
  <c r="K46" i="74" s="1"/>
  <c r="I45" i="74"/>
  <c r="K45" i="74" s="1"/>
  <c r="I44" i="74"/>
  <c r="K44" i="74" s="1"/>
  <c r="I43" i="74"/>
  <c r="K43" i="74" s="1"/>
  <c r="I42" i="74"/>
  <c r="I41" i="74"/>
  <c r="K41" i="74" s="1"/>
  <c r="I40" i="74"/>
  <c r="K40" i="74" s="1"/>
  <c r="H36" i="74"/>
  <c r="H141" i="74" s="1"/>
  <c r="F36" i="74"/>
  <c r="F141" i="74" s="1"/>
  <c r="I34" i="74"/>
  <c r="K34" i="74" s="1"/>
  <c r="I33" i="74"/>
  <c r="K33" i="74" s="1"/>
  <c r="I32" i="74"/>
  <c r="K32" i="74" s="1"/>
  <c r="I31" i="74"/>
  <c r="K31" i="74" s="1"/>
  <c r="I30" i="74"/>
  <c r="K30" i="74" s="1"/>
  <c r="I29" i="74"/>
  <c r="K29" i="74" s="1"/>
  <c r="I28" i="74"/>
  <c r="K28" i="74" s="1"/>
  <c r="I27" i="74"/>
  <c r="K27" i="74" s="1"/>
  <c r="I26" i="74"/>
  <c r="K26" i="74" s="1"/>
  <c r="I25" i="74"/>
  <c r="K25" i="74" s="1"/>
  <c r="J24" i="74"/>
  <c r="I24" i="74"/>
  <c r="G24" i="74"/>
  <c r="I23" i="74"/>
  <c r="K23" i="74" s="1"/>
  <c r="G23" i="74"/>
  <c r="I22" i="74"/>
  <c r="K22" i="74" s="1"/>
  <c r="G22" i="74"/>
  <c r="I21" i="74"/>
  <c r="K21" i="74" s="1"/>
  <c r="G21" i="74"/>
  <c r="K18" i="74"/>
  <c r="K150" i="74" s="1"/>
  <c r="K132" i="74" l="1"/>
  <c r="J100" i="60"/>
  <c r="K133" i="74"/>
  <c r="K134" i="74"/>
  <c r="J102" i="60"/>
  <c r="J36" i="74"/>
  <c r="J141" i="74" s="1"/>
  <c r="J152" i="74" s="1"/>
  <c r="K12" i="60"/>
  <c r="K135" i="74"/>
  <c r="J103" i="60"/>
  <c r="K24" i="74"/>
  <c r="K36" i="74" s="1"/>
  <c r="K141" i="74" s="1"/>
  <c r="G36" i="74"/>
  <c r="G141" i="74" s="1"/>
  <c r="G152" i="74" s="1"/>
  <c r="I49" i="74"/>
  <c r="I142" i="74" s="1"/>
  <c r="I137" i="74"/>
  <c r="I149" i="74" s="1"/>
  <c r="K64" i="74"/>
  <c r="K143" i="74" s="1"/>
  <c r="I82" i="74"/>
  <c r="I145" i="74" s="1"/>
  <c r="I98" i="74"/>
  <c r="I146" i="74" s="1"/>
  <c r="I36" i="74"/>
  <c r="I141" i="74" s="1"/>
  <c r="I108" i="74"/>
  <c r="I147" i="74" s="1"/>
  <c r="K42" i="74"/>
  <c r="K49" i="74" s="1"/>
  <c r="K142" i="74" s="1"/>
  <c r="I74" i="74"/>
  <c r="I144" i="74" s="1"/>
  <c r="K131" i="74"/>
  <c r="K108" i="74"/>
  <c r="K147" i="74" s="1"/>
  <c r="H152" i="74"/>
  <c r="F152" i="74"/>
  <c r="K82" i="74"/>
  <c r="K145" i="74" s="1"/>
  <c r="I64" i="74"/>
  <c r="I143" i="74" s="1"/>
  <c r="K71" i="74"/>
  <c r="K74" i="74" s="1"/>
  <c r="K144" i="74" s="1"/>
  <c r="K86" i="74"/>
  <c r="K98" i="74" s="1"/>
  <c r="K146" i="74" s="1"/>
  <c r="K137" i="74" l="1"/>
  <c r="K149" i="74" s="1"/>
  <c r="I152" i="74"/>
  <c r="K152" i="74"/>
  <c r="F155" i="74" l="1"/>
  <c r="F154" i="74"/>
  <c r="J150" i="117" l="1"/>
  <c r="I150" i="117"/>
  <c r="H150" i="117"/>
  <c r="K148" i="117"/>
  <c r="J137" i="117"/>
  <c r="J149" i="117" s="1"/>
  <c r="I137" i="117"/>
  <c r="I149" i="117" s="1"/>
  <c r="H137" i="117"/>
  <c r="H149" i="117" s="1"/>
  <c r="G137" i="117"/>
  <c r="G149" i="117" s="1"/>
  <c r="F137" i="117"/>
  <c r="F149" i="117" s="1"/>
  <c r="K135" i="117"/>
  <c r="K134" i="117"/>
  <c r="K133" i="117"/>
  <c r="K132" i="117"/>
  <c r="K131" i="117"/>
  <c r="F117" i="117"/>
  <c r="F119" i="117" s="1"/>
  <c r="F123" i="117" s="1"/>
  <c r="F127" i="117" s="1"/>
  <c r="J108" i="117"/>
  <c r="J147" i="117" s="1"/>
  <c r="H108" i="117"/>
  <c r="H147" i="117" s="1"/>
  <c r="G108" i="117"/>
  <c r="G147" i="117" s="1"/>
  <c r="F108" i="117"/>
  <c r="F147" i="117" s="1"/>
  <c r="I106" i="117"/>
  <c r="K106" i="117" s="1"/>
  <c r="I105" i="117"/>
  <c r="K105" i="117" s="1"/>
  <c r="I104" i="117"/>
  <c r="K104" i="117" s="1"/>
  <c r="I103" i="117"/>
  <c r="K103" i="117" s="1"/>
  <c r="I102" i="117"/>
  <c r="K102" i="117" s="1"/>
  <c r="J98" i="117"/>
  <c r="J146" i="117" s="1"/>
  <c r="G98" i="117"/>
  <c r="G146" i="117" s="1"/>
  <c r="I96" i="117"/>
  <c r="K96" i="117" s="1"/>
  <c r="I95" i="117"/>
  <c r="K95" i="117" s="1"/>
  <c r="I94" i="117"/>
  <c r="K94" i="117" s="1"/>
  <c r="I93" i="117"/>
  <c r="K93" i="117" s="1"/>
  <c r="H92" i="117"/>
  <c r="I92" i="117" s="1"/>
  <c r="K92" i="117" s="1"/>
  <c r="H91" i="117"/>
  <c r="I91" i="117" s="1"/>
  <c r="F91" i="117"/>
  <c r="F98" i="117" s="1"/>
  <c r="F146" i="117" s="1"/>
  <c r="I90" i="117"/>
  <c r="K90" i="117" s="1"/>
  <c r="I89" i="117"/>
  <c r="K89" i="117" s="1"/>
  <c r="I88" i="117"/>
  <c r="K88" i="117" s="1"/>
  <c r="H87" i="117"/>
  <c r="I86" i="117"/>
  <c r="K86" i="117" s="1"/>
  <c r="J82" i="117"/>
  <c r="J145" i="117" s="1"/>
  <c r="H82" i="117"/>
  <c r="H145" i="117" s="1"/>
  <c r="G82" i="117"/>
  <c r="G145" i="117" s="1"/>
  <c r="F82" i="117"/>
  <c r="F145" i="117" s="1"/>
  <c r="I80" i="117"/>
  <c r="K80" i="117" s="1"/>
  <c r="I79" i="117"/>
  <c r="K79" i="117" s="1"/>
  <c r="I78" i="117"/>
  <c r="K78" i="117" s="1"/>
  <c r="K77" i="117"/>
  <c r="J74" i="117"/>
  <c r="J144" i="117" s="1"/>
  <c r="H74" i="117"/>
  <c r="H144" i="117" s="1"/>
  <c r="G74" i="117"/>
  <c r="G144" i="117" s="1"/>
  <c r="F74" i="117"/>
  <c r="F144" i="117" s="1"/>
  <c r="I72" i="117"/>
  <c r="K72" i="117" s="1"/>
  <c r="I71" i="117"/>
  <c r="K71" i="117" s="1"/>
  <c r="I70" i="117"/>
  <c r="K70" i="117" s="1"/>
  <c r="I69" i="117"/>
  <c r="K69" i="117" s="1"/>
  <c r="I68" i="117"/>
  <c r="K68" i="117" s="1"/>
  <c r="J64" i="117"/>
  <c r="J143" i="117" s="1"/>
  <c r="G64" i="117"/>
  <c r="G143" i="117" s="1"/>
  <c r="F64" i="117"/>
  <c r="F143" i="117" s="1"/>
  <c r="I62" i="117"/>
  <c r="K62" i="117" s="1"/>
  <c r="I61" i="117"/>
  <c r="K61" i="117" s="1"/>
  <c r="I60" i="117"/>
  <c r="K60" i="117" s="1"/>
  <c r="I59" i="117"/>
  <c r="K59" i="117" s="1"/>
  <c r="I58" i="117"/>
  <c r="K58" i="117" s="1"/>
  <c r="I57" i="117"/>
  <c r="K57" i="117" s="1"/>
  <c r="I56" i="117"/>
  <c r="K56" i="117" s="1"/>
  <c r="I55" i="117"/>
  <c r="K55" i="117" s="1"/>
  <c r="I54" i="117"/>
  <c r="K54" i="117" s="1"/>
  <c r="H53" i="117"/>
  <c r="H64" i="117" s="1"/>
  <c r="H143" i="117" s="1"/>
  <c r="J49" i="117"/>
  <c r="J142" i="117" s="1"/>
  <c r="I47" i="117"/>
  <c r="K47" i="117" s="1"/>
  <c r="I46" i="117"/>
  <c r="K46" i="117" s="1"/>
  <c r="I45" i="117"/>
  <c r="K45" i="117" s="1"/>
  <c r="I44" i="117"/>
  <c r="K44" i="117" s="1"/>
  <c r="I43" i="117"/>
  <c r="K43" i="117" s="1"/>
  <c r="H42" i="117"/>
  <c r="H49" i="117" s="1"/>
  <c r="H142" i="117" s="1"/>
  <c r="G42" i="117"/>
  <c r="G49" i="117" s="1"/>
  <c r="G142" i="117" s="1"/>
  <c r="F42" i="117"/>
  <c r="F49" i="117" s="1"/>
  <c r="F142" i="117" s="1"/>
  <c r="I41" i="117"/>
  <c r="K41" i="117" s="1"/>
  <c r="I40" i="117"/>
  <c r="K40" i="117" s="1"/>
  <c r="G36" i="117"/>
  <c r="G141" i="117" s="1"/>
  <c r="F36" i="117"/>
  <c r="F141" i="117" s="1"/>
  <c r="I34" i="117"/>
  <c r="K34" i="117" s="1"/>
  <c r="I33" i="117"/>
  <c r="K33" i="117" s="1"/>
  <c r="K32" i="117"/>
  <c r="I32" i="117"/>
  <c r="I31" i="117"/>
  <c r="K31" i="117" s="1"/>
  <c r="I30" i="117"/>
  <c r="K30" i="117" s="1"/>
  <c r="H29" i="117"/>
  <c r="K29" i="117" s="1"/>
  <c r="H28" i="117"/>
  <c r="I27" i="117"/>
  <c r="K27" i="117" s="1"/>
  <c r="J26" i="117"/>
  <c r="H26" i="117"/>
  <c r="I25" i="117"/>
  <c r="K25" i="117" s="1"/>
  <c r="I24" i="117"/>
  <c r="K24" i="117" s="1"/>
  <c r="I23" i="117"/>
  <c r="K23" i="117" s="1"/>
  <c r="I22" i="117"/>
  <c r="K22" i="117" s="1"/>
  <c r="H21" i="117"/>
  <c r="I21" i="117" s="1"/>
  <c r="K18" i="117"/>
  <c r="K150" i="117" s="1"/>
  <c r="I28" i="117" l="1"/>
  <c r="I16" i="60"/>
  <c r="J36" i="117"/>
  <c r="J141" i="117" s="1"/>
  <c r="K14" i="60"/>
  <c r="I26" i="117"/>
  <c r="K26" i="117" s="1"/>
  <c r="I14" i="60"/>
  <c r="I42" i="117"/>
  <c r="K42" i="117" s="1"/>
  <c r="K49" i="117" s="1"/>
  <c r="K142" i="117" s="1"/>
  <c r="I53" i="117"/>
  <c r="K53" i="117" s="1"/>
  <c r="K64" i="117" s="1"/>
  <c r="K143" i="117" s="1"/>
  <c r="K137" i="117"/>
  <c r="K149" i="117" s="1"/>
  <c r="K91" i="117"/>
  <c r="H98" i="117"/>
  <c r="H146" i="117" s="1"/>
  <c r="K74" i="117"/>
  <c r="K144" i="117" s="1"/>
  <c r="I82" i="117"/>
  <c r="I145" i="117" s="1"/>
  <c r="G152" i="117"/>
  <c r="K82" i="117"/>
  <c r="K145" i="117" s="1"/>
  <c r="K108" i="117"/>
  <c r="K147" i="117" s="1"/>
  <c r="I108" i="117"/>
  <c r="I147" i="117" s="1"/>
  <c r="H36" i="117"/>
  <c r="H141" i="117" s="1"/>
  <c r="I74" i="117"/>
  <c r="I144" i="117" s="1"/>
  <c r="F152" i="117"/>
  <c r="J152" i="117"/>
  <c r="K28" i="117"/>
  <c r="K21" i="117"/>
  <c r="I87" i="117"/>
  <c r="K87" i="117" s="1"/>
  <c r="I36" i="117" l="1"/>
  <c r="I141" i="117" s="1"/>
  <c r="I49" i="117"/>
  <c r="I142" i="117" s="1"/>
  <c r="I64" i="117"/>
  <c r="I143" i="117" s="1"/>
  <c r="K98" i="117"/>
  <c r="K146" i="117" s="1"/>
  <c r="H152" i="117"/>
  <c r="K36" i="117"/>
  <c r="K141" i="117" s="1"/>
  <c r="I98" i="117"/>
  <c r="I146" i="117" s="1"/>
  <c r="I152" i="117" l="1"/>
  <c r="K152" i="117"/>
  <c r="F154" i="117" s="1"/>
  <c r="F155" i="117" l="1"/>
  <c r="K152" i="118"/>
  <c r="F154" i="118" s="1"/>
  <c r="J152" i="118"/>
  <c r="I152" i="118"/>
  <c r="H152" i="118"/>
  <c r="G152" i="118"/>
  <c r="F152" i="118"/>
  <c r="J137" i="118"/>
  <c r="I137" i="118"/>
  <c r="H137" i="118"/>
  <c r="G137" i="118"/>
  <c r="F137" i="118"/>
  <c r="K135" i="118"/>
  <c r="K134" i="118"/>
  <c r="K133" i="118"/>
  <c r="K132" i="118"/>
  <c r="K131" i="118"/>
  <c r="F119" i="118"/>
  <c r="F123" i="118" s="1"/>
  <c r="F127" i="118" s="1"/>
  <c r="K108" i="118"/>
  <c r="J108" i="118"/>
  <c r="I108" i="118"/>
  <c r="H108" i="118"/>
  <c r="G108" i="118"/>
  <c r="F108" i="118"/>
  <c r="J98" i="118"/>
  <c r="H98" i="118"/>
  <c r="G98" i="118"/>
  <c r="F98" i="118"/>
  <c r="I96" i="118"/>
  <c r="K96" i="118" s="1"/>
  <c r="I95" i="118"/>
  <c r="K95" i="118" s="1"/>
  <c r="I94" i="118"/>
  <c r="K94" i="118" s="1"/>
  <c r="I93" i="118"/>
  <c r="K93" i="118" s="1"/>
  <c r="I92" i="118"/>
  <c r="K92" i="118" s="1"/>
  <c r="I91" i="118"/>
  <c r="K91" i="118" s="1"/>
  <c r="I90" i="118"/>
  <c r="K90" i="118" s="1"/>
  <c r="I89" i="118"/>
  <c r="K89" i="118" s="1"/>
  <c r="I88" i="118"/>
  <c r="K88" i="118" s="1"/>
  <c r="I87" i="118"/>
  <c r="K87" i="118" s="1"/>
  <c r="I86" i="118"/>
  <c r="K86" i="118" s="1"/>
  <c r="J82" i="118"/>
  <c r="I82" i="118"/>
  <c r="H82" i="118"/>
  <c r="G82" i="118"/>
  <c r="F82" i="118"/>
  <c r="K80" i="118"/>
  <c r="K79" i="118"/>
  <c r="K78" i="118"/>
  <c r="K77" i="118"/>
  <c r="J74" i="118"/>
  <c r="I74" i="118"/>
  <c r="H74" i="118"/>
  <c r="G74" i="118"/>
  <c r="F74" i="118"/>
  <c r="K72" i="118"/>
  <c r="K71" i="118"/>
  <c r="K70" i="118"/>
  <c r="K69" i="118"/>
  <c r="K68" i="118"/>
  <c r="K64" i="118"/>
  <c r="J64" i="118"/>
  <c r="I64" i="118"/>
  <c r="H64" i="118"/>
  <c r="G64" i="118"/>
  <c r="F64" i="118"/>
  <c r="J49" i="118"/>
  <c r="I49" i="118"/>
  <c r="K47" i="118"/>
  <c r="K46" i="118"/>
  <c r="K45" i="118"/>
  <c r="K44" i="118"/>
  <c r="K43" i="118"/>
  <c r="K42" i="118"/>
  <c r="K41" i="118"/>
  <c r="K40" i="118"/>
  <c r="K36" i="118"/>
  <c r="J36" i="118"/>
  <c r="I36" i="118"/>
  <c r="H36" i="118"/>
  <c r="G36" i="118"/>
  <c r="F36" i="118"/>
  <c r="K18" i="118"/>
  <c r="K137" i="118" l="1"/>
  <c r="F155" i="118"/>
  <c r="I98" i="118"/>
  <c r="K74" i="118"/>
  <c r="K49" i="118"/>
  <c r="K82" i="118"/>
  <c r="K98" i="118"/>
  <c r="J150" i="71" l="1"/>
  <c r="I150" i="71"/>
  <c r="H150" i="71"/>
  <c r="K148" i="71"/>
  <c r="J137" i="71"/>
  <c r="J149" i="71" s="1"/>
  <c r="I137" i="71"/>
  <c r="I149" i="71" s="1"/>
  <c r="H137" i="71"/>
  <c r="H149" i="71" s="1"/>
  <c r="G137" i="71"/>
  <c r="G149" i="71" s="1"/>
  <c r="F137" i="71"/>
  <c r="F149" i="71" s="1"/>
  <c r="K135" i="71"/>
  <c r="K134" i="71"/>
  <c r="K133" i="71"/>
  <c r="K132" i="71"/>
  <c r="K131" i="71"/>
  <c r="F119" i="71"/>
  <c r="J108" i="71"/>
  <c r="J147" i="71" s="1"/>
  <c r="H108" i="71"/>
  <c r="H147" i="71" s="1"/>
  <c r="G108" i="71"/>
  <c r="G147" i="71" s="1"/>
  <c r="F108" i="71"/>
  <c r="F147" i="71" s="1"/>
  <c r="I106" i="71"/>
  <c r="K106" i="71" s="1"/>
  <c r="I105" i="71"/>
  <c r="K105" i="71" s="1"/>
  <c r="I104" i="71"/>
  <c r="K104" i="71" s="1"/>
  <c r="I103" i="71"/>
  <c r="K103" i="71" s="1"/>
  <c r="I102" i="71"/>
  <c r="K102" i="71" s="1"/>
  <c r="J98" i="71"/>
  <c r="J146" i="71" s="1"/>
  <c r="H98" i="71"/>
  <c r="H146" i="71" s="1"/>
  <c r="G98" i="71"/>
  <c r="G146" i="71" s="1"/>
  <c r="F98" i="71"/>
  <c r="F146" i="71" s="1"/>
  <c r="I96" i="71"/>
  <c r="K96" i="71" s="1"/>
  <c r="I95" i="71"/>
  <c r="K95" i="71" s="1"/>
  <c r="I94" i="71"/>
  <c r="K94" i="71" s="1"/>
  <c r="I93" i="71"/>
  <c r="K93" i="71" s="1"/>
  <c r="I92" i="71"/>
  <c r="K92" i="71" s="1"/>
  <c r="I91" i="71"/>
  <c r="K91" i="71" s="1"/>
  <c r="I90" i="71"/>
  <c r="K90" i="71" s="1"/>
  <c r="I89" i="71"/>
  <c r="K89" i="71" s="1"/>
  <c r="K88" i="71"/>
  <c r="I87" i="71"/>
  <c r="K87" i="71" s="1"/>
  <c r="I86" i="71"/>
  <c r="K86" i="71" s="1"/>
  <c r="J82" i="71"/>
  <c r="J145" i="71" s="1"/>
  <c r="I82" i="71"/>
  <c r="I145" i="71" s="1"/>
  <c r="H82" i="71"/>
  <c r="H145" i="71" s="1"/>
  <c r="G82" i="71"/>
  <c r="G145" i="71" s="1"/>
  <c r="F82" i="71"/>
  <c r="F145" i="71" s="1"/>
  <c r="K80" i="71"/>
  <c r="K79" i="71"/>
  <c r="K78" i="71"/>
  <c r="K77" i="71"/>
  <c r="J74" i="71"/>
  <c r="J144" i="71" s="1"/>
  <c r="I74" i="71"/>
  <c r="I144" i="71" s="1"/>
  <c r="H74" i="71"/>
  <c r="H144" i="71" s="1"/>
  <c r="G74" i="71"/>
  <c r="G144" i="71" s="1"/>
  <c r="F74" i="71"/>
  <c r="F144" i="71" s="1"/>
  <c r="K72" i="71"/>
  <c r="K71" i="71"/>
  <c r="K70" i="71"/>
  <c r="K69" i="71"/>
  <c r="K68" i="71"/>
  <c r="J64" i="71"/>
  <c r="J143" i="71" s="1"/>
  <c r="I64" i="71"/>
  <c r="I143" i="71" s="1"/>
  <c r="H64" i="71"/>
  <c r="H143" i="71" s="1"/>
  <c r="G64" i="71"/>
  <c r="G143" i="71" s="1"/>
  <c r="F64" i="71"/>
  <c r="F143" i="71" s="1"/>
  <c r="K62" i="71"/>
  <c r="K61" i="71"/>
  <c r="K60" i="71"/>
  <c r="K59" i="71"/>
  <c r="K58" i="71"/>
  <c r="K57" i="71"/>
  <c r="K56" i="71"/>
  <c r="K55" i="71"/>
  <c r="K54" i="71"/>
  <c r="K53" i="71"/>
  <c r="J49" i="71"/>
  <c r="J142" i="71" s="1"/>
  <c r="I49" i="71"/>
  <c r="I142" i="71" s="1"/>
  <c r="H49" i="71"/>
  <c r="H142" i="71" s="1"/>
  <c r="G49" i="71"/>
  <c r="G142" i="71" s="1"/>
  <c r="F49" i="71"/>
  <c r="F142" i="71" s="1"/>
  <c r="K47" i="71"/>
  <c r="K46" i="71"/>
  <c r="K45" i="71"/>
  <c r="K44" i="71"/>
  <c r="K43" i="71"/>
  <c r="K42" i="71"/>
  <c r="K41" i="71"/>
  <c r="K40" i="71"/>
  <c r="J36" i="71"/>
  <c r="J141" i="71" s="1"/>
  <c r="H36" i="71"/>
  <c r="H141" i="71" s="1"/>
  <c r="G36" i="71"/>
  <c r="G141" i="71" s="1"/>
  <c r="F36" i="71"/>
  <c r="F141" i="71" s="1"/>
  <c r="I34" i="71"/>
  <c r="K34" i="71" s="1"/>
  <c r="I33" i="71"/>
  <c r="K33" i="71" s="1"/>
  <c r="I32" i="71"/>
  <c r="K32" i="71" s="1"/>
  <c r="I31" i="71"/>
  <c r="K31" i="71" s="1"/>
  <c r="I30" i="71"/>
  <c r="K30" i="71" s="1"/>
  <c r="I29" i="71"/>
  <c r="K29" i="71" s="1"/>
  <c r="I28" i="71"/>
  <c r="K28" i="71" s="1"/>
  <c r="I27" i="71"/>
  <c r="K27" i="71" s="1"/>
  <c r="I26" i="71"/>
  <c r="K26" i="71" s="1"/>
  <c r="K25" i="71"/>
  <c r="I24" i="71"/>
  <c r="K23" i="71"/>
  <c r="K22" i="71"/>
  <c r="K21" i="71"/>
  <c r="K18" i="71"/>
  <c r="K150" i="71" s="1"/>
  <c r="K108" i="71" l="1"/>
  <c r="K147" i="71" s="1"/>
  <c r="I108" i="71"/>
  <c r="I147" i="71" s="1"/>
  <c r="K49" i="71"/>
  <c r="K142" i="71" s="1"/>
  <c r="K82" i="71"/>
  <c r="K145" i="71" s="1"/>
  <c r="K137" i="71"/>
  <c r="K149" i="71" s="1"/>
  <c r="G152" i="71"/>
  <c r="F152" i="71"/>
  <c r="I36" i="71"/>
  <c r="I141" i="71" s="1"/>
  <c r="K64" i="71"/>
  <c r="K143" i="71" s="1"/>
  <c r="K74" i="71"/>
  <c r="K144" i="71" s="1"/>
  <c r="J152" i="71"/>
  <c r="K98" i="71"/>
  <c r="K146" i="71" s="1"/>
  <c r="H152" i="71"/>
  <c r="I98" i="71"/>
  <c r="I146" i="71" s="1"/>
  <c r="K24" i="71"/>
  <c r="K36" i="71" s="1"/>
  <c r="K141" i="71" s="1"/>
  <c r="I152" i="71" l="1"/>
  <c r="K152" i="71"/>
  <c r="F154" i="71" l="1"/>
  <c r="F155" i="71"/>
  <c r="J150" i="97" l="1"/>
  <c r="I150" i="97"/>
  <c r="H150" i="97"/>
  <c r="K148" i="97"/>
  <c r="J137" i="97"/>
  <c r="J149" i="97" s="1"/>
  <c r="I137" i="97"/>
  <c r="I149" i="97" s="1"/>
  <c r="H137" i="97"/>
  <c r="H149" i="97" s="1"/>
  <c r="G137" i="97"/>
  <c r="G149" i="97" s="1"/>
  <c r="F137" i="97"/>
  <c r="F149" i="97" s="1"/>
  <c r="K135" i="97"/>
  <c r="K134" i="97"/>
  <c r="K133" i="97"/>
  <c r="K132" i="97"/>
  <c r="K131" i="97"/>
  <c r="F125" i="97"/>
  <c r="F121" i="97"/>
  <c r="F118" i="97"/>
  <c r="F117" i="97"/>
  <c r="J108" i="97"/>
  <c r="J147" i="97" s="1"/>
  <c r="H108" i="97"/>
  <c r="H147" i="97" s="1"/>
  <c r="G108" i="97"/>
  <c r="G147" i="97" s="1"/>
  <c r="F108" i="97"/>
  <c r="F147" i="97" s="1"/>
  <c r="I106" i="97"/>
  <c r="K106" i="97" s="1"/>
  <c r="I105" i="97"/>
  <c r="K105" i="97" s="1"/>
  <c r="I104" i="97"/>
  <c r="K104" i="97" s="1"/>
  <c r="I103" i="97"/>
  <c r="K103" i="97" s="1"/>
  <c r="I102" i="97"/>
  <c r="K102" i="97" s="1"/>
  <c r="J98" i="97"/>
  <c r="J146" i="97" s="1"/>
  <c r="H98" i="97"/>
  <c r="H146" i="97" s="1"/>
  <c r="G98" i="97"/>
  <c r="G146" i="97" s="1"/>
  <c r="F98" i="97"/>
  <c r="F146" i="97" s="1"/>
  <c r="I96" i="97"/>
  <c r="K96" i="97" s="1"/>
  <c r="I95" i="97"/>
  <c r="K95" i="97" s="1"/>
  <c r="I94" i="97"/>
  <c r="K94" i="97" s="1"/>
  <c r="I93" i="97"/>
  <c r="K93" i="97" s="1"/>
  <c r="I92" i="97"/>
  <c r="K92" i="97" s="1"/>
  <c r="I91" i="97"/>
  <c r="K91" i="97" s="1"/>
  <c r="I90" i="97"/>
  <c r="K90" i="97" s="1"/>
  <c r="I89" i="97"/>
  <c r="K89" i="97" s="1"/>
  <c r="I88" i="97"/>
  <c r="K88" i="97" s="1"/>
  <c r="I87" i="97"/>
  <c r="K87" i="97" s="1"/>
  <c r="I86" i="97"/>
  <c r="K86" i="97" s="1"/>
  <c r="J82" i="97"/>
  <c r="J145" i="97" s="1"/>
  <c r="I82" i="97"/>
  <c r="I145" i="97" s="1"/>
  <c r="H82" i="97"/>
  <c r="H145" i="97" s="1"/>
  <c r="G82" i="97"/>
  <c r="G145" i="97" s="1"/>
  <c r="F82" i="97"/>
  <c r="F145" i="97" s="1"/>
  <c r="K80" i="97"/>
  <c r="K79" i="97"/>
  <c r="K78" i="97"/>
  <c r="K77" i="97"/>
  <c r="J74" i="97"/>
  <c r="J144" i="97" s="1"/>
  <c r="H74" i="97"/>
  <c r="H144" i="97" s="1"/>
  <c r="G74" i="97"/>
  <c r="G144" i="97" s="1"/>
  <c r="F74" i="97"/>
  <c r="F144" i="97" s="1"/>
  <c r="I72" i="97"/>
  <c r="K72" i="97" s="1"/>
  <c r="I71" i="97"/>
  <c r="K71" i="97" s="1"/>
  <c r="I70" i="97"/>
  <c r="K70" i="97" s="1"/>
  <c r="I69" i="97"/>
  <c r="K69" i="97" s="1"/>
  <c r="I68" i="97"/>
  <c r="K68" i="97" s="1"/>
  <c r="J64" i="97"/>
  <c r="J143" i="97" s="1"/>
  <c r="H64" i="97"/>
  <c r="H143" i="97" s="1"/>
  <c r="G64" i="97"/>
  <c r="G143" i="97" s="1"/>
  <c r="F64" i="97"/>
  <c r="F143" i="97" s="1"/>
  <c r="I62" i="97"/>
  <c r="K62" i="97" s="1"/>
  <c r="I61" i="97"/>
  <c r="K61" i="97" s="1"/>
  <c r="I60" i="97"/>
  <c r="K60" i="97" s="1"/>
  <c r="I59" i="97"/>
  <c r="K59" i="97" s="1"/>
  <c r="I58" i="97"/>
  <c r="K58" i="97" s="1"/>
  <c r="I57" i="97"/>
  <c r="K57" i="97" s="1"/>
  <c r="I56" i="97"/>
  <c r="K56" i="97" s="1"/>
  <c r="I55" i="97"/>
  <c r="K55" i="97" s="1"/>
  <c r="I54" i="97"/>
  <c r="K54" i="97" s="1"/>
  <c r="I53" i="97"/>
  <c r="K53" i="97" s="1"/>
  <c r="J49" i="97"/>
  <c r="J142" i="97" s="1"/>
  <c r="H49" i="97"/>
  <c r="H142" i="97" s="1"/>
  <c r="G49" i="97"/>
  <c r="G142" i="97" s="1"/>
  <c r="F49" i="97"/>
  <c r="F142" i="97" s="1"/>
  <c r="I47" i="97"/>
  <c r="K47" i="97" s="1"/>
  <c r="I46" i="97"/>
  <c r="K46" i="97" s="1"/>
  <c r="I45" i="97"/>
  <c r="K45" i="97" s="1"/>
  <c r="I44" i="97"/>
  <c r="K44" i="97" s="1"/>
  <c r="I43" i="97"/>
  <c r="K43" i="97" s="1"/>
  <c r="I42" i="97"/>
  <c r="K42" i="97" s="1"/>
  <c r="I41" i="97"/>
  <c r="K41" i="97" s="1"/>
  <c r="I40" i="97"/>
  <c r="K40" i="97" s="1"/>
  <c r="J36" i="97"/>
  <c r="J141" i="97" s="1"/>
  <c r="H36" i="97"/>
  <c r="H141" i="97" s="1"/>
  <c r="G36" i="97"/>
  <c r="G141" i="97" s="1"/>
  <c r="F36" i="97"/>
  <c r="F141" i="97" s="1"/>
  <c r="I34" i="97"/>
  <c r="K34" i="97" s="1"/>
  <c r="I33" i="97"/>
  <c r="K33" i="97" s="1"/>
  <c r="I32" i="97"/>
  <c r="K32" i="97" s="1"/>
  <c r="I31" i="97"/>
  <c r="K31" i="97" s="1"/>
  <c r="I30" i="97"/>
  <c r="K30" i="97" s="1"/>
  <c r="I29" i="97"/>
  <c r="K29" i="97" s="1"/>
  <c r="I28" i="97"/>
  <c r="K28" i="97" s="1"/>
  <c r="I27" i="97"/>
  <c r="K27" i="97" s="1"/>
  <c r="I26" i="97"/>
  <c r="K26" i="97" s="1"/>
  <c r="I25" i="97"/>
  <c r="K25" i="97" s="1"/>
  <c r="I24" i="97"/>
  <c r="K24" i="97" s="1"/>
  <c r="I23" i="97"/>
  <c r="K23" i="97" s="1"/>
  <c r="I22" i="97"/>
  <c r="K22" i="97" s="1"/>
  <c r="I21" i="97"/>
  <c r="K21" i="97" s="1"/>
  <c r="K18" i="97"/>
  <c r="K150" i="97" s="1"/>
  <c r="F119" i="97" l="1"/>
  <c r="F123" i="97" s="1"/>
  <c r="F127" i="97" s="1"/>
  <c r="I98" i="97"/>
  <c r="I146" i="97" s="1"/>
  <c r="K49" i="97"/>
  <c r="K142" i="97" s="1"/>
  <c r="I49" i="97"/>
  <c r="I142" i="97" s="1"/>
  <c r="K108" i="97"/>
  <c r="K147" i="97" s="1"/>
  <c r="K36" i="97"/>
  <c r="K141" i="97" s="1"/>
  <c r="K137" i="97"/>
  <c r="K149" i="97" s="1"/>
  <c r="I64" i="97"/>
  <c r="I143" i="97" s="1"/>
  <c r="F152" i="97"/>
  <c r="K74" i="97"/>
  <c r="K144" i="97" s="1"/>
  <c r="K64" i="97"/>
  <c r="K143" i="97" s="1"/>
  <c r="K82" i="97"/>
  <c r="K145" i="97" s="1"/>
  <c r="I74" i="97"/>
  <c r="I144" i="97" s="1"/>
  <c r="K98" i="97"/>
  <c r="K146" i="97" s="1"/>
  <c r="I108" i="97"/>
  <c r="I147" i="97" s="1"/>
  <c r="I36" i="97"/>
  <c r="I141" i="97" s="1"/>
  <c r="J152" i="97"/>
  <c r="H152" i="97"/>
  <c r="G152" i="97"/>
  <c r="I152" i="97" l="1"/>
  <c r="K152" i="97"/>
  <c r="F155" i="97" s="1"/>
  <c r="F154" i="97" l="1"/>
  <c r="J150" i="96"/>
  <c r="I150" i="96"/>
  <c r="H150" i="96"/>
  <c r="K148" i="96"/>
  <c r="J137" i="96"/>
  <c r="J149" i="96" s="1"/>
  <c r="I137" i="96"/>
  <c r="I149" i="96" s="1"/>
  <c r="H137" i="96"/>
  <c r="H149" i="96" s="1"/>
  <c r="G137" i="96"/>
  <c r="G149" i="96" s="1"/>
  <c r="F137" i="96"/>
  <c r="F149" i="96" s="1"/>
  <c r="K135" i="96"/>
  <c r="K134" i="96"/>
  <c r="K133" i="96"/>
  <c r="K132" i="96"/>
  <c r="K131" i="96"/>
  <c r="F119" i="96"/>
  <c r="F123" i="96" s="1"/>
  <c r="F127" i="96" s="1"/>
  <c r="J108" i="96"/>
  <c r="J147" i="96" s="1"/>
  <c r="H108" i="96"/>
  <c r="H147" i="96" s="1"/>
  <c r="G108" i="96"/>
  <c r="G147" i="96" s="1"/>
  <c r="F108" i="96"/>
  <c r="F147" i="96" s="1"/>
  <c r="I106" i="96"/>
  <c r="K106" i="96" s="1"/>
  <c r="I105" i="96"/>
  <c r="K105" i="96" s="1"/>
  <c r="I104" i="96"/>
  <c r="K104" i="96" s="1"/>
  <c r="K103" i="96"/>
  <c r="K102" i="96"/>
  <c r="J98" i="96"/>
  <c r="J146" i="96" s="1"/>
  <c r="H98" i="96"/>
  <c r="H146" i="96" s="1"/>
  <c r="G98" i="96"/>
  <c r="G146" i="96" s="1"/>
  <c r="F98" i="96"/>
  <c r="F146" i="96" s="1"/>
  <c r="I96" i="96"/>
  <c r="K96" i="96" s="1"/>
  <c r="I95" i="96"/>
  <c r="K95" i="96" s="1"/>
  <c r="I94" i="96"/>
  <c r="K94" i="96" s="1"/>
  <c r="I93" i="96"/>
  <c r="K93" i="96" s="1"/>
  <c r="K92" i="96"/>
  <c r="K91" i="96"/>
  <c r="K90" i="96"/>
  <c r="I89" i="96"/>
  <c r="K89" i="96" s="1"/>
  <c r="K88" i="96"/>
  <c r="I87" i="96"/>
  <c r="K87" i="96" s="1"/>
  <c r="I86" i="96"/>
  <c r="K86" i="96" s="1"/>
  <c r="J82" i="96"/>
  <c r="J145" i="96" s="1"/>
  <c r="H82" i="96"/>
  <c r="H145" i="96" s="1"/>
  <c r="G82" i="96"/>
  <c r="G145" i="96" s="1"/>
  <c r="F82" i="96"/>
  <c r="F145" i="96" s="1"/>
  <c r="I80" i="96"/>
  <c r="J58" i="60" s="1"/>
  <c r="K79" i="96"/>
  <c r="I78" i="96"/>
  <c r="J56" i="60" s="1"/>
  <c r="I77" i="96"/>
  <c r="K77" i="96" s="1"/>
  <c r="J74" i="96"/>
  <c r="J144" i="96" s="1"/>
  <c r="H74" i="96"/>
  <c r="H144" i="96" s="1"/>
  <c r="G74" i="96"/>
  <c r="G144" i="96" s="1"/>
  <c r="F74" i="96"/>
  <c r="F144" i="96" s="1"/>
  <c r="I72" i="96"/>
  <c r="K72" i="96" s="1"/>
  <c r="I71" i="96"/>
  <c r="K71" i="96" s="1"/>
  <c r="I70" i="96"/>
  <c r="J49" i="60" s="1"/>
  <c r="I69" i="96"/>
  <c r="K69" i="96" s="1"/>
  <c r="I68" i="96"/>
  <c r="K68" i="96" s="1"/>
  <c r="J64" i="96"/>
  <c r="J143" i="96" s="1"/>
  <c r="I64" i="96"/>
  <c r="I143" i="96" s="1"/>
  <c r="H64" i="96"/>
  <c r="H143" i="96" s="1"/>
  <c r="G64" i="96"/>
  <c r="G143" i="96" s="1"/>
  <c r="F64" i="96"/>
  <c r="F143" i="96" s="1"/>
  <c r="K62" i="96"/>
  <c r="K61" i="96"/>
  <c r="K60" i="96"/>
  <c r="K59" i="96"/>
  <c r="K58" i="96"/>
  <c r="K57" i="96"/>
  <c r="K56" i="96"/>
  <c r="K55" i="96"/>
  <c r="K54" i="96"/>
  <c r="K53" i="96"/>
  <c r="J49" i="96"/>
  <c r="J142" i="96" s="1"/>
  <c r="H49" i="96"/>
  <c r="H142" i="96" s="1"/>
  <c r="G49" i="96"/>
  <c r="G142" i="96" s="1"/>
  <c r="F49" i="96"/>
  <c r="F142" i="96" s="1"/>
  <c r="I47" i="96"/>
  <c r="K47" i="96" s="1"/>
  <c r="I46" i="96"/>
  <c r="K46" i="96" s="1"/>
  <c r="I45" i="96"/>
  <c r="K45" i="96" s="1"/>
  <c r="K44" i="96"/>
  <c r="I43" i="96"/>
  <c r="K43" i="96" s="1"/>
  <c r="K42" i="96"/>
  <c r="I41" i="96"/>
  <c r="K41" i="96" s="1"/>
  <c r="I40" i="96"/>
  <c r="J36" i="96"/>
  <c r="J141" i="96" s="1"/>
  <c r="H36" i="96"/>
  <c r="H141" i="96" s="1"/>
  <c r="G36" i="96"/>
  <c r="G141" i="96" s="1"/>
  <c r="F36" i="96"/>
  <c r="F141" i="96" s="1"/>
  <c r="I34" i="96"/>
  <c r="K34" i="96" s="1"/>
  <c r="I33" i="96"/>
  <c r="K33" i="96" s="1"/>
  <c r="I32" i="96"/>
  <c r="K32" i="96" s="1"/>
  <c r="I31" i="96"/>
  <c r="K31" i="96" s="1"/>
  <c r="I30" i="96"/>
  <c r="K30" i="96" s="1"/>
  <c r="K29" i="96"/>
  <c r="K28" i="96"/>
  <c r="I27" i="96"/>
  <c r="K27" i="96" s="1"/>
  <c r="I26" i="96"/>
  <c r="K25" i="96"/>
  <c r="K24" i="96"/>
  <c r="K23" i="96"/>
  <c r="K22" i="96"/>
  <c r="K21" i="96"/>
  <c r="K18" i="96"/>
  <c r="K150" i="96" s="1"/>
  <c r="K80" i="96" l="1"/>
  <c r="I36" i="96"/>
  <c r="I141" i="96" s="1"/>
  <c r="K70" i="96"/>
  <c r="K74" i="96" s="1"/>
  <c r="K144" i="96" s="1"/>
  <c r="K78" i="96"/>
  <c r="I49" i="96"/>
  <c r="I142" i="96" s="1"/>
  <c r="I108" i="96"/>
  <c r="I147" i="96" s="1"/>
  <c r="K64" i="96"/>
  <c r="K143" i="96" s="1"/>
  <c r="K108" i="96"/>
  <c r="K147" i="96" s="1"/>
  <c r="J152" i="96"/>
  <c r="I98" i="96"/>
  <c r="I146" i="96" s="1"/>
  <c r="K98" i="96"/>
  <c r="K146" i="96" s="1"/>
  <c r="K137" i="96"/>
  <c r="K149" i="96" s="1"/>
  <c r="K26" i="96"/>
  <c r="K36" i="96" s="1"/>
  <c r="K141" i="96" s="1"/>
  <c r="H152" i="96"/>
  <c r="G152" i="96"/>
  <c r="F152" i="96"/>
  <c r="K40" i="96"/>
  <c r="K49" i="96" s="1"/>
  <c r="K142" i="96" s="1"/>
  <c r="I74" i="96"/>
  <c r="I144" i="96" s="1"/>
  <c r="I82" i="96"/>
  <c r="I145" i="96" s="1"/>
  <c r="K82" i="96" l="1"/>
  <c r="K145" i="96" s="1"/>
  <c r="K152" i="96" s="1"/>
  <c r="F155" i="96" s="1"/>
  <c r="I152" i="96"/>
  <c r="F154" i="96" l="1"/>
  <c r="J150" i="70"/>
  <c r="I150" i="70"/>
  <c r="H150" i="70"/>
  <c r="K148" i="70"/>
  <c r="J137" i="70"/>
  <c r="J149" i="70" s="1"/>
  <c r="I137" i="70"/>
  <c r="I149" i="70" s="1"/>
  <c r="H137" i="70"/>
  <c r="H149" i="70" s="1"/>
  <c r="G137" i="70"/>
  <c r="G149" i="70" s="1"/>
  <c r="F137" i="70"/>
  <c r="F149" i="70" s="1"/>
  <c r="K135" i="70"/>
  <c r="K134" i="70"/>
  <c r="K133" i="70"/>
  <c r="K132" i="70"/>
  <c r="K131" i="70"/>
  <c r="F119" i="70"/>
  <c r="J108" i="70"/>
  <c r="J147" i="70" s="1"/>
  <c r="H108" i="70"/>
  <c r="H147" i="70" s="1"/>
  <c r="G108" i="70"/>
  <c r="G147" i="70" s="1"/>
  <c r="F108" i="70"/>
  <c r="F147" i="70" s="1"/>
  <c r="I106" i="70"/>
  <c r="K106" i="70" s="1"/>
  <c r="I105" i="70"/>
  <c r="K105" i="70" s="1"/>
  <c r="I104" i="70"/>
  <c r="K104" i="70" s="1"/>
  <c r="I103" i="70"/>
  <c r="K103" i="70" s="1"/>
  <c r="I102" i="70"/>
  <c r="K102" i="70" s="1"/>
  <c r="J98" i="70"/>
  <c r="J146" i="70" s="1"/>
  <c r="H98" i="70"/>
  <c r="H146" i="70" s="1"/>
  <c r="G98" i="70"/>
  <c r="G146" i="70" s="1"/>
  <c r="F98" i="70"/>
  <c r="F146" i="70" s="1"/>
  <c r="I96" i="70"/>
  <c r="K96" i="70" s="1"/>
  <c r="I95" i="70"/>
  <c r="K95" i="70" s="1"/>
  <c r="I94" i="70"/>
  <c r="K94" i="70" s="1"/>
  <c r="I93" i="70"/>
  <c r="K93" i="70" s="1"/>
  <c r="I92" i="70"/>
  <c r="K92" i="70" s="1"/>
  <c r="I91" i="70"/>
  <c r="K91" i="70" s="1"/>
  <c r="I90" i="70"/>
  <c r="K90" i="70" s="1"/>
  <c r="I89" i="70"/>
  <c r="K89" i="70" s="1"/>
  <c r="I88" i="70"/>
  <c r="K88" i="70" s="1"/>
  <c r="I87" i="70"/>
  <c r="K87" i="70" s="1"/>
  <c r="I86" i="70"/>
  <c r="K86" i="70" s="1"/>
  <c r="J82" i="70"/>
  <c r="J145" i="70" s="1"/>
  <c r="I82" i="70"/>
  <c r="I145" i="70" s="1"/>
  <c r="H82" i="70"/>
  <c r="H145" i="70" s="1"/>
  <c r="G82" i="70"/>
  <c r="G145" i="70" s="1"/>
  <c r="F82" i="70"/>
  <c r="F145" i="70" s="1"/>
  <c r="K80" i="70"/>
  <c r="K79" i="70"/>
  <c r="K78" i="70"/>
  <c r="K77" i="70"/>
  <c r="J74" i="70"/>
  <c r="J144" i="70" s="1"/>
  <c r="I74" i="70"/>
  <c r="I144" i="70" s="1"/>
  <c r="H74" i="70"/>
  <c r="H144" i="70" s="1"/>
  <c r="G74" i="70"/>
  <c r="G144" i="70" s="1"/>
  <c r="F74" i="70"/>
  <c r="F144" i="70" s="1"/>
  <c r="K72" i="70"/>
  <c r="K71" i="70"/>
  <c r="K70" i="70"/>
  <c r="K69" i="70"/>
  <c r="K68" i="70"/>
  <c r="J64" i="70"/>
  <c r="J143" i="70" s="1"/>
  <c r="I64" i="70"/>
  <c r="I143" i="70" s="1"/>
  <c r="H64" i="70"/>
  <c r="H143" i="70" s="1"/>
  <c r="G64" i="70"/>
  <c r="G143" i="70" s="1"/>
  <c r="F64" i="70"/>
  <c r="F143" i="70" s="1"/>
  <c r="K62" i="70"/>
  <c r="K61" i="70"/>
  <c r="K60" i="70"/>
  <c r="K59" i="70"/>
  <c r="K58" i="70"/>
  <c r="K57" i="70"/>
  <c r="K56" i="70"/>
  <c r="K55" i="70"/>
  <c r="K54" i="70"/>
  <c r="K53" i="70"/>
  <c r="J49" i="70"/>
  <c r="J142" i="70" s="1"/>
  <c r="I49" i="70"/>
  <c r="I142" i="70" s="1"/>
  <c r="H49" i="70"/>
  <c r="H142" i="70" s="1"/>
  <c r="G49" i="70"/>
  <c r="G142" i="70" s="1"/>
  <c r="F49" i="70"/>
  <c r="F142" i="70" s="1"/>
  <c r="K47" i="70"/>
  <c r="K46" i="70"/>
  <c r="K45" i="70"/>
  <c r="K44" i="70"/>
  <c r="K43" i="70"/>
  <c r="K42" i="70"/>
  <c r="K41" i="70"/>
  <c r="K40" i="70"/>
  <c r="J36" i="70"/>
  <c r="J141" i="70" s="1"/>
  <c r="H36" i="70"/>
  <c r="H141" i="70" s="1"/>
  <c r="G36" i="70"/>
  <c r="G141" i="70" s="1"/>
  <c r="F36" i="70"/>
  <c r="F141" i="70" s="1"/>
  <c r="I34" i="70"/>
  <c r="K34" i="70" s="1"/>
  <c r="I33" i="70"/>
  <c r="K33" i="70" s="1"/>
  <c r="I32" i="70"/>
  <c r="K32" i="70" s="1"/>
  <c r="K31" i="70"/>
  <c r="I31" i="70"/>
  <c r="I30" i="70"/>
  <c r="K30" i="70" s="1"/>
  <c r="I29" i="70"/>
  <c r="K29" i="70" s="1"/>
  <c r="I28" i="70"/>
  <c r="K28" i="70" s="1"/>
  <c r="I27" i="70"/>
  <c r="K27" i="70" s="1"/>
  <c r="I26" i="70"/>
  <c r="K26" i="70" s="1"/>
  <c r="I25" i="70"/>
  <c r="K25" i="70" s="1"/>
  <c r="I24" i="70"/>
  <c r="K24" i="70" s="1"/>
  <c r="I23" i="70"/>
  <c r="K23" i="70" s="1"/>
  <c r="I22" i="70"/>
  <c r="K22" i="70" s="1"/>
  <c r="I21" i="70"/>
  <c r="K18" i="70"/>
  <c r="K150" i="70" s="1"/>
  <c r="I98" i="70" l="1"/>
  <c r="I146" i="70" s="1"/>
  <c r="K49" i="70"/>
  <c r="K142" i="70" s="1"/>
  <c r="K108" i="70"/>
  <c r="K147" i="70" s="1"/>
  <c r="J152" i="70"/>
  <c r="K82" i="70"/>
  <c r="K145" i="70" s="1"/>
  <c r="K64" i="70"/>
  <c r="K143" i="70" s="1"/>
  <c r="K137" i="70"/>
  <c r="K149" i="70" s="1"/>
  <c r="H152" i="70"/>
  <c r="I36" i="70"/>
  <c r="I141" i="70" s="1"/>
  <c r="K74" i="70"/>
  <c r="K144" i="70" s="1"/>
  <c r="I108" i="70"/>
  <c r="I147" i="70" s="1"/>
  <c r="G152" i="70"/>
  <c r="K98" i="70"/>
  <c r="K146" i="70" s="1"/>
  <c r="F152" i="70"/>
  <c r="K21" i="70"/>
  <c r="K36" i="70" s="1"/>
  <c r="K141" i="70" s="1"/>
  <c r="I152" i="70" l="1"/>
  <c r="K152" i="70"/>
  <c r="J150" i="95"/>
  <c r="I150" i="95"/>
  <c r="H150" i="95"/>
  <c r="K148" i="95"/>
  <c r="J137" i="95"/>
  <c r="J149" i="95" s="1"/>
  <c r="I137" i="95"/>
  <c r="I149" i="95" s="1"/>
  <c r="H137" i="95"/>
  <c r="H149" i="95" s="1"/>
  <c r="G137" i="95"/>
  <c r="G149" i="95" s="1"/>
  <c r="F137" i="95"/>
  <c r="F149" i="95" s="1"/>
  <c r="K135" i="95"/>
  <c r="K134" i="95"/>
  <c r="K133" i="95"/>
  <c r="K132" i="95"/>
  <c r="K131" i="95"/>
  <c r="F119" i="95"/>
  <c r="J108" i="95"/>
  <c r="J147" i="95" s="1"/>
  <c r="H108" i="95"/>
  <c r="H147" i="95" s="1"/>
  <c r="G108" i="95"/>
  <c r="G147" i="95" s="1"/>
  <c r="F108" i="95"/>
  <c r="I106" i="95"/>
  <c r="K106" i="95" s="1"/>
  <c r="I105" i="95"/>
  <c r="K105" i="95" s="1"/>
  <c r="K104" i="95"/>
  <c r="K103" i="95"/>
  <c r="K102" i="95"/>
  <c r="J98" i="95"/>
  <c r="J146" i="95" s="1"/>
  <c r="H98" i="95"/>
  <c r="H146" i="95" s="1"/>
  <c r="G98" i="95"/>
  <c r="G146" i="95" s="1"/>
  <c r="F98" i="95"/>
  <c r="F146" i="95" s="1"/>
  <c r="I96" i="95"/>
  <c r="K96" i="95" s="1"/>
  <c r="I95" i="95"/>
  <c r="K95" i="95" s="1"/>
  <c r="I94" i="95"/>
  <c r="K94" i="95" s="1"/>
  <c r="K93" i="95"/>
  <c r="K92" i="95"/>
  <c r="K91" i="95"/>
  <c r="K90" i="95"/>
  <c r="K89" i="95"/>
  <c r="K88" i="95"/>
  <c r="K87" i="95"/>
  <c r="K86" i="95"/>
  <c r="J82" i="95"/>
  <c r="J145" i="95" s="1"/>
  <c r="I82" i="95"/>
  <c r="I145" i="95" s="1"/>
  <c r="H82" i="95"/>
  <c r="H145" i="95" s="1"/>
  <c r="G82" i="95"/>
  <c r="G145" i="95" s="1"/>
  <c r="F82" i="95"/>
  <c r="F145" i="95" s="1"/>
  <c r="K80" i="95"/>
  <c r="K79" i="95"/>
  <c r="K78" i="95"/>
  <c r="K77" i="95"/>
  <c r="J74" i="95"/>
  <c r="J144" i="95" s="1"/>
  <c r="I74" i="95"/>
  <c r="I144" i="95" s="1"/>
  <c r="H74" i="95"/>
  <c r="H144" i="95" s="1"/>
  <c r="G74" i="95"/>
  <c r="G144" i="95" s="1"/>
  <c r="F74" i="95"/>
  <c r="F144" i="95" s="1"/>
  <c r="K72" i="95"/>
  <c r="K71" i="95"/>
  <c r="K70" i="95"/>
  <c r="K69" i="95"/>
  <c r="K68" i="95"/>
  <c r="J64" i="95"/>
  <c r="J143" i="95" s="1"/>
  <c r="I64" i="95"/>
  <c r="I143" i="95" s="1"/>
  <c r="H64" i="95"/>
  <c r="H143" i="95" s="1"/>
  <c r="G64" i="95"/>
  <c r="G143" i="95" s="1"/>
  <c r="F64" i="95"/>
  <c r="F143" i="95" s="1"/>
  <c r="K62" i="95"/>
  <c r="K61" i="95"/>
  <c r="K60" i="95"/>
  <c r="K59" i="95"/>
  <c r="K58" i="95"/>
  <c r="K57" i="95"/>
  <c r="K56" i="95"/>
  <c r="K55" i="95"/>
  <c r="K54" i="95"/>
  <c r="K53" i="95"/>
  <c r="J49" i="95"/>
  <c r="J142" i="95" s="1"/>
  <c r="I49" i="95"/>
  <c r="I142" i="95" s="1"/>
  <c r="H49" i="95"/>
  <c r="H142" i="95" s="1"/>
  <c r="G49" i="95"/>
  <c r="G142" i="95" s="1"/>
  <c r="F49" i="95"/>
  <c r="F142" i="95" s="1"/>
  <c r="K47" i="95"/>
  <c r="K46" i="95"/>
  <c r="K45" i="95"/>
  <c r="K44" i="95"/>
  <c r="K43" i="95"/>
  <c r="K42" i="95"/>
  <c r="K41" i="95"/>
  <c r="K40" i="95"/>
  <c r="J36" i="95"/>
  <c r="J141" i="95" s="1"/>
  <c r="I36" i="95"/>
  <c r="I141" i="95" s="1"/>
  <c r="H36" i="95"/>
  <c r="H141" i="95" s="1"/>
  <c r="G36" i="95"/>
  <c r="G141" i="95" s="1"/>
  <c r="F36" i="95"/>
  <c r="F141" i="95" s="1"/>
  <c r="K34" i="95"/>
  <c r="K33" i="95"/>
  <c r="K32" i="95"/>
  <c r="K31" i="95"/>
  <c r="K30" i="95"/>
  <c r="K29" i="95"/>
  <c r="K28" i="95"/>
  <c r="K27" i="95"/>
  <c r="K26" i="95"/>
  <c r="K25" i="95"/>
  <c r="K24" i="95"/>
  <c r="K23" i="95"/>
  <c r="K22" i="95"/>
  <c r="K21" i="95"/>
  <c r="K18" i="95"/>
  <c r="K150" i="95" s="1"/>
  <c r="F147" i="95" l="1"/>
  <c r="D30" i="126"/>
  <c r="I108" i="95"/>
  <c r="I147" i="95" s="1"/>
  <c r="I152" i="95" s="1"/>
  <c r="K49" i="95"/>
  <c r="K142" i="95" s="1"/>
  <c r="K137" i="95"/>
  <c r="K149" i="95" s="1"/>
  <c r="K108" i="95"/>
  <c r="K147" i="95" s="1"/>
  <c r="K74" i="95"/>
  <c r="K144" i="95" s="1"/>
  <c r="K82" i="95"/>
  <c r="K145" i="95" s="1"/>
  <c r="I98" i="95"/>
  <c r="I146" i="95" s="1"/>
  <c r="H152" i="95"/>
  <c r="K64" i="95"/>
  <c r="K143" i="95" s="1"/>
  <c r="K98" i="95"/>
  <c r="K146" i="95" s="1"/>
  <c r="K36" i="95"/>
  <c r="K141" i="95" s="1"/>
  <c r="F154" i="70"/>
  <c r="F155" i="70"/>
  <c r="G152" i="95"/>
  <c r="F152" i="95"/>
  <c r="J152" i="95"/>
  <c r="K152" i="95" l="1"/>
  <c r="F155" i="95" s="1"/>
  <c r="F154" i="95" l="1"/>
  <c r="J150" i="94"/>
  <c r="I150" i="94"/>
  <c r="H150" i="94"/>
  <c r="K148" i="94"/>
  <c r="J137" i="94"/>
  <c r="J149" i="94" s="1"/>
  <c r="I137" i="94"/>
  <c r="I149" i="94" s="1"/>
  <c r="H137" i="94"/>
  <c r="H149" i="94" s="1"/>
  <c r="G137" i="94"/>
  <c r="G149" i="94" s="1"/>
  <c r="F137" i="94"/>
  <c r="F149" i="94" s="1"/>
  <c r="K135" i="94"/>
  <c r="K134" i="94"/>
  <c r="K133" i="94"/>
  <c r="K132" i="94"/>
  <c r="K131" i="94"/>
  <c r="F119" i="94"/>
  <c r="F123" i="94" s="1"/>
  <c r="F127" i="94" s="1"/>
  <c r="J108" i="94"/>
  <c r="J147" i="94" s="1"/>
  <c r="H108" i="94"/>
  <c r="H147" i="94" s="1"/>
  <c r="G108" i="94"/>
  <c r="G147" i="94" s="1"/>
  <c r="F108" i="94"/>
  <c r="F147" i="94" s="1"/>
  <c r="I106" i="94"/>
  <c r="K106" i="94" s="1"/>
  <c r="I105" i="94"/>
  <c r="I104" i="94"/>
  <c r="K104" i="94" s="1"/>
  <c r="K103" i="94"/>
  <c r="K102" i="94"/>
  <c r="J98" i="94"/>
  <c r="J146" i="94" s="1"/>
  <c r="H98" i="94"/>
  <c r="H146" i="94" s="1"/>
  <c r="G98" i="94"/>
  <c r="G146" i="94" s="1"/>
  <c r="F98" i="94"/>
  <c r="F146" i="94" s="1"/>
  <c r="I96" i="94"/>
  <c r="K96" i="94" s="1"/>
  <c r="I95" i="94"/>
  <c r="K95" i="94" s="1"/>
  <c r="K94" i="94"/>
  <c r="K93" i="94"/>
  <c r="K92" i="94"/>
  <c r="I91" i="94"/>
  <c r="K91" i="94" s="1"/>
  <c r="I90" i="94"/>
  <c r="K89" i="94"/>
  <c r="K88" i="94"/>
  <c r="K87" i="94"/>
  <c r="I86" i="94"/>
  <c r="K86" i="94" s="1"/>
  <c r="J82" i="94"/>
  <c r="J145" i="94" s="1"/>
  <c r="I82" i="94"/>
  <c r="I145" i="94" s="1"/>
  <c r="H82" i="94"/>
  <c r="H145" i="94" s="1"/>
  <c r="G82" i="94"/>
  <c r="G145" i="94" s="1"/>
  <c r="F82" i="94"/>
  <c r="F145" i="94" s="1"/>
  <c r="K80" i="94"/>
  <c r="K79" i="94"/>
  <c r="K78" i="94"/>
  <c r="K77" i="94"/>
  <c r="J74" i="94"/>
  <c r="J144" i="94" s="1"/>
  <c r="I74" i="94"/>
  <c r="I144" i="94" s="1"/>
  <c r="H74" i="94"/>
  <c r="H144" i="94" s="1"/>
  <c r="G74" i="94"/>
  <c r="G144" i="94" s="1"/>
  <c r="F74" i="94"/>
  <c r="F144" i="94" s="1"/>
  <c r="K72" i="94"/>
  <c r="K71" i="94"/>
  <c r="K70" i="94"/>
  <c r="K69" i="94"/>
  <c r="K68" i="94"/>
  <c r="J64" i="94"/>
  <c r="J143" i="94" s="1"/>
  <c r="I64" i="94"/>
  <c r="I143" i="94" s="1"/>
  <c r="H64" i="94"/>
  <c r="H143" i="94" s="1"/>
  <c r="G64" i="94"/>
  <c r="G143" i="94" s="1"/>
  <c r="F64" i="94"/>
  <c r="F143" i="94" s="1"/>
  <c r="K62" i="94"/>
  <c r="K61" i="94"/>
  <c r="K60" i="94"/>
  <c r="K59" i="94"/>
  <c r="K58" i="94"/>
  <c r="K57" i="94"/>
  <c r="K56" i="94"/>
  <c r="K55" i="94"/>
  <c r="K54" i="94"/>
  <c r="K53" i="94"/>
  <c r="J49" i="94"/>
  <c r="J142" i="94" s="1"/>
  <c r="I49" i="94"/>
  <c r="I142" i="94" s="1"/>
  <c r="H49" i="94"/>
  <c r="H142" i="94" s="1"/>
  <c r="G49" i="94"/>
  <c r="G142" i="94" s="1"/>
  <c r="F49" i="94"/>
  <c r="F142" i="94" s="1"/>
  <c r="K47" i="94"/>
  <c r="K46" i="94"/>
  <c r="K45" i="94"/>
  <c r="K44" i="94"/>
  <c r="K43" i="94"/>
  <c r="K42" i="94"/>
  <c r="K41" i="94"/>
  <c r="K40" i="94"/>
  <c r="J36" i="94"/>
  <c r="J141" i="94" s="1"/>
  <c r="H36" i="94"/>
  <c r="H141" i="94" s="1"/>
  <c r="G36" i="94"/>
  <c r="G141" i="94" s="1"/>
  <c r="F36" i="94"/>
  <c r="F141" i="94" s="1"/>
  <c r="I34" i="94"/>
  <c r="K34" i="94" s="1"/>
  <c r="I33" i="94"/>
  <c r="K33" i="94" s="1"/>
  <c r="I32" i="94"/>
  <c r="K32" i="94" s="1"/>
  <c r="I31" i="94"/>
  <c r="K31" i="94" s="1"/>
  <c r="K30" i="94"/>
  <c r="K29" i="94"/>
  <c r="I28" i="94"/>
  <c r="K28" i="94" s="1"/>
  <c r="I27" i="94"/>
  <c r="K27" i="94" s="1"/>
  <c r="I26" i="94"/>
  <c r="K26" i="94" s="1"/>
  <c r="K25" i="94"/>
  <c r="K24" i="94"/>
  <c r="K23" i="94"/>
  <c r="K22" i="94"/>
  <c r="K21" i="94"/>
  <c r="K18" i="94"/>
  <c r="K150" i="94" s="1"/>
  <c r="K74" i="94" l="1"/>
  <c r="K144" i="94" s="1"/>
  <c r="I108" i="94"/>
  <c r="I147" i="94" s="1"/>
  <c r="I98" i="94"/>
  <c r="I146" i="94" s="1"/>
  <c r="K137" i="94"/>
  <c r="K149" i="94" s="1"/>
  <c r="I36" i="94"/>
  <c r="I141" i="94" s="1"/>
  <c r="K64" i="94"/>
  <c r="K143" i="94" s="1"/>
  <c r="K49" i="94"/>
  <c r="K142" i="94" s="1"/>
  <c r="K82" i="94"/>
  <c r="K145" i="94" s="1"/>
  <c r="K105" i="94"/>
  <c r="K108" i="94" s="1"/>
  <c r="K147" i="94" s="1"/>
  <c r="G152" i="94"/>
  <c r="K36" i="94"/>
  <c r="K141" i="94" s="1"/>
  <c r="J152" i="94"/>
  <c r="F152" i="94"/>
  <c r="H152" i="94"/>
  <c r="K90" i="94"/>
  <c r="K98" i="94" s="1"/>
  <c r="K146" i="94" s="1"/>
  <c r="K152" i="94" l="1"/>
  <c r="F154" i="94" s="1"/>
  <c r="I152" i="94"/>
  <c r="F155" i="94" l="1"/>
  <c r="J150" i="93"/>
  <c r="I150" i="93"/>
  <c r="H150" i="93"/>
  <c r="K148" i="93"/>
  <c r="J137" i="93"/>
  <c r="J149" i="93" s="1"/>
  <c r="I137" i="93"/>
  <c r="I149" i="93" s="1"/>
  <c r="H137" i="93"/>
  <c r="H149" i="93" s="1"/>
  <c r="G137" i="93"/>
  <c r="G149" i="93" s="1"/>
  <c r="F137" i="93"/>
  <c r="F149" i="93" s="1"/>
  <c r="K135" i="93"/>
  <c r="K134" i="93"/>
  <c r="K133" i="93"/>
  <c r="K132" i="93"/>
  <c r="K131" i="93"/>
  <c r="F119" i="93"/>
  <c r="J108" i="93"/>
  <c r="J147" i="93" s="1"/>
  <c r="H108" i="93"/>
  <c r="H147" i="93" s="1"/>
  <c r="G108" i="93"/>
  <c r="G147" i="93" s="1"/>
  <c r="F108" i="93"/>
  <c r="F147" i="93" s="1"/>
  <c r="I106" i="93"/>
  <c r="K106" i="93" s="1"/>
  <c r="I105" i="93"/>
  <c r="K105" i="93" s="1"/>
  <c r="I104" i="93"/>
  <c r="K104" i="93" s="1"/>
  <c r="I103" i="93"/>
  <c r="K103" i="93" s="1"/>
  <c r="I102" i="93"/>
  <c r="K102" i="93" s="1"/>
  <c r="J98" i="93"/>
  <c r="J146" i="93" s="1"/>
  <c r="H98" i="93"/>
  <c r="H146" i="93" s="1"/>
  <c r="G98" i="93"/>
  <c r="G146" i="93" s="1"/>
  <c r="F98" i="93"/>
  <c r="F146" i="93" s="1"/>
  <c r="I96" i="93"/>
  <c r="K96" i="93" s="1"/>
  <c r="I95" i="93"/>
  <c r="K95" i="93" s="1"/>
  <c r="K94" i="93"/>
  <c r="I94" i="93"/>
  <c r="I93" i="93"/>
  <c r="K93" i="93" s="1"/>
  <c r="I92" i="93"/>
  <c r="K92" i="93" s="1"/>
  <c r="I91" i="93"/>
  <c r="K91" i="93" s="1"/>
  <c r="I90" i="93"/>
  <c r="K90" i="93" s="1"/>
  <c r="I89" i="93"/>
  <c r="K89" i="93" s="1"/>
  <c r="I88" i="93"/>
  <c r="K88" i="93" s="1"/>
  <c r="I87" i="93"/>
  <c r="K87" i="93" s="1"/>
  <c r="I86" i="93"/>
  <c r="K86" i="93" s="1"/>
  <c r="J82" i="93"/>
  <c r="J145" i="93" s="1"/>
  <c r="I82" i="93"/>
  <c r="I145" i="93" s="1"/>
  <c r="H82" i="93"/>
  <c r="H145" i="93" s="1"/>
  <c r="G82" i="93"/>
  <c r="G145" i="93" s="1"/>
  <c r="F82" i="93"/>
  <c r="F145" i="93" s="1"/>
  <c r="K80" i="93"/>
  <c r="K79" i="93"/>
  <c r="K78" i="93"/>
  <c r="K77" i="93"/>
  <c r="J74" i="93"/>
  <c r="J144" i="93" s="1"/>
  <c r="I74" i="93"/>
  <c r="I144" i="93" s="1"/>
  <c r="H74" i="93"/>
  <c r="H144" i="93" s="1"/>
  <c r="G74" i="93"/>
  <c r="G144" i="93" s="1"/>
  <c r="F74" i="93"/>
  <c r="F144" i="93" s="1"/>
  <c r="K72" i="93"/>
  <c r="K71" i="93"/>
  <c r="K70" i="93"/>
  <c r="K69" i="93"/>
  <c r="K68" i="93"/>
  <c r="J64" i="93"/>
  <c r="J143" i="93" s="1"/>
  <c r="I64" i="93"/>
  <c r="I143" i="93" s="1"/>
  <c r="H64" i="93"/>
  <c r="H143" i="93" s="1"/>
  <c r="G64" i="93"/>
  <c r="G143" i="93" s="1"/>
  <c r="F64" i="93"/>
  <c r="F143" i="93" s="1"/>
  <c r="K62" i="93"/>
  <c r="K61" i="93"/>
  <c r="K60" i="93"/>
  <c r="K59" i="93"/>
  <c r="K58" i="93"/>
  <c r="K57" i="93"/>
  <c r="K56" i="93"/>
  <c r="K55" i="93"/>
  <c r="K54" i="93"/>
  <c r="K53" i="93"/>
  <c r="J49" i="93"/>
  <c r="J142" i="93" s="1"/>
  <c r="I49" i="93"/>
  <c r="I142" i="93" s="1"/>
  <c r="H49" i="93"/>
  <c r="H142" i="93" s="1"/>
  <c r="G49" i="93"/>
  <c r="G142" i="93" s="1"/>
  <c r="F49" i="93"/>
  <c r="F142" i="93" s="1"/>
  <c r="K47" i="93"/>
  <c r="K46" i="93"/>
  <c r="K45" i="93"/>
  <c r="K44" i="93"/>
  <c r="K43" i="93"/>
  <c r="K42" i="93"/>
  <c r="K41" i="93"/>
  <c r="K40" i="93"/>
  <c r="J36" i="93"/>
  <c r="J141" i="93" s="1"/>
  <c r="H36" i="93"/>
  <c r="H141" i="93" s="1"/>
  <c r="G36" i="93"/>
  <c r="G141" i="93" s="1"/>
  <c r="F36" i="93"/>
  <c r="F141" i="93" s="1"/>
  <c r="I34" i="93"/>
  <c r="K34" i="93" s="1"/>
  <c r="I33" i="93"/>
  <c r="K33" i="93" s="1"/>
  <c r="I32" i="93"/>
  <c r="K32" i="93" s="1"/>
  <c r="I31" i="93"/>
  <c r="K31" i="93" s="1"/>
  <c r="K30" i="93"/>
  <c r="I29" i="93"/>
  <c r="K29" i="93" s="1"/>
  <c r="I28" i="93"/>
  <c r="K28" i="93" s="1"/>
  <c r="I27" i="93"/>
  <c r="K27" i="93" s="1"/>
  <c r="I26" i="93"/>
  <c r="K26" i="93" s="1"/>
  <c r="I25" i="93"/>
  <c r="K25" i="93" s="1"/>
  <c r="I24" i="93"/>
  <c r="K24" i="93" s="1"/>
  <c r="I23" i="93"/>
  <c r="K23" i="93" s="1"/>
  <c r="I22" i="93"/>
  <c r="K22" i="93" s="1"/>
  <c r="I21" i="93"/>
  <c r="K21" i="93" s="1"/>
  <c r="K18" i="93"/>
  <c r="K150" i="93" s="1"/>
  <c r="K108" i="93" l="1"/>
  <c r="K147" i="93" s="1"/>
  <c r="K98" i="93"/>
  <c r="K146" i="93" s="1"/>
  <c r="K137" i="93"/>
  <c r="K149" i="93" s="1"/>
  <c r="K49" i="93"/>
  <c r="K142" i="93" s="1"/>
  <c r="I98" i="93"/>
  <c r="I146" i="93" s="1"/>
  <c r="K74" i="93"/>
  <c r="K144" i="93" s="1"/>
  <c r="I36" i="93"/>
  <c r="I141" i="93" s="1"/>
  <c r="K64" i="93"/>
  <c r="K143" i="93" s="1"/>
  <c r="K82" i="93"/>
  <c r="K145" i="93" s="1"/>
  <c r="I108" i="93"/>
  <c r="I147" i="93" s="1"/>
  <c r="H152" i="93"/>
  <c r="K36" i="93"/>
  <c r="K141" i="93" s="1"/>
  <c r="G152" i="93"/>
  <c r="F152" i="93"/>
  <c r="J152" i="93"/>
  <c r="I152" i="93" l="1"/>
  <c r="K152" i="93"/>
  <c r="F155" i="93" s="1"/>
  <c r="F154" i="93" l="1"/>
  <c r="J150" i="92"/>
  <c r="I150" i="92"/>
  <c r="H150" i="92"/>
  <c r="K148" i="92"/>
  <c r="J137" i="92"/>
  <c r="J149" i="92" s="1"/>
  <c r="I137" i="92"/>
  <c r="I149" i="92" s="1"/>
  <c r="H137" i="92"/>
  <c r="H149" i="92" s="1"/>
  <c r="G137" i="92"/>
  <c r="G149" i="92" s="1"/>
  <c r="F137" i="92"/>
  <c r="F149" i="92" s="1"/>
  <c r="K135" i="92"/>
  <c r="K134" i="92"/>
  <c r="K133" i="92"/>
  <c r="K132" i="92"/>
  <c r="K131" i="92"/>
  <c r="F119" i="92"/>
  <c r="J108" i="92"/>
  <c r="J147" i="92" s="1"/>
  <c r="H108" i="92"/>
  <c r="H147" i="92" s="1"/>
  <c r="G108" i="92"/>
  <c r="G147" i="92" s="1"/>
  <c r="F108" i="92"/>
  <c r="F147" i="92" s="1"/>
  <c r="I106" i="92"/>
  <c r="K106" i="92" s="1"/>
  <c r="I105" i="92"/>
  <c r="K105" i="92" s="1"/>
  <c r="I104" i="92"/>
  <c r="K104" i="92" s="1"/>
  <c r="I103" i="92"/>
  <c r="K103" i="92" s="1"/>
  <c r="I102" i="92"/>
  <c r="K102" i="92" s="1"/>
  <c r="J98" i="92"/>
  <c r="J146" i="92" s="1"/>
  <c r="H98" i="92"/>
  <c r="H146" i="92" s="1"/>
  <c r="G98" i="92"/>
  <c r="G146" i="92" s="1"/>
  <c r="F98" i="92"/>
  <c r="F146" i="92" s="1"/>
  <c r="I96" i="92"/>
  <c r="K96" i="92" s="1"/>
  <c r="I95" i="92"/>
  <c r="K95" i="92" s="1"/>
  <c r="I94" i="92"/>
  <c r="K94" i="92" s="1"/>
  <c r="K93" i="92"/>
  <c r="I92" i="92"/>
  <c r="K92" i="92" s="1"/>
  <c r="I91" i="92"/>
  <c r="K91" i="92" s="1"/>
  <c r="K90" i="92"/>
  <c r="I89" i="92"/>
  <c r="K89" i="92" s="1"/>
  <c r="I88" i="92"/>
  <c r="K88" i="92" s="1"/>
  <c r="I87" i="92"/>
  <c r="K87" i="92" s="1"/>
  <c r="K86" i="92"/>
  <c r="I86" i="92"/>
  <c r="J82" i="92"/>
  <c r="J145" i="92" s="1"/>
  <c r="I82" i="92"/>
  <c r="I145" i="92" s="1"/>
  <c r="H82" i="92"/>
  <c r="H145" i="92" s="1"/>
  <c r="G82" i="92"/>
  <c r="G145" i="92" s="1"/>
  <c r="F82" i="92"/>
  <c r="F145" i="92" s="1"/>
  <c r="K80" i="92"/>
  <c r="K79" i="92"/>
  <c r="K78" i="92"/>
  <c r="K77" i="92"/>
  <c r="J74" i="92"/>
  <c r="J144" i="92" s="1"/>
  <c r="I74" i="92"/>
  <c r="I144" i="92" s="1"/>
  <c r="H74" i="92"/>
  <c r="H144" i="92" s="1"/>
  <c r="G74" i="92"/>
  <c r="G144" i="92" s="1"/>
  <c r="F74" i="92"/>
  <c r="F144" i="92" s="1"/>
  <c r="K72" i="92"/>
  <c r="K71" i="92"/>
  <c r="K70" i="92"/>
  <c r="K69" i="92"/>
  <c r="K68" i="92"/>
  <c r="J64" i="92"/>
  <c r="J143" i="92" s="1"/>
  <c r="I64" i="92"/>
  <c r="I143" i="92" s="1"/>
  <c r="H64" i="92"/>
  <c r="H143" i="92" s="1"/>
  <c r="G64" i="92"/>
  <c r="G143" i="92" s="1"/>
  <c r="F64" i="92"/>
  <c r="F143" i="92" s="1"/>
  <c r="K62" i="92"/>
  <c r="K61" i="92"/>
  <c r="K60" i="92"/>
  <c r="K59" i="92"/>
  <c r="K58" i="92"/>
  <c r="K57" i="92"/>
  <c r="K56" i="92"/>
  <c r="K55" i="92"/>
  <c r="K54" i="92"/>
  <c r="K53" i="92"/>
  <c r="J49" i="92"/>
  <c r="J142" i="92" s="1"/>
  <c r="I49" i="92"/>
  <c r="I142" i="92" s="1"/>
  <c r="H49" i="92"/>
  <c r="H142" i="92" s="1"/>
  <c r="G49" i="92"/>
  <c r="G142" i="92" s="1"/>
  <c r="F49" i="92"/>
  <c r="F142" i="92" s="1"/>
  <c r="K47" i="92"/>
  <c r="K46" i="92"/>
  <c r="K45" i="92"/>
  <c r="K44" i="92"/>
  <c r="K43" i="92"/>
  <c r="K42" i="92"/>
  <c r="K41" i="92"/>
  <c r="K40" i="92"/>
  <c r="J36" i="92"/>
  <c r="J141" i="92" s="1"/>
  <c r="H36" i="92"/>
  <c r="H141" i="92" s="1"/>
  <c r="G36" i="92"/>
  <c r="G141" i="92" s="1"/>
  <c r="F36" i="92"/>
  <c r="F141" i="92" s="1"/>
  <c r="I34" i="92"/>
  <c r="K34" i="92" s="1"/>
  <c r="I33" i="92"/>
  <c r="K33" i="92" s="1"/>
  <c r="I32" i="92"/>
  <c r="K32" i="92" s="1"/>
  <c r="I31" i="92"/>
  <c r="K31" i="92" s="1"/>
  <c r="K30" i="92"/>
  <c r="K29" i="92"/>
  <c r="I28" i="92"/>
  <c r="K28" i="92" s="1"/>
  <c r="I27" i="92"/>
  <c r="K27" i="92" s="1"/>
  <c r="K26" i="92"/>
  <c r="K25" i="92"/>
  <c r="I24" i="92"/>
  <c r="K24" i="92" s="1"/>
  <c r="I23" i="92"/>
  <c r="K23" i="92" s="1"/>
  <c r="K22" i="92"/>
  <c r="K21" i="92"/>
  <c r="K18" i="92"/>
  <c r="K150" i="92" s="1"/>
  <c r="I160" i="108"/>
  <c r="G160" i="108"/>
  <c r="F160" i="108"/>
  <c r="B158" i="108"/>
  <c r="I98" i="92" l="1"/>
  <c r="I146" i="92" s="1"/>
  <c r="K49" i="92"/>
  <c r="K142" i="92" s="1"/>
  <c r="K108" i="92"/>
  <c r="K147" i="92" s="1"/>
  <c r="I108" i="92"/>
  <c r="I147" i="92" s="1"/>
  <c r="K98" i="92"/>
  <c r="K146" i="92" s="1"/>
  <c r="K82" i="92"/>
  <c r="K145" i="92" s="1"/>
  <c r="F152" i="92"/>
  <c r="I36" i="92"/>
  <c r="I141" i="92" s="1"/>
  <c r="K74" i="92"/>
  <c r="K144" i="92" s="1"/>
  <c r="K64" i="92"/>
  <c r="K143" i="92" s="1"/>
  <c r="K36" i="92"/>
  <c r="K141" i="92" s="1"/>
  <c r="K137" i="92"/>
  <c r="K149" i="92" s="1"/>
  <c r="J152" i="92"/>
  <c r="H152" i="92"/>
  <c r="G152" i="92"/>
  <c r="I152" i="92" l="1"/>
  <c r="K152" i="92"/>
  <c r="F155" i="92" s="1"/>
  <c r="J150" i="90"/>
  <c r="I150" i="90"/>
  <c r="H150" i="90"/>
  <c r="K148" i="90"/>
  <c r="J137" i="90"/>
  <c r="J149" i="90" s="1"/>
  <c r="I137" i="90"/>
  <c r="I149" i="90" s="1"/>
  <c r="H137" i="90"/>
  <c r="H149" i="90" s="1"/>
  <c r="G137" i="90"/>
  <c r="G149" i="90" s="1"/>
  <c r="F137" i="90"/>
  <c r="F149" i="90" s="1"/>
  <c r="K135" i="90"/>
  <c r="K134" i="90"/>
  <c r="K133" i="90"/>
  <c r="K132" i="90"/>
  <c r="K131" i="90"/>
  <c r="F119" i="90"/>
  <c r="F123" i="90" s="1"/>
  <c r="J108" i="90"/>
  <c r="J147" i="90" s="1"/>
  <c r="H108" i="90"/>
  <c r="H147" i="90" s="1"/>
  <c r="G108" i="90"/>
  <c r="G147" i="90" s="1"/>
  <c r="F108" i="90"/>
  <c r="F147" i="90" s="1"/>
  <c r="I106" i="90"/>
  <c r="K106" i="90" s="1"/>
  <c r="I105" i="90"/>
  <c r="K105" i="90" s="1"/>
  <c r="I104" i="90"/>
  <c r="K104" i="90" s="1"/>
  <c r="I103" i="90"/>
  <c r="K103" i="90" s="1"/>
  <c r="K102" i="90"/>
  <c r="J98" i="90"/>
  <c r="J146" i="90" s="1"/>
  <c r="H98" i="90"/>
  <c r="H146" i="90" s="1"/>
  <c r="G98" i="90"/>
  <c r="G146" i="90" s="1"/>
  <c r="F98" i="90"/>
  <c r="F146" i="90" s="1"/>
  <c r="I96" i="90"/>
  <c r="K96" i="90" s="1"/>
  <c r="I95" i="90"/>
  <c r="K95" i="90" s="1"/>
  <c r="I94" i="90"/>
  <c r="K94" i="90" s="1"/>
  <c r="K93" i="90"/>
  <c r="K92" i="90"/>
  <c r="I91" i="90"/>
  <c r="K91" i="90" s="1"/>
  <c r="K90" i="90"/>
  <c r="I89" i="90"/>
  <c r="K89" i="90" s="1"/>
  <c r="I88" i="90"/>
  <c r="K88" i="90" s="1"/>
  <c r="K87" i="90"/>
  <c r="K86" i="90"/>
  <c r="J82" i="90"/>
  <c r="J145" i="90" s="1"/>
  <c r="I82" i="90"/>
  <c r="I145" i="90" s="1"/>
  <c r="H82" i="90"/>
  <c r="H145" i="90" s="1"/>
  <c r="G82" i="90"/>
  <c r="G145" i="90" s="1"/>
  <c r="F82" i="90"/>
  <c r="F145" i="90" s="1"/>
  <c r="K80" i="90"/>
  <c r="K79" i="90"/>
  <c r="K78" i="90"/>
  <c r="K77" i="90"/>
  <c r="J74" i="90"/>
  <c r="J144" i="90" s="1"/>
  <c r="I74" i="90"/>
  <c r="I144" i="90" s="1"/>
  <c r="H74" i="90"/>
  <c r="H144" i="90" s="1"/>
  <c r="G74" i="90"/>
  <c r="G144" i="90" s="1"/>
  <c r="F74" i="90"/>
  <c r="F144" i="90" s="1"/>
  <c r="K72" i="90"/>
  <c r="K71" i="90"/>
  <c r="K70" i="90"/>
  <c r="K69" i="90"/>
  <c r="K68" i="90"/>
  <c r="J64" i="90"/>
  <c r="J143" i="90" s="1"/>
  <c r="I64" i="90"/>
  <c r="I143" i="90" s="1"/>
  <c r="H64" i="90"/>
  <c r="H143" i="90" s="1"/>
  <c r="G64" i="90"/>
  <c r="G143" i="90" s="1"/>
  <c r="F64" i="90"/>
  <c r="F143" i="90" s="1"/>
  <c r="K62" i="90"/>
  <c r="K61" i="90"/>
  <c r="K60" i="90"/>
  <c r="K59" i="90"/>
  <c r="K58" i="90"/>
  <c r="K57" i="90"/>
  <c r="K56" i="90"/>
  <c r="K55" i="90"/>
  <c r="K54" i="90"/>
  <c r="K53" i="90"/>
  <c r="J49" i="90"/>
  <c r="J142" i="90" s="1"/>
  <c r="I49" i="90"/>
  <c r="I142" i="90" s="1"/>
  <c r="H49" i="90"/>
  <c r="H142" i="90" s="1"/>
  <c r="G49" i="90"/>
  <c r="G142" i="90" s="1"/>
  <c r="F49" i="90"/>
  <c r="F142" i="90" s="1"/>
  <c r="K47" i="90"/>
  <c r="K46" i="90"/>
  <c r="K45" i="90"/>
  <c r="K44" i="90"/>
  <c r="K43" i="90"/>
  <c r="K42" i="90"/>
  <c r="K41" i="90"/>
  <c r="K40" i="90"/>
  <c r="J36" i="90"/>
  <c r="J141" i="90" s="1"/>
  <c r="H36" i="90"/>
  <c r="H141" i="90" s="1"/>
  <c r="G36" i="90"/>
  <c r="G141" i="90" s="1"/>
  <c r="F36" i="90"/>
  <c r="F141" i="90" s="1"/>
  <c r="I34" i="90"/>
  <c r="K34" i="90" s="1"/>
  <c r="I33" i="90"/>
  <c r="K33" i="90" s="1"/>
  <c r="I32" i="90"/>
  <c r="K32" i="90" s="1"/>
  <c r="I31" i="90"/>
  <c r="K31" i="90" s="1"/>
  <c r="I30" i="90"/>
  <c r="K30" i="90" s="1"/>
  <c r="K29" i="90"/>
  <c r="I28" i="90"/>
  <c r="K28" i="90" s="1"/>
  <c r="I27" i="90"/>
  <c r="K27" i="90" s="1"/>
  <c r="I26" i="90"/>
  <c r="K26" i="90" s="1"/>
  <c r="I25" i="90"/>
  <c r="K25" i="90" s="1"/>
  <c r="K24" i="90"/>
  <c r="I23" i="90"/>
  <c r="K23" i="90" s="1"/>
  <c r="K22" i="90"/>
  <c r="K21" i="90"/>
  <c r="K18" i="90"/>
  <c r="K150" i="90" s="1"/>
  <c r="F154" i="92" l="1"/>
  <c r="K64" i="90"/>
  <c r="K143" i="90" s="1"/>
  <c r="K49" i="90"/>
  <c r="K142" i="90" s="1"/>
  <c r="K137" i="90"/>
  <c r="K149" i="90" s="1"/>
  <c r="K98" i="90"/>
  <c r="K146" i="90" s="1"/>
  <c r="K74" i="90"/>
  <c r="K144" i="90" s="1"/>
  <c r="K82" i="90"/>
  <c r="K145" i="90" s="1"/>
  <c r="G152" i="90"/>
  <c r="F152" i="90"/>
  <c r="J152" i="90"/>
  <c r="H152" i="90"/>
  <c r="K108" i="90"/>
  <c r="K147" i="90" s="1"/>
  <c r="K36" i="90"/>
  <c r="K141" i="90" s="1"/>
  <c r="I108" i="90"/>
  <c r="I147" i="90" s="1"/>
  <c r="I98" i="90"/>
  <c r="I146" i="90" s="1"/>
  <c r="I36" i="90"/>
  <c r="I141" i="90" s="1"/>
  <c r="K152" i="90" l="1"/>
  <c r="I152" i="90"/>
  <c r="F154" i="90" l="1"/>
  <c r="F155" i="90"/>
  <c r="J150" i="89" l="1"/>
  <c r="I150" i="89"/>
  <c r="H150" i="89"/>
  <c r="K148" i="89"/>
  <c r="J137" i="89"/>
  <c r="J149" i="89" s="1"/>
  <c r="I137" i="89"/>
  <c r="I149" i="89" s="1"/>
  <c r="H137" i="89"/>
  <c r="H149" i="89" s="1"/>
  <c r="G137" i="89"/>
  <c r="G149" i="89" s="1"/>
  <c r="F137" i="89"/>
  <c r="F149" i="89" s="1"/>
  <c r="K135" i="89"/>
  <c r="K134" i="89"/>
  <c r="K133" i="89"/>
  <c r="K132" i="89"/>
  <c r="K131" i="89"/>
  <c r="F119" i="89"/>
  <c r="F106" i="89"/>
  <c r="G87" i="60" s="1"/>
  <c r="F105" i="89"/>
  <c r="G86" i="60" s="1"/>
  <c r="I104" i="89"/>
  <c r="K104" i="89" s="1"/>
  <c r="I103" i="89"/>
  <c r="K103" i="89" s="1"/>
  <c r="I102" i="89"/>
  <c r="K102" i="89" s="1"/>
  <c r="I96" i="89"/>
  <c r="K96" i="89" s="1"/>
  <c r="F95" i="89"/>
  <c r="G75" i="60" s="1"/>
  <c r="F94" i="89"/>
  <c r="G74" i="60" s="1"/>
  <c r="I93" i="89"/>
  <c r="K93" i="89" s="1"/>
  <c r="I92" i="89"/>
  <c r="K92" i="89" s="1"/>
  <c r="I91" i="89"/>
  <c r="K91" i="89" s="1"/>
  <c r="F90" i="89"/>
  <c r="G90" i="89" s="1"/>
  <c r="H70" i="60" s="1"/>
  <c r="F89" i="89"/>
  <c r="G69" i="60" s="1"/>
  <c r="I88" i="89"/>
  <c r="K88" i="89" s="1"/>
  <c r="K87" i="89"/>
  <c r="I86" i="89"/>
  <c r="K86" i="89" s="1"/>
  <c r="J82" i="89"/>
  <c r="J145" i="89" s="1"/>
  <c r="I82" i="89"/>
  <c r="I145" i="89" s="1"/>
  <c r="H82" i="89"/>
  <c r="H145" i="89" s="1"/>
  <c r="G82" i="89"/>
  <c r="G145" i="89" s="1"/>
  <c r="F82" i="89"/>
  <c r="F145" i="89" s="1"/>
  <c r="K80" i="89"/>
  <c r="K79" i="89"/>
  <c r="K78" i="89"/>
  <c r="K77" i="89"/>
  <c r="J74" i="89"/>
  <c r="J144" i="89" s="1"/>
  <c r="I74" i="89"/>
  <c r="I144" i="89" s="1"/>
  <c r="H74" i="89"/>
  <c r="H144" i="89" s="1"/>
  <c r="G74" i="89"/>
  <c r="G144" i="89" s="1"/>
  <c r="F74" i="89"/>
  <c r="F144" i="89" s="1"/>
  <c r="K72" i="89"/>
  <c r="K71" i="89"/>
  <c r="K70" i="89"/>
  <c r="K69" i="89"/>
  <c r="K68" i="89"/>
  <c r="J64" i="89"/>
  <c r="J143" i="89" s="1"/>
  <c r="I64" i="89"/>
  <c r="I143" i="89" s="1"/>
  <c r="H64" i="89"/>
  <c r="H143" i="89" s="1"/>
  <c r="G64" i="89"/>
  <c r="G143" i="89" s="1"/>
  <c r="F64" i="89"/>
  <c r="F143" i="89" s="1"/>
  <c r="K62" i="89"/>
  <c r="K61" i="89"/>
  <c r="K60" i="89"/>
  <c r="K59" i="89"/>
  <c r="K58" i="89"/>
  <c r="K57" i="89"/>
  <c r="K56" i="89"/>
  <c r="K55" i="89"/>
  <c r="K54" i="89"/>
  <c r="K53" i="89"/>
  <c r="J49" i="89"/>
  <c r="J142" i="89" s="1"/>
  <c r="I49" i="89"/>
  <c r="I142" i="89" s="1"/>
  <c r="H49" i="89"/>
  <c r="H142" i="89" s="1"/>
  <c r="G49" i="89"/>
  <c r="G142" i="89" s="1"/>
  <c r="F49" i="89"/>
  <c r="F142" i="89" s="1"/>
  <c r="K47" i="89"/>
  <c r="K46" i="89"/>
  <c r="K45" i="89"/>
  <c r="K44" i="89"/>
  <c r="K43" i="89"/>
  <c r="K42" i="89"/>
  <c r="K41" i="89"/>
  <c r="K40" i="89"/>
  <c r="J36" i="89"/>
  <c r="J141" i="89" s="1"/>
  <c r="H36" i="89"/>
  <c r="H141" i="89" s="1"/>
  <c r="G36" i="89"/>
  <c r="G141" i="89" s="1"/>
  <c r="F36" i="89"/>
  <c r="F141" i="89" s="1"/>
  <c r="I34" i="89"/>
  <c r="K34" i="89" s="1"/>
  <c r="I33" i="89"/>
  <c r="K33" i="89" s="1"/>
  <c r="I32" i="89"/>
  <c r="K32" i="89" s="1"/>
  <c r="K31" i="89"/>
  <c r="I30" i="89"/>
  <c r="K30" i="89" s="1"/>
  <c r="I29" i="89"/>
  <c r="K29" i="89" s="1"/>
  <c r="I28" i="89"/>
  <c r="K28" i="89" s="1"/>
  <c r="I27" i="89"/>
  <c r="K27" i="89" s="1"/>
  <c r="I26" i="89"/>
  <c r="K26" i="89" s="1"/>
  <c r="I25" i="89"/>
  <c r="K25" i="89" s="1"/>
  <c r="I24" i="89"/>
  <c r="I23" i="89"/>
  <c r="K23" i="89" s="1"/>
  <c r="K22" i="89"/>
  <c r="I22" i="89"/>
  <c r="I21" i="89"/>
  <c r="K21" i="89" s="1"/>
  <c r="K18" i="89"/>
  <c r="K150" i="89" s="1"/>
  <c r="G105" i="89" l="1"/>
  <c r="H86" i="60" s="1"/>
  <c r="G106" i="89"/>
  <c r="G89" i="89"/>
  <c r="H69" i="60" s="1"/>
  <c r="K64" i="89"/>
  <c r="K143" i="89" s="1"/>
  <c r="H90" i="89"/>
  <c r="I70" i="60" s="1"/>
  <c r="K49" i="89"/>
  <c r="K142" i="89" s="1"/>
  <c r="G95" i="89"/>
  <c r="H75" i="60" s="1"/>
  <c r="G94" i="89"/>
  <c r="H74" i="60" s="1"/>
  <c r="K74" i="89"/>
  <c r="K144" i="89" s="1"/>
  <c r="F98" i="89"/>
  <c r="F146" i="89" s="1"/>
  <c r="F108" i="89"/>
  <c r="F147" i="89" s="1"/>
  <c r="K82" i="89"/>
  <c r="K145" i="89" s="1"/>
  <c r="K137" i="89"/>
  <c r="K149" i="89" s="1"/>
  <c r="I36" i="89"/>
  <c r="I141" i="89" s="1"/>
  <c r="K24" i="89"/>
  <c r="K36" i="89" s="1"/>
  <c r="K141" i="89" s="1"/>
  <c r="F152" i="89" l="1"/>
  <c r="H105" i="89"/>
  <c r="I86" i="60" s="1"/>
  <c r="G108" i="89"/>
  <c r="G147" i="89" s="1"/>
  <c r="H87" i="60"/>
  <c r="H106" i="89"/>
  <c r="H89" i="89"/>
  <c r="I69" i="60" s="1"/>
  <c r="G98" i="89"/>
  <c r="G146" i="89" s="1"/>
  <c r="G152" i="89" s="1"/>
  <c r="H95" i="89"/>
  <c r="I75" i="60" s="1"/>
  <c r="H94" i="89"/>
  <c r="I74" i="60" s="1"/>
  <c r="I90" i="89"/>
  <c r="J90" i="89" s="1"/>
  <c r="K70" i="60" s="1"/>
  <c r="I105" i="89"/>
  <c r="H108" i="89"/>
  <c r="H147" i="89" s="1"/>
  <c r="I87" i="60" l="1"/>
  <c r="I106" i="89"/>
  <c r="I89" i="89"/>
  <c r="J89" i="89" s="1"/>
  <c r="K69" i="60" s="1"/>
  <c r="K90" i="89"/>
  <c r="I95" i="89"/>
  <c r="J95" i="89" s="1"/>
  <c r="K75" i="60" s="1"/>
  <c r="I94" i="89"/>
  <c r="J94" i="89" s="1"/>
  <c r="K74" i="60" s="1"/>
  <c r="H98" i="89"/>
  <c r="H146" i="89" s="1"/>
  <c r="H152" i="89" s="1"/>
  <c r="I108" i="89"/>
  <c r="I147" i="89" s="1"/>
  <c r="J105" i="89"/>
  <c r="K89" i="89" l="1"/>
  <c r="K86" i="60"/>
  <c r="J106" i="89"/>
  <c r="K87" i="60" s="1"/>
  <c r="K106" i="89"/>
  <c r="J98" i="89"/>
  <c r="J146" i="89" s="1"/>
  <c r="I98" i="89"/>
  <c r="I146" i="89" s="1"/>
  <c r="I152" i="89" s="1"/>
  <c r="K95" i="89"/>
  <c r="K94" i="89"/>
  <c r="K105" i="89"/>
  <c r="K108" i="89" l="1"/>
  <c r="K147" i="89" s="1"/>
  <c r="J108" i="89"/>
  <c r="J147" i="89" s="1"/>
  <c r="J152" i="89" s="1"/>
  <c r="K98" i="89"/>
  <c r="K146" i="89" s="1"/>
  <c r="K152" i="89" s="1"/>
  <c r="J150" i="88"/>
  <c r="I150" i="88"/>
  <c r="H150" i="88"/>
  <c r="K148" i="88"/>
  <c r="K137" i="88"/>
  <c r="K149" i="88" s="1"/>
  <c r="J137" i="88"/>
  <c r="J149" i="88" s="1"/>
  <c r="I137" i="88"/>
  <c r="I149" i="88" s="1"/>
  <c r="H137" i="88"/>
  <c r="H149" i="88" s="1"/>
  <c r="G137" i="88"/>
  <c r="G149" i="88" s="1"/>
  <c r="F137" i="88"/>
  <c r="F149" i="88" s="1"/>
  <c r="F119" i="88"/>
  <c r="F123" i="88" s="1"/>
  <c r="F127" i="88" s="1"/>
  <c r="J108" i="88"/>
  <c r="J147" i="88" s="1"/>
  <c r="I108" i="88"/>
  <c r="I147" i="88" s="1"/>
  <c r="H108" i="88"/>
  <c r="H147" i="88" s="1"/>
  <c r="G108" i="88"/>
  <c r="G147" i="88" s="1"/>
  <c r="F108" i="88"/>
  <c r="F147" i="88" s="1"/>
  <c r="K102" i="88"/>
  <c r="K108" i="88" s="1"/>
  <c r="K147" i="88" s="1"/>
  <c r="J98" i="88"/>
  <c r="J146" i="88" s="1"/>
  <c r="I98" i="88"/>
  <c r="I146" i="88" s="1"/>
  <c r="H98" i="88"/>
  <c r="H146" i="88" s="1"/>
  <c r="G98" i="88"/>
  <c r="G146" i="88" s="1"/>
  <c r="F98" i="88"/>
  <c r="F146" i="88" s="1"/>
  <c r="K93" i="88"/>
  <c r="K92" i="88"/>
  <c r="K88" i="88"/>
  <c r="J82" i="88"/>
  <c r="J145" i="88" s="1"/>
  <c r="I82" i="88"/>
  <c r="I145" i="88" s="1"/>
  <c r="H82" i="88"/>
  <c r="H145" i="88" s="1"/>
  <c r="G82" i="88"/>
  <c r="G145" i="88" s="1"/>
  <c r="F82" i="88"/>
  <c r="F145" i="88" s="1"/>
  <c r="K79" i="88"/>
  <c r="K77" i="88"/>
  <c r="J74" i="88"/>
  <c r="J144" i="88" s="1"/>
  <c r="I74" i="88"/>
  <c r="I144" i="88" s="1"/>
  <c r="H74" i="88"/>
  <c r="H144" i="88" s="1"/>
  <c r="G74" i="88"/>
  <c r="G144" i="88" s="1"/>
  <c r="F74" i="88"/>
  <c r="F144" i="88" s="1"/>
  <c r="K69" i="88"/>
  <c r="K68" i="88"/>
  <c r="J64" i="88"/>
  <c r="J143" i="88" s="1"/>
  <c r="I64" i="88"/>
  <c r="I143" i="88" s="1"/>
  <c r="H64" i="88"/>
  <c r="H143" i="88" s="1"/>
  <c r="G64" i="88"/>
  <c r="G143" i="88" s="1"/>
  <c r="F64" i="88"/>
  <c r="F143" i="88" s="1"/>
  <c r="K54" i="88"/>
  <c r="K53" i="88"/>
  <c r="J49" i="88"/>
  <c r="J142" i="88" s="1"/>
  <c r="I49" i="88"/>
  <c r="I142" i="88" s="1"/>
  <c r="H49" i="88"/>
  <c r="H142" i="88" s="1"/>
  <c r="G49" i="88"/>
  <c r="G142" i="88" s="1"/>
  <c r="F49" i="88"/>
  <c r="F142" i="88" s="1"/>
  <c r="K42" i="88"/>
  <c r="K41" i="88"/>
  <c r="K40" i="88"/>
  <c r="J36" i="88"/>
  <c r="J141" i="88" s="1"/>
  <c r="I36" i="88"/>
  <c r="I141" i="88" s="1"/>
  <c r="H36" i="88"/>
  <c r="H141" i="88" s="1"/>
  <c r="G36" i="88"/>
  <c r="G141" i="88" s="1"/>
  <c r="F36" i="88"/>
  <c r="F141" i="88" s="1"/>
  <c r="K30" i="88"/>
  <c r="K29" i="88"/>
  <c r="K27" i="88"/>
  <c r="K25" i="88"/>
  <c r="K24" i="88"/>
  <c r="K23" i="88"/>
  <c r="K21" i="88"/>
  <c r="K18" i="88"/>
  <c r="K150" i="88" s="1"/>
  <c r="F155" i="89" l="1"/>
  <c r="F154" i="89"/>
  <c r="K36" i="88"/>
  <c r="K141" i="88" s="1"/>
  <c r="K82" i="88"/>
  <c r="K145" i="88" s="1"/>
  <c r="K98" i="88"/>
  <c r="K146" i="88" s="1"/>
  <c r="K49" i="88"/>
  <c r="K142" i="88" s="1"/>
  <c r="J152" i="88"/>
  <c r="K74" i="88"/>
  <c r="K144" i="88" s="1"/>
  <c r="K64" i="88"/>
  <c r="K143" i="88" s="1"/>
  <c r="I152" i="88"/>
  <c r="F152" i="88"/>
  <c r="H152" i="88"/>
  <c r="G152" i="88"/>
  <c r="K152" i="88" l="1"/>
  <c r="F155" i="88" s="1"/>
  <c r="F154" i="88" l="1"/>
  <c r="J150" i="123"/>
  <c r="I150" i="123"/>
  <c r="H150" i="123"/>
  <c r="K148" i="123"/>
  <c r="J137" i="123"/>
  <c r="J149" i="123" s="1"/>
  <c r="I137" i="123"/>
  <c r="I149" i="123" s="1"/>
  <c r="H137" i="123"/>
  <c r="H149" i="123" s="1"/>
  <c r="G137" i="123"/>
  <c r="G149" i="123" s="1"/>
  <c r="F137" i="123"/>
  <c r="F149" i="123" s="1"/>
  <c r="K135" i="123"/>
  <c r="K134" i="123"/>
  <c r="K133" i="123"/>
  <c r="K132" i="123"/>
  <c r="K131" i="123"/>
  <c r="F119" i="123"/>
  <c r="J108" i="123"/>
  <c r="J147" i="123" s="1"/>
  <c r="H108" i="123"/>
  <c r="H147" i="123" s="1"/>
  <c r="G108" i="123"/>
  <c r="G147" i="123" s="1"/>
  <c r="F108" i="123"/>
  <c r="F147" i="123" s="1"/>
  <c r="I106" i="123"/>
  <c r="K106" i="123" s="1"/>
  <c r="I105" i="123"/>
  <c r="K105" i="123" s="1"/>
  <c r="I104" i="123"/>
  <c r="K104" i="123" s="1"/>
  <c r="I103" i="123"/>
  <c r="K103" i="123" s="1"/>
  <c r="I102" i="123"/>
  <c r="K102" i="123" s="1"/>
  <c r="J98" i="123"/>
  <c r="J146" i="123" s="1"/>
  <c r="H98" i="123"/>
  <c r="H146" i="123" s="1"/>
  <c r="G98" i="123"/>
  <c r="G146" i="123" s="1"/>
  <c r="F98" i="123"/>
  <c r="F146" i="123" s="1"/>
  <c r="I96" i="123"/>
  <c r="K96" i="123" s="1"/>
  <c r="I95" i="123"/>
  <c r="K95" i="123" s="1"/>
  <c r="I94" i="123"/>
  <c r="K94" i="123" s="1"/>
  <c r="I93" i="123"/>
  <c r="K93" i="123" s="1"/>
  <c r="I92" i="123"/>
  <c r="K92" i="123" s="1"/>
  <c r="I91" i="123"/>
  <c r="K91" i="123" s="1"/>
  <c r="I90" i="123"/>
  <c r="K90" i="123" s="1"/>
  <c r="I89" i="123"/>
  <c r="K89" i="123" s="1"/>
  <c r="I88" i="123"/>
  <c r="K88" i="123" s="1"/>
  <c r="K87" i="123"/>
  <c r="I87" i="123"/>
  <c r="I86" i="123"/>
  <c r="K86" i="123" s="1"/>
  <c r="J82" i="123"/>
  <c r="J145" i="123" s="1"/>
  <c r="I82" i="123"/>
  <c r="I145" i="123" s="1"/>
  <c r="H82" i="123"/>
  <c r="H145" i="123" s="1"/>
  <c r="G82" i="123"/>
  <c r="G145" i="123" s="1"/>
  <c r="F82" i="123"/>
  <c r="F145" i="123" s="1"/>
  <c r="K80" i="123"/>
  <c r="K79" i="123"/>
  <c r="K78" i="123"/>
  <c r="K77" i="123"/>
  <c r="J74" i="123"/>
  <c r="J144" i="123" s="1"/>
  <c r="I74" i="123"/>
  <c r="I144" i="123" s="1"/>
  <c r="H74" i="123"/>
  <c r="H144" i="123" s="1"/>
  <c r="G74" i="123"/>
  <c r="G144" i="123" s="1"/>
  <c r="F74" i="123"/>
  <c r="F144" i="123" s="1"/>
  <c r="K72" i="123"/>
  <c r="K71" i="123"/>
  <c r="K70" i="123"/>
  <c r="K69" i="123"/>
  <c r="K68" i="123"/>
  <c r="J64" i="123"/>
  <c r="J143" i="123" s="1"/>
  <c r="I64" i="123"/>
  <c r="I143" i="123" s="1"/>
  <c r="H64" i="123"/>
  <c r="H143" i="123" s="1"/>
  <c r="G64" i="123"/>
  <c r="G143" i="123" s="1"/>
  <c r="F64" i="123"/>
  <c r="F143" i="123" s="1"/>
  <c r="K62" i="123"/>
  <c r="K61" i="123"/>
  <c r="K60" i="123"/>
  <c r="K59" i="123"/>
  <c r="K58" i="123"/>
  <c r="K57" i="123"/>
  <c r="K56" i="123"/>
  <c r="K55" i="123"/>
  <c r="K54" i="123"/>
  <c r="K53" i="123"/>
  <c r="J49" i="123"/>
  <c r="J142" i="123" s="1"/>
  <c r="I49" i="123"/>
  <c r="I142" i="123" s="1"/>
  <c r="H49" i="123"/>
  <c r="H142" i="123" s="1"/>
  <c r="G49" i="123"/>
  <c r="G142" i="123" s="1"/>
  <c r="F49" i="123"/>
  <c r="F142" i="123" s="1"/>
  <c r="K47" i="123"/>
  <c r="K46" i="123"/>
  <c r="K45" i="123"/>
  <c r="K44" i="123"/>
  <c r="K43" i="123"/>
  <c r="K42" i="123"/>
  <c r="K41" i="123"/>
  <c r="K40" i="123"/>
  <c r="J36" i="123"/>
  <c r="J141" i="123" s="1"/>
  <c r="H36" i="123"/>
  <c r="H141" i="123" s="1"/>
  <c r="G36" i="123"/>
  <c r="G141" i="123" s="1"/>
  <c r="F36" i="123"/>
  <c r="F141" i="123" s="1"/>
  <c r="I34" i="123"/>
  <c r="K34" i="123" s="1"/>
  <c r="I33" i="123"/>
  <c r="K33" i="123" s="1"/>
  <c r="I32" i="123"/>
  <c r="K32" i="123" s="1"/>
  <c r="I31" i="123"/>
  <c r="K31" i="123" s="1"/>
  <c r="I30" i="123"/>
  <c r="K30" i="123" s="1"/>
  <c r="I29" i="123"/>
  <c r="K29" i="123" s="1"/>
  <c r="I28" i="123"/>
  <c r="K28" i="123" s="1"/>
  <c r="I27" i="123"/>
  <c r="K27" i="123" s="1"/>
  <c r="K26" i="123"/>
  <c r="I26" i="123"/>
  <c r="I25" i="123"/>
  <c r="K25" i="123" s="1"/>
  <c r="I24" i="123"/>
  <c r="K24" i="123" s="1"/>
  <c r="I23" i="123"/>
  <c r="K23" i="123" s="1"/>
  <c r="I22" i="123"/>
  <c r="K22" i="123" s="1"/>
  <c r="I21" i="123"/>
  <c r="K21" i="123" s="1"/>
  <c r="K18" i="123"/>
  <c r="K150" i="123" s="1"/>
  <c r="I108" i="123" l="1"/>
  <c r="I147" i="123" s="1"/>
  <c r="I36" i="123"/>
  <c r="I141" i="123" s="1"/>
  <c r="K64" i="123"/>
  <c r="K143" i="123" s="1"/>
  <c r="H152" i="123"/>
  <c r="I98" i="123"/>
  <c r="I146" i="123" s="1"/>
  <c r="K74" i="123"/>
  <c r="K144" i="123" s="1"/>
  <c r="K49" i="123"/>
  <c r="K142" i="123" s="1"/>
  <c r="K82" i="123"/>
  <c r="K145" i="123" s="1"/>
  <c r="K108" i="123"/>
  <c r="K147" i="123" s="1"/>
  <c r="K137" i="123"/>
  <c r="K149" i="123" s="1"/>
  <c r="K36" i="123"/>
  <c r="K141" i="123" s="1"/>
  <c r="J152" i="123"/>
  <c r="K98" i="123"/>
  <c r="K146" i="123" s="1"/>
  <c r="G152" i="123"/>
  <c r="F152" i="123"/>
  <c r="I152" i="123" l="1"/>
  <c r="K152" i="123"/>
  <c r="F155" i="123" s="1"/>
  <c r="F154" i="123" l="1"/>
  <c r="J150" i="86"/>
  <c r="I150" i="86"/>
  <c r="H150" i="86"/>
  <c r="K148" i="86"/>
  <c r="J137" i="86"/>
  <c r="J149" i="86" s="1"/>
  <c r="I137" i="86"/>
  <c r="I149" i="86" s="1"/>
  <c r="H137" i="86"/>
  <c r="H149" i="86" s="1"/>
  <c r="G137" i="86"/>
  <c r="G149" i="86" s="1"/>
  <c r="F137" i="86"/>
  <c r="F149" i="86" s="1"/>
  <c r="K135" i="86"/>
  <c r="K134" i="86"/>
  <c r="K133" i="86"/>
  <c r="K132" i="86"/>
  <c r="K131" i="86"/>
  <c r="F119" i="86"/>
  <c r="J108" i="86"/>
  <c r="J147" i="86" s="1"/>
  <c r="H108" i="86"/>
  <c r="H147" i="86" s="1"/>
  <c r="G108" i="86"/>
  <c r="G147" i="86" s="1"/>
  <c r="F108" i="86"/>
  <c r="I106" i="86"/>
  <c r="K106" i="86" s="1"/>
  <c r="I105" i="86"/>
  <c r="K105" i="86" s="1"/>
  <c r="I104" i="86"/>
  <c r="K104" i="86" s="1"/>
  <c r="I103" i="86"/>
  <c r="K103" i="86" s="1"/>
  <c r="I102" i="86"/>
  <c r="K102" i="86" s="1"/>
  <c r="J98" i="86"/>
  <c r="J146" i="86" s="1"/>
  <c r="H98" i="86"/>
  <c r="H146" i="86" s="1"/>
  <c r="G98" i="86"/>
  <c r="G146" i="86" s="1"/>
  <c r="F98" i="86"/>
  <c r="F146" i="86" s="1"/>
  <c r="I96" i="86"/>
  <c r="K96" i="86" s="1"/>
  <c r="I95" i="86"/>
  <c r="K95" i="86" s="1"/>
  <c r="I94" i="86"/>
  <c r="K94" i="86" s="1"/>
  <c r="I93" i="86"/>
  <c r="K93" i="86" s="1"/>
  <c r="I92" i="86"/>
  <c r="K92" i="86" s="1"/>
  <c r="I91" i="86"/>
  <c r="K91" i="86" s="1"/>
  <c r="K90" i="86"/>
  <c r="I89" i="86"/>
  <c r="K89" i="86" s="1"/>
  <c r="I88" i="86"/>
  <c r="K88" i="86" s="1"/>
  <c r="K87" i="86"/>
  <c r="K86" i="86"/>
  <c r="J82" i="86"/>
  <c r="J145" i="86" s="1"/>
  <c r="I82" i="86"/>
  <c r="I145" i="86" s="1"/>
  <c r="H82" i="86"/>
  <c r="H145" i="86" s="1"/>
  <c r="G82" i="86"/>
  <c r="G145" i="86" s="1"/>
  <c r="F82" i="86"/>
  <c r="F145" i="86" s="1"/>
  <c r="K80" i="86"/>
  <c r="K79" i="86"/>
  <c r="K78" i="86"/>
  <c r="K77" i="86"/>
  <c r="J74" i="86"/>
  <c r="I74" i="86"/>
  <c r="H74" i="86"/>
  <c r="H144" i="86" s="1"/>
  <c r="G74" i="86"/>
  <c r="F74" i="86"/>
  <c r="K72" i="86"/>
  <c r="K71" i="86"/>
  <c r="K70" i="86"/>
  <c r="K69" i="86"/>
  <c r="K68" i="86"/>
  <c r="J64" i="86"/>
  <c r="J143" i="86" s="1"/>
  <c r="I64" i="86"/>
  <c r="I143" i="86" s="1"/>
  <c r="H64" i="86"/>
  <c r="H143" i="86" s="1"/>
  <c r="G64" i="86"/>
  <c r="G143" i="86" s="1"/>
  <c r="F64" i="86"/>
  <c r="F143" i="86" s="1"/>
  <c r="K63" i="86"/>
  <c r="K62" i="86"/>
  <c r="K61" i="86"/>
  <c r="K60" i="86"/>
  <c r="K59" i="86"/>
  <c r="K57" i="86"/>
  <c r="K54" i="86"/>
  <c r="K53" i="86"/>
  <c r="K52" i="86"/>
  <c r="K51" i="86"/>
  <c r="K50" i="86"/>
  <c r="J48" i="86"/>
  <c r="H48" i="86"/>
  <c r="I48" i="86" s="1"/>
  <c r="G48" i="86"/>
  <c r="F48" i="86"/>
  <c r="I47" i="86"/>
  <c r="I46" i="86"/>
  <c r="I45" i="86"/>
  <c r="I44" i="86"/>
  <c r="I43" i="86"/>
  <c r="I42" i="86"/>
  <c r="I41" i="86"/>
  <c r="I40" i="86"/>
  <c r="J36" i="86"/>
  <c r="J141" i="86" s="1"/>
  <c r="H36" i="86"/>
  <c r="H141" i="86" s="1"/>
  <c r="G36" i="86"/>
  <c r="G141" i="86" s="1"/>
  <c r="F36" i="86"/>
  <c r="F141" i="86" s="1"/>
  <c r="I34" i="86"/>
  <c r="K34" i="86" s="1"/>
  <c r="I33" i="86"/>
  <c r="I32" i="86"/>
  <c r="I31" i="86"/>
  <c r="I30" i="86"/>
  <c r="I29" i="86"/>
  <c r="I28" i="86"/>
  <c r="K28" i="86" s="1"/>
  <c r="I27" i="86"/>
  <c r="I26" i="86"/>
  <c r="I25" i="86"/>
  <c r="I24" i="86"/>
  <c r="I23" i="86"/>
  <c r="I22" i="86"/>
  <c r="I21" i="86"/>
  <c r="K18" i="86"/>
  <c r="F147" i="86" l="1"/>
  <c r="D19" i="126"/>
  <c r="K41" i="86"/>
  <c r="J144" i="86"/>
  <c r="K55" i="60"/>
  <c r="I144" i="86"/>
  <c r="G144" i="86"/>
  <c r="H55" i="60"/>
  <c r="K45" i="86"/>
  <c r="K32" i="86"/>
  <c r="K27" i="86"/>
  <c r="K40" i="86"/>
  <c r="F144" i="86"/>
  <c r="K23" i="86"/>
  <c r="K44" i="86"/>
  <c r="J142" i="86"/>
  <c r="F142" i="86"/>
  <c r="K24" i="86"/>
  <c r="G142" i="86"/>
  <c r="K74" i="86"/>
  <c r="K144" i="86" s="1"/>
  <c r="H142" i="86"/>
  <c r="H152" i="86" s="1"/>
  <c r="K137" i="86"/>
  <c r="K149" i="86" s="1"/>
  <c r="K64" i="86"/>
  <c r="K143" i="86" s="1"/>
  <c r="K33" i="86"/>
  <c r="K43" i="86"/>
  <c r="K108" i="86"/>
  <c r="K147" i="86" s="1"/>
  <c r="K22" i="86"/>
  <c r="K31" i="86"/>
  <c r="I98" i="86"/>
  <c r="I146" i="86" s="1"/>
  <c r="I142" i="86"/>
  <c r="K47" i="86"/>
  <c r="K150" i="86"/>
  <c r="K26" i="86"/>
  <c r="K42" i="86"/>
  <c r="K25" i="86"/>
  <c r="K29" i="86"/>
  <c r="I36" i="86"/>
  <c r="I141" i="86" s="1"/>
  <c r="K82" i="86"/>
  <c r="K145" i="86" s="1"/>
  <c r="K30" i="86"/>
  <c r="K46" i="86"/>
  <c r="K98" i="86"/>
  <c r="K146" i="86" s="1"/>
  <c r="I108" i="86"/>
  <c r="I147" i="86" s="1"/>
  <c r="K21" i="86"/>
  <c r="G152" i="86" l="1"/>
  <c r="J152" i="86"/>
  <c r="F152" i="86"/>
  <c r="I152" i="86"/>
  <c r="K48" i="86"/>
  <c r="K36" i="86"/>
  <c r="K141" i="86" s="1"/>
  <c r="K142" i="86" l="1"/>
  <c r="K152" i="86" s="1"/>
  <c r="F19" i="126" s="1"/>
  <c r="J150" i="85"/>
  <c r="I150" i="85"/>
  <c r="H150" i="85"/>
  <c r="K148" i="85"/>
  <c r="J137" i="85"/>
  <c r="J149" i="85" s="1"/>
  <c r="I137" i="85"/>
  <c r="I149" i="85" s="1"/>
  <c r="H137" i="85"/>
  <c r="H149" i="85" s="1"/>
  <c r="G137" i="85"/>
  <c r="G149" i="85" s="1"/>
  <c r="F137" i="85"/>
  <c r="F149" i="85" s="1"/>
  <c r="K135" i="85"/>
  <c r="K134" i="85"/>
  <c r="K133" i="85"/>
  <c r="K132" i="85"/>
  <c r="K131" i="85"/>
  <c r="F119" i="85"/>
  <c r="F123" i="85" s="1"/>
  <c r="J108" i="85"/>
  <c r="J147" i="85" s="1"/>
  <c r="H108" i="85"/>
  <c r="H147" i="85" s="1"/>
  <c r="G108" i="85"/>
  <c r="G147" i="85" s="1"/>
  <c r="F108" i="85"/>
  <c r="F147" i="85" s="1"/>
  <c r="I106" i="85"/>
  <c r="I105" i="85"/>
  <c r="I104" i="85"/>
  <c r="K104" i="85" s="1"/>
  <c r="K103" i="85"/>
  <c r="K102" i="85"/>
  <c r="J98" i="85"/>
  <c r="J146" i="85" s="1"/>
  <c r="H98" i="85"/>
  <c r="H146" i="85" s="1"/>
  <c r="G98" i="85"/>
  <c r="G146" i="85" s="1"/>
  <c r="F98" i="85"/>
  <c r="F146" i="85" s="1"/>
  <c r="I96" i="85"/>
  <c r="K96" i="85" s="1"/>
  <c r="I95" i="85"/>
  <c r="I94" i="85"/>
  <c r="K93" i="85"/>
  <c r="K92" i="85"/>
  <c r="K91" i="85"/>
  <c r="I90" i="85"/>
  <c r="I89" i="85"/>
  <c r="K89" i="85" s="1"/>
  <c r="K88" i="85"/>
  <c r="I87" i="85"/>
  <c r="I86" i="85"/>
  <c r="K86" i="85" s="1"/>
  <c r="J82" i="85"/>
  <c r="J145" i="85" s="1"/>
  <c r="I82" i="85"/>
  <c r="I145" i="85" s="1"/>
  <c r="H82" i="85"/>
  <c r="H145" i="85" s="1"/>
  <c r="G82" i="85"/>
  <c r="G145" i="85" s="1"/>
  <c r="F82" i="85"/>
  <c r="F145" i="85" s="1"/>
  <c r="K80" i="85"/>
  <c r="K79" i="85"/>
  <c r="K78" i="85"/>
  <c r="K77" i="85"/>
  <c r="J74" i="85"/>
  <c r="J144" i="85" s="1"/>
  <c r="I74" i="85"/>
  <c r="I144" i="85" s="1"/>
  <c r="H74" i="85"/>
  <c r="H144" i="85" s="1"/>
  <c r="G74" i="85"/>
  <c r="G144" i="85" s="1"/>
  <c r="F74" i="85"/>
  <c r="F144" i="85" s="1"/>
  <c r="K72" i="85"/>
  <c r="K71" i="85"/>
  <c r="K70" i="85"/>
  <c r="K69" i="85"/>
  <c r="K68" i="85"/>
  <c r="J64" i="85"/>
  <c r="J143" i="85" s="1"/>
  <c r="I64" i="85"/>
  <c r="I143" i="85" s="1"/>
  <c r="H64" i="85"/>
  <c r="H143" i="85" s="1"/>
  <c r="G64" i="85"/>
  <c r="G143" i="85" s="1"/>
  <c r="F64" i="85"/>
  <c r="F143" i="85" s="1"/>
  <c r="K62" i="85"/>
  <c r="K61" i="85"/>
  <c r="K60" i="85"/>
  <c r="K59" i="85"/>
  <c r="K58" i="85"/>
  <c r="K57" i="85"/>
  <c r="K56" i="85"/>
  <c r="K55" i="85"/>
  <c r="K54" i="85"/>
  <c r="K53" i="85"/>
  <c r="J49" i="85"/>
  <c r="J142" i="85" s="1"/>
  <c r="I49" i="85"/>
  <c r="I142" i="85" s="1"/>
  <c r="H49" i="85"/>
  <c r="H142" i="85" s="1"/>
  <c r="G49" i="85"/>
  <c r="G142" i="85" s="1"/>
  <c r="F49" i="85"/>
  <c r="F142" i="85" s="1"/>
  <c r="K47" i="85"/>
  <c r="K46" i="85"/>
  <c r="K45" i="85"/>
  <c r="K44" i="85"/>
  <c r="K43" i="85"/>
  <c r="K42" i="85"/>
  <c r="K41" i="85"/>
  <c r="K40" i="85"/>
  <c r="J36" i="85"/>
  <c r="J141" i="85" s="1"/>
  <c r="H36" i="85"/>
  <c r="H141" i="85" s="1"/>
  <c r="G36" i="85"/>
  <c r="G141" i="85" s="1"/>
  <c r="F36" i="85"/>
  <c r="F141" i="85" s="1"/>
  <c r="I34" i="85"/>
  <c r="K33" i="85"/>
  <c r="I33" i="85"/>
  <c r="I32" i="85"/>
  <c r="I31" i="85"/>
  <c r="I30" i="85"/>
  <c r="K29" i="85"/>
  <c r="I28" i="85"/>
  <c r="I27" i="85"/>
  <c r="I26" i="85"/>
  <c r="I25" i="85"/>
  <c r="K24" i="85"/>
  <c r="I23" i="85"/>
  <c r="I22" i="85"/>
  <c r="K21" i="85"/>
  <c r="K18" i="85"/>
  <c r="K23" i="85" l="1"/>
  <c r="K30" i="85"/>
  <c r="K106" i="85"/>
  <c r="K34" i="85"/>
  <c r="K95" i="85"/>
  <c r="K28" i="85"/>
  <c r="K87" i="85"/>
  <c r="K26" i="85"/>
  <c r="F152" i="85"/>
  <c r="K31" i="85"/>
  <c r="K25" i="85"/>
  <c r="K49" i="85"/>
  <c r="K142" i="85" s="1"/>
  <c r="K94" i="85"/>
  <c r="K137" i="85"/>
  <c r="K149" i="85" s="1"/>
  <c r="K64" i="85"/>
  <c r="K143" i="85" s="1"/>
  <c r="K74" i="85"/>
  <c r="K144" i="85" s="1"/>
  <c r="F155" i="86"/>
  <c r="F154" i="86"/>
  <c r="K90" i="85"/>
  <c r="K22" i="85"/>
  <c r="K82" i="85"/>
  <c r="K145" i="85" s="1"/>
  <c r="I98" i="85"/>
  <c r="I146" i="85" s="1"/>
  <c r="I108" i="85"/>
  <c r="I147" i="85" s="1"/>
  <c r="K27" i="85"/>
  <c r="K32" i="85"/>
  <c r="K150" i="85"/>
  <c r="J152" i="85"/>
  <c r="H152" i="85"/>
  <c r="G152" i="85"/>
  <c r="K105" i="85"/>
  <c r="I36" i="85"/>
  <c r="I141" i="85" s="1"/>
  <c r="K98" i="85" l="1"/>
  <c r="K146" i="85" s="1"/>
  <c r="K108" i="85"/>
  <c r="K147" i="85" s="1"/>
  <c r="I152" i="85"/>
  <c r="K36" i="85"/>
  <c r="K141" i="85" s="1"/>
  <c r="K152" i="85" l="1"/>
  <c r="F155" i="85" s="1"/>
  <c r="F154" i="85" l="1"/>
  <c r="J150" i="84"/>
  <c r="I150" i="84"/>
  <c r="H150" i="84"/>
  <c r="K148" i="84"/>
  <c r="J137" i="84"/>
  <c r="J149" i="84" s="1"/>
  <c r="I137" i="84"/>
  <c r="I149" i="84" s="1"/>
  <c r="H137" i="84"/>
  <c r="H149" i="84" s="1"/>
  <c r="G137" i="84"/>
  <c r="G149" i="84" s="1"/>
  <c r="F137" i="84"/>
  <c r="F149" i="84" s="1"/>
  <c r="K135" i="84"/>
  <c r="K134" i="84"/>
  <c r="K133" i="84"/>
  <c r="K132" i="84"/>
  <c r="K131" i="84"/>
  <c r="F125" i="84"/>
  <c r="F119" i="84"/>
  <c r="J108" i="84"/>
  <c r="J147" i="84" s="1"/>
  <c r="H108" i="84"/>
  <c r="H147" i="84" s="1"/>
  <c r="G108" i="84"/>
  <c r="G147" i="84" s="1"/>
  <c r="F108" i="84"/>
  <c r="F147" i="84" s="1"/>
  <c r="I106" i="84"/>
  <c r="I105" i="84"/>
  <c r="I104" i="84"/>
  <c r="I103" i="84"/>
  <c r="I102" i="84"/>
  <c r="J98" i="84"/>
  <c r="J146" i="84" s="1"/>
  <c r="H98" i="84"/>
  <c r="H146" i="84" s="1"/>
  <c r="G98" i="84"/>
  <c r="G146" i="84" s="1"/>
  <c r="F98" i="84"/>
  <c r="F146" i="84" s="1"/>
  <c r="I96" i="84"/>
  <c r="I95" i="84"/>
  <c r="I94" i="84"/>
  <c r="I93" i="84"/>
  <c r="I92" i="84"/>
  <c r="I91" i="84"/>
  <c r="I90" i="84"/>
  <c r="I89" i="84"/>
  <c r="I88" i="84"/>
  <c r="I87" i="84"/>
  <c r="I86" i="84"/>
  <c r="J82" i="84"/>
  <c r="J145" i="84" s="1"/>
  <c r="I82" i="84"/>
  <c r="I145" i="84" s="1"/>
  <c r="H82" i="84"/>
  <c r="H145" i="84" s="1"/>
  <c r="G82" i="84"/>
  <c r="G145" i="84" s="1"/>
  <c r="F82" i="84"/>
  <c r="F145" i="84" s="1"/>
  <c r="K80" i="84"/>
  <c r="K79" i="84"/>
  <c r="K78" i="84"/>
  <c r="K77" i="84"/>
  <c r="J74" i="84"/>
  <c r="J144" i="84" s="1"/>
  <c r="I74" i="84"/>
  <c r="I144" i="84" s="1"/>
  <c r="H74" i="84"/>
  <c r="H144" i="84" s="1"/>
  <c r="G74" i="84"/>
  <c r="G144" i="84" s="1"/>
  <c r="F74" i="84"/>
  <c r="F144" i="84" s="1"/>
  <c r="K72" i="84"/>
  <c r="K71" i="84"/>
  <c r="K70" i="84"/>
  <c r="K69" i="84"/>
  <c r="K68" i="84"/>
  <c r="J64" i="84"/>
  <c r="J143" i="84" s="1"/>
  <c r="I64" i="84"/>
  <c r="I143" i="84" s="1"/>
  <c r="H64" i="84"/>
  <c r="H143" i="84" s="1"/>
  <c r="G64" i="84"/>
  <c r="G143" i="84" s="1"/>
  <c r="F64" i="84"/>
  <c r="F143" i="84" s="1"/>
  <c r="K62" i="84"/>
  <c r="K61" i="84"/>
  <c r="K60" i="84"/>
  <c r="K59" i="84"/>
  <c r="K58" i="84"/>
  <c r="K57" i="84"/>
  <c r="K56" i="84"/>
  <c r="K55" i="84"/>
  <c r="K54" i="84"/>
  <c r="K53" i="84"/>
  <c r="J49" i="84"/>
  <c r="J142" i="84" s="1"/>
  <c r="I49" i="84"/>
  <c r="I142" i="84" s="1"/>
  <c r="H49" i="84"/>
  <c r="H142" i="84" s="1"/>
  <c r="G49" i="84"/>
  <c r="G142" i="84" s="1"/>
  <c r="F49" i="84"/>
  <c r="F142" i="84" s="1"/>
  <c r="K47" i="84"/>
  <c r="K46" i="84"/>
  <c r="K45" i="84"/>
  <c r="K44" i="84"/>
  <c r="K43" i="84"/>
  <c r="K42" i="84"/>
  <c r="K41" i="84"/>
  <c r="K40" i="84"/>
  <c r="J36" i="84"/>
  <c r="J141" i="84" s="1"/>
  <c r="H36" i="84"/>
  <c r="H141" i="84" s="1"/>
  <c r="G36" i="84"/>
  <c r="G141" i="84" s="1"/>
  <c r="F36" i="84"/>
  <c r="F141" i="84" s="1"/>
  <c r="I34" i="84"/>
  <c r="I33" i="84"/>
  <c r="K33" i="84" s="1"/>
  <c r="I32" i="84"/>
  <c r="I31" i="84"/>
  <c r="I30" i="84"/>
  <c r="I29" i="84"/>
  <c r="I28" i="84"/>
  <c r="I27" i="84"/>
  <c r="I26" i="84"/>
  <c r="I25" i="84"/>
  <c r="I24" i="84"/>
  <c r="I23" i="84"/>
  <c r="I22" i="84"/>
  <c r="I21" i="84"/>
  <c r="K21" i="84" s="1"/>
  <c r="K18" i="84"/>
  <c r="K30" i="84" l="1"/>
  <c r="K25" i="84"/>
  <c r="K94" i="84"/>
  <c r="K29" i="84"/>
  <c r="K34" i="84"/>
  <c r="K89" i="84"/>
  <c r="K93" i="84"/>
  <c r="K26" i="84"/>
  <c r="K22" i="84"/>
  <c r="K31" i="84"/>
  <c r="K95" i="84"/>
  <c r="K103" i="84"/>
  <c r="K105" i="84"/>
  <c r="K23" i="84"/>
  <c r="K86" i="84"/>
  <c r="K27" i="84"/>
  <c r="K91" i="84"/>
  <c r="I98" i="84"/>
  <c r="I146" i="84" s="1"/>
  <c r="K150" i="84"/>
  <c r="K82" i="84"/>
  <c r="K145" i="84" s="1"/>
  <c r="K24" i="84"/>
  <c r="K28" i="84"/>
  <c r="K32" i="84"/>
  <c r="K90" i="84"/>
  <c r="K96" i="84"/>
  <c r="I36" i="84"/>
  <c r="I141" i="84" s="1"/>
  <c r="K102" i="84"/>
  <c r="K137" i="84"/>
  <c r="K149" i="84" s="1"/>
  <c r="K49" i="84"/>
  <c r="K142" i="84" s="1"/>
  <c r="K74" i="84"/>
  <c r="K144" i="84" s="1"/>
  <c r="K64" i="84"/>
  <c r="K143" i="84" s="1"/>
  <c r="K106" i="84"/>
  <c r="K88" i="84"/>
  <c r="K92" i="84"/>
  <c r="K87" i="84"/>
  <c r="K104" i="84"/>
  <c r="H152" i="84"/>
  <c r="J152" i="84"/>
  <c r="G152" i="84"/>
  <c r="F152" i="84"/>
  <c r="I108" i="84"/>
  <c r="I147" i="84" s="1"/>
  <c r="K36" i="84" l="1"/>
  <c r="K141" i="84" s="1"/>
  <c r="K98" i="84"/>
  <c r="K146" i="84" s="1"/>
  <c r="K108" i="84"/>
  <c r="K147" i="84" s="1"/>
  <c r="I152" i="84"/>
  <c r="K152" i="84" l="1"/>
  <c r="I150" i="113"/>
  <c r="J137" i="113"/>
  <c r="J149" i="113" s="1"/>
  <c r="I137" i="113"/>
  <c r="I149" i="113" s="1"/>
  <c r="H137" i="113"/>
  <c r="H149" i="113" s="1"/>
  <c r="G137" i="113"/>
  <c r="G149" i="113" s="1"/>
  <c r="F137" i="113"/>
  <c r="F149" i="113" s="1"/>
  <c r="K135" i="113"/>
  <c r="K134" i="113"/>
  <c r="K133" i="113"/>
  <c r="K132" i="113"/>
  <c r="K131" i="113"/>
  <c r="F125" i="113"/>
  <c r="F121" i="113"/>
  <c r="F118" i="113"/>
  <c r="F117" i="113"/>
  <c r="F114" i="113"/>
  <c r="F111" i="113"/>
  <c r="G108" i="113"/>
  <c r="G147" i="113" s="1"/>
  <c r="J104" i="113"/>
  <c r="K85" i="60" s="1"/>
  <c r="I104" i="113"/>
  <c r="H104" i="113"/>
  <c r="I85" i="60" s="1"/>
  <c r="F104" i="113"/>
  <c r="G85" i="60" s="1"/>
  <c r="F103" i="113"/>
  <c r="J102" i="113"/>
  <c r="I102" i="113"/>
  <c r="H102" i="113"/>
  <c r="F102" i="113"/>
  <c r="I92" i="113"/>
  <c r="H92" i="113"/>
  <c r="I72" i="60" s="1"/>
  <c r="F92" i="113"/>
  <c r="G72" i="60" s="1"/>
  <c r="J91" i="113"/>
  <c r="I91" i="113"/>
  <c r="H91" i="113"/>
  <c r="F91" i="113"/>
  <c r="F90" i="113"/>
  <c r="G70" i="60" s="1"/>
  <c r="I88" i="113"/>
  <c r="H88" i="113"/>
  <c r="I68" i="60" s="1"/>
  <c r="G88" i="113"/>
  <c r="H68" i="60" s="1"/>
  <c r="F88" i="113"/>
  <c r="G68" i="60" s="1"/>
  <c r="F87" i="113"/>
  <c r="I86" i="113"/>
  <c r="H86" i="113"/>
  <c r="I66" i="60" s="1"/>
  <c r="J82" i="113"/>
  <c r="J145" i="113" s="1"/>
  <c r="I82" i="113"/>
  <c r="I145" i="113" s="1"/>
  <c r="K80" i="113"/>
  <c r="H79" i="113"/>
  <c r="I57" i="60" s="1"/>
  <c r="G79" i="113"/>
  <c r="H57" i="60" s="1"/>
  <c r="F79" i="113"/>
  <c r="G57" i="60" s="1"/>
  <c r="K78" i="113"/>
  <c r="H77" i="113"/>
  <c r="I55" i="60" s="1"/>
  <c r="F77" i="113"/>
  <c r="G55" i="60" s="1"/>
  <c r="I74" i="113"/>
  <c r="I144" i="113" s="1"/>
  <c r="G74" i="113"/>
  <c r="G144" i="113" s="1"/>
  <c r="K72" i="113"/>
  <c r="K71" i="113"/>
  <c r="K70" i="113"/>
  <c r="H69" i="113"/>
  <c r="I48" i="60" s="1"/>
  <c r="J68" i="113"/>
  <c r="K47" i="60" s="1"/>
  <c r="H68" i="113"/>
  <c r="I47" i="60" s="1"/>
  <c r="F68" i="113"/>
  <c r="G47" i="60" s="1"/>
  <c r="I64" i="113"/>
  <c r="I143" i="113" s="1"/>
  <c r="K62" i="113"/>
  <c r="K61" i="113"/>
  <c r="K60" i="113"/>
  <c r="K59" i="113"/>
  <c r="K58" i="113"/>
  <c r="H57" i="113"/>
  <c r="F57" i="113"/>
  <c r="K56" i="113"/>
  <c r="H55" i="113"/>
  <c r="K55" i="113" s="1"/>
  <c r="G55" i="113"/>
  <c r="F55" i="113"/>
  <c r="J54" i="113"/>
  <c r="H54" i="113"/>
  <c r="G54" i="113"/>
  <c r="F54" i="113"/>
  <c r="K53" i="113"/>
  <c r="I49" i="113"/>
  <c r="I142" i="113" s="1"/>
  <c r="K47" i="113"/>
  <c r="K46" i="113"/>
  <c r="K45" i="113"/>
  <c r="K44" i="113"/>
  <c r="K43" i="113"/>
  <c r="J42" i="113"/>
  <c r="K31" i="60" s="1"/>
  <c r="H42" i="113"/>
  <c r="I31" i="60" s="1"/>
  <c r="G42" i="113"/>
  <c r="H31" i="60" s="1"/>
  <c r="F42" i="113"/>
  <c r="G31" i="60" s="1"/>
  <c r="H41" i="113"/>
  <c r="G41" i="113"/>
  <c r="F41" i="113"/>
  <c r="J40" i="113"/>
  <c r="K29" i="60" s="1"/>
  <c r="H40" i="113"/>
  <c r="G40" i="113"/>
  <c r="H29" i="60" s="1"/>
  <c r="F40" i="113"/>
  <c r="G29" i="60" s="1"/>
  <c r="J30" i="113"/>
  <c r="K18" i="60" s="1"/>
  <c r="I30" i="113"/>
  <c r="H30" i="113"/>
  <c r="I18" i="60" s="1"/>
  <c r="F30" i="113"/>
  <c r="G18" i="60" s="1"/>
  <c r="I29" i="113"/>
  <c r="H29" i="113"/>
  <c r="F29" i="113"/>
  <c r="G17" i="60" s="1"/>
  <c r="J25" i="113"/>
  <c r="I25" i="113"/>
  <c r="H25" i="113"/>
  <c r="F25" i="113"/>
  <c r="G24" i="113"/>
  <c r="H12" i="60" s="1"/>
  <c r="F24" i="113"/>
  <c r="G12" i="60" s="1"/>
  <c r="I23" i="113"/>
  <c r="H23" i="113"/>
  <c r="F23" i="113"/>
  <c r="J22" i="113"/>
  <c r="I22" i="113"/>
  <c r="H22" i="113"/>
  <c r="F22" i="113"/>
  <c r="J21" i="113"/>
  <c r="I21" i="113"/>
  <c r="H21" i="113"/>
  <c r="G21" i="113"/>
  <c r="F21" i="113"/>
  <c r="J18" i="113"/>
  <c r="H150" i="113" l="1"/>
  <c r="J64" i="113"/>
  <c r="J143" i="113" s="1"/>
  <c r="K79" i="113"/>
  <c r="G82" i="113"/>
  <c r="G145" i="113" s="1"/>
  <c r="J98" i="113"/>
  <c r="J146" i="113" s="1"/>
  <c r="K137" i="113"/>
  <c r="K149" i="113" s="1"/>
  <c r="K54" i="113"/>
  <c r="K57" i="113"/>
  <c r="F154" i="84"/>
  <c r="F155" i="84"/>
  <c r="J108" i="113"/>
  <c r="J147" i="113" s="1"/>
  <c r="I105" i="113"/>
  <c r="J74" i="113"/>
  <c r="J144" i="113" s="1"/>
  <c r="F74" i="113"/>
  <c r="F144" i="113" s="1"/>
  <c r="K148" i="113"/>
  <c r="G98" i="113"/>
  <c r="G146" i="113" s="1"/>
  <c r="J150" i="113"/>
  <c r="K41" i="113"/>
  <c r="K69" i="113"/>
  <c r="K77" i="113"/>
  <c r="K104" i="113"/>
  <c r="F49" i="113"/>
  <c r="F142" i="113" s="1"/>
  <c r="H82" i="113"/>
  <c r="H145" i="113" s="1"/>
  <c r="K18" i="113"/>
  <c r="I89" i="113"/>
  <c r="I24" i="113"/>
  <c r="I28" i="113"/>
  <c r="I31" i="113"/>
  <c r="I27" i="113"/>
  <c r="J49" i="113"/>
  <c r="J142" i="113" s="1"/>
  <c r="H108" i="113"/>
  <c r="H147" i="113" s="1"/>
  <c r="F108" i="113"/>
  <c r="F147" i="113" s="1"/>
  <c r="F64" i="113"/>
  <c r="F143" i="113" s="1"/>
  <c r="K25" i="113"/>
  <c r="H49" i="113"/>
  <c r="H142" i="113" s="1"/>
  <c r="I90" i="113"/>
  <c r="I93" i="113"/>
  <c r="F119" i="113"/>
  <c r="F123" i="113" s="1"/>
  <c r="F127" i="113" s="1"/>
  <c r="J36" i="113"/>
  <c r="J141" i="113" s="1"/>
  <c r="I26" i="113"/>
  <c r="I34" i="113"/>
  <c r="K88" i="113"/>
  <c r="I96" i="113"/>
  <c r="K86" i="113"/>
  <c r="I33" i="113"/>
  <c r="I95" i="113"/>
  <c r="I103" i="113"/>
  <c r="K22" i="113"/>
  <c r="H64" i="113"/>
  <c r="H143" i="113" s="1"/>
  <c r="I94" i="113"/>
  <c r="I106" i="113"/>
  <c r="I32" i="113"/>
  <c r="I87" i="113"/>
  <c r="K102" i="113"/>
  <c r="F98" i="113"/>
  <c r="F146" i="113" s="1"/>
  <c r="K92" i="113"/>
  <c r="K21" i="113"/>
  <c r="K91" i="113"/>
  <c r="G36" i="113"/>
  <c r="G141" i="113" s="1"/>
  <c r="K30" i="113"/>
  <c r="F82" i="113"/>
  <c r="F145" i="113" s="1"/>
  <c r="K23" i="113"/>
  <c r="G64" i="113"/>
  <c r="G143" i="113" s="1"/>
  <c r="K29" i="113"/>
  <c r="K40" i="113"/>
  <c r="F36" i="113"/>
  <c r="F141" i="113" s="1"/>
  <c r="G49" i="113"/>
  <c r="G142" i="113" s="1"/>
  <c r="H74" i="113"/>
  <c r="H144" i="113" s="1"/>
  <c r="K42" i="113"/>
  <c r="K68" i="113"/>
  <c r="H36" i="113"/>
  <c r="H141" i="113" s="1"/>
  <c r="H98" i="113"/>
  <c r="H146" i="113" s="1"/>
  <c r="K64" i="113" l="1"/>
  <c r="K143" i="113" s="1"/>
  <c r="K105" i="113"/>
  <c r="K95" i="113"/>
  <c r="K82" i="113"/>
  <c r="K145" i="113" s="1"/>
  <c r="K94" i="113"/>
  <c r="K24" i="113"/>
  <c r="K106" i="113"/>
  <c r="K96" i="113"/>
  <c r="K28" i="113"/>
  <c r="K33" i="113"/>
  <c r="K27" i="113"/>
  <c r="K103" i="113"/>
  <c r="K32" i="113"/>
  <c r="K90" i="113"/>
  <c r="K31" i="113"/>
  <c r="K26" i="113"/>
  <c r="K150" i="113"/>
  <c r="K87" i="113"/>
  <c r="K93" i="113"/>
  <c r="K74" i="113"/>
  <c r="K144" i="113" s="1"/>
  <c r="K34" i="113"/>
  <c r="K89" i="113"/>
  <c r="F152" i="113"/>
  <c r="J152" i="113"/>
  <c r="I108" i="113"/>
  <c r="I147" i="113" s="1"/>
  <c r="I98" i="113"/>
  <c r="I146" i="113" s="1"/>
  <c r="G152" i="113"/>
  <c r="K49" i="113"/>
  <c r="K142" i="113" s="1"/>
  <c r="I36" i="113"/>
  <c r="I141" i="113" s="1"/>
  <c r="H152" i="113"/>
  <c r="K98" i="113" l="1"/>
  <c r="K146" i="113" s="1"/>
  <c r="K36" i="113"/>
  <c r="K141" i="113" s="1"/>
  <c r="K108" i="113"/>
  <c r="K147" i="113" s="1"/>
  <c r="I152" i="113"/>
  <c r="K152" i="113" l="1"/>
  <c r="F155" i="113" s="1"/>
  <c r="J150" i="83"/>
  <c r="I150" i="83"/>
  <c r="H150" i="83"/>
  <c r="K148" i="83"/>
  <c r="J137" i="83"/>
  <c r="J149" i="83" s="1"/>
  <c r="I137" i="83"/>
  <c r="I149" i="83" s="1"/>
  <c r="H137" i="83"/>
  <c r="H149" i="83" s="1"/>
  <c r="G137" i="83"/>
  <c r="G149" i="83" s="1"/>
  <c r="F137" i="83"/>
  <c r="F149" i="83" s="1"/>
  <c r="K135" i="83"/>
  <c r="K134" i="83"/>
  <c r="K133" i="83"/>
  <c r="K132" i="83"/>
  <c r="K131" i="83"/>
  <c r="F119" i="83"/>
  <c r="F123" i="83" s="1"/>
  <c r="J108" i="83"/>
  <c r="J147" i="83" s="1"/>
  <c r="H108" i="83"/>
  <c r="H147" i="83" s="1"/>
  <c r="G108" i="83"/>
  <c r="G147" i="83" s="1"/>
  <c r="F108" i="83"/>
  <c r="F147" i="83" s="1"/>
  <c r="I106" i="83"/>
  <c r="I105" i="83"/>
  <c r="K104" i="83"/>
  <c r="K103" i="83"/>
  <c r="I103" i="83"/>
  <c r="K102" i="83"/>
  <c r="J98" i="83"/>
  <c r="J146" i="83" s="1"/>
  <c r="H98" i="83"/>
  <c r="H146" i="83" s="1"/>
  <c r="G98" i="83"/>
  <c r="G146" i="83" s="1"/>
  <c r="F98" i="83"/>
  <c r="F146" i="83" s="1"/>
  <c r="I96" i="83"/>
  <c r="I95" i="83"/>
  <c r="I94" i="83"/>
  <c r="K93" i="83"/>
  <c r="K92" i="83"/>
  <c r="I91" i="83"/>
  <c r="I90" i="83"/>
  <c r="I89" i="83"/>
  <c r="K88" i="83"/>
  <c r="I87" i="83"/>
  <c r="I86" i="83"/>
  <c r="J82" i="83"/>
  <c r="J145" i="83" s="1"/>
  <c r="I82" i="83"/>
  <c r="I145" i="83" s="1"/>
  <c r="H82" i="83"/>
  <c r="H145" i="83" s="1"/>
  <c r="G82" i="83"/>
  <c r="G145" i="83" s="1"/>
  <c r="F82" i="83"/>
  <c r="F145" i="83" s="1"/>
  <c r="K80" i="83"/>
  <c r="K79" i="83"/>
  <c r="K78" i="83"/>
  <c r="K77" i="83"/>
  <c r="J74" i="83"/>
  <c r="J144" i="83" s="1"/>
  <c r="I74" i="83"/>
  <c r="I144" i="83" s="1"/>
  <c r="H74" i="83"/>
  <c r="H144" i="83" s="1"/>
  <c r="G74" i="83"/>
  <c r="G144" i="83" s="1"/>
  <c r="F74" i="83"/>
  <c r="F144" i="83" s="1"/>
  <c r="K72" i="83"/>
  <c r="K71" i="83"/>
  <c r="K70" i="83"/>
  <c r="K69" i="83"/>
  <c r="K68" i="83"/>
  <c r="J64" i="83"/>
  <c r="J143" i="83" s="1"/>
  <c r="I64" i="83"/>
  <c r="I143" i="83" s="1"/>
  <c r="H64" i="83"/>
  <c r="H143" i="83" s="1"/>
  <c r="G64" i="83"/>
  <c r="G143" i="83" s="1"/>
  <c r="F64" i="83"/>
  <c r="F143" i="83" s="1"/>
  <c r="K62" i="83"/>
  <c r="K61" i="83"/>
  <c r="K60" i="83"/>
  <c r="K59" i="83"/>
  <c r="K58" i="83"/>
  <c r="K57" i="83"/>
  <c r="K56" i="83"/>
  <c r="K55" i="83"/>
  <c r="K54" i="83"/>
  <c r="K53" i="83"/>
  <c r="J49" i="83"/>
  <c r="J142" i="83" s="1"/>
  <c r="I49" i="83"/>
  <c r="I142" i="83" s="1"/>
  <c r="H49" i="83"/>
  <c r="H142" i="83" s="1"/>
  <c r="G49" i="83"/>
  <c r="G142" i="83" s="1"/>
  <c r="F49" i="83"/>
  <c r="F142" i="83" s="1"/>
  <c r="K47" i="83"/>
  <c r="K46" i="83"/>
  <c r="K45" i="83"/>
  <c r="K44" i="83"/>
  <c r="K43" i="83"/>
  <c r="K42" i="83"/>
  <c r="K41" i="83"/>
  <c r="K40" i="83"/>
  <c r="J36" i="83"/>
  <c r="J141" i="83" s="1"/>
  <c r="H36" i="83"/>
  <c r="H141" i="83" s="1"/>
  <c r="G36" i="83"/>
  <c r="G141" i="83" s="1"/>
  <c r="F36" i="83"/>
  <c r="F141" i="83" s="1"/>
  <c r="I34" i="83"/>
  <c r="I33" i="83"/>
  <c r="I32" i="83"/>
  <c r="I31" i="83"/>
  <c r="K30" i="83"/>
  <c r="K29" i="83"/>
  <c r="I28" i="83"/>
  <c r="I27" i="83"/>
  <c r="K26" i="83"/>
  <c r="K25" i="83"/>
  <c r="K24" i="83"/>
  <c r="I23" i="83"/>
  <c r="K23" i="83" s="1"/>
  <c r="K22" i="83"/>
  <c r="K21" i="83"/>
  <c r="K18" i="83"/>
  <c r="K89" i="83" l="1"/>
  <c r="K96" i="83"/>
  <c r="K94" i="83"/>
  <c r="K87" i="83"/>
  <c r="J152" i="83"/>
  <c r="K74" i="83"/>
  <c r="K144" i="83" s="1"/>
  <c r="K49" i="83"/>
  <c r="K142" i="83" s="1"/>
  <c r="K86" i="83"/>
  <c r="I108" i="83"/>
  <c r="I147" i="83" s="1"/>
  <c r="K91" i="83"/>
  <c r="I98" i="83"/>
  <c r="I146" i="83" s="1"/>
  <c r="I36" i="83"/>
  <c r="I141" i="83" s="1"/>
  <c r="K82" i="83"/>
  <c r="K145" i="83" s="1"/>
  <c r="K28" i="83"/>
  <c r="K34" i="83"/>
  <c r="K32" i="83"/>
  <c r="K106" i="83"/>
  <c r="K137" i="83"/>
  <c r="K149" i="83" s="1"/>
  <c r="K31" i="83"/>
  <c r="K64" i="83"/>
  <c r="K143" i="83" s="1"/>
  <c r="K95" i="83"/>
  <c r="K150" i="83"/>
  <c r="K27" i="83"/>
  <c r="F154" i="113"/>
  <c r="K33" i="83"/>
  <c r="K105" i="83"/>
  <c r="F152" i="83"/>
  <c r="H152" i="83"/>
  <c r="G152" i="83"/>
  <c r="K90" i="83"/>
  <c r="I152" i="83" l="1"/>
  <c r="K98" i="83"/>
  <c r="K146" i="83" s="1"/>
  <c r="K108" i="83"/>
  <c r="K147" i="83" s="1"/>
  <c r="K36" i="83"/>
  <c r="K141" i="83" s="1"/>
  <c r="K152" i="83" l="1"/>
  <c r="F154" i="83" s="1"/>
  <c r="J150" i="82"/>
  <c r="I150" i="82"/>
  <c r="H150" i="82"/>
  <c r="K148" i="82"/>
  <c r="J137" i="82"/>
  <c r="J149" i="82" s="1"/>
  <c r="I137" i="82"/>
  <c r="I149" i="82" s="1"/>
  <c r="H137" i="82"/>
  <c r="H149" i="82" s="1"/>
  <c r="G137" i="82"/>
  <c r="G149" i="82" s="1"/>
  <c r="F137" i="82"/>
  <c r="F149" i="82" s="1"/>
  <c r="K135" i="82"/>
  <c r="K134" i="82"/>
  <c r="K133" i="82"/>
  <c r="K132" i="82"/>
  <c r="K131" i="82"/>
  <c r="F119" i="82"/>
  <c r="J108" i="82"/>
  <c r="J147" i="82" s="1"/>
  <c r="H108" i="82"/>
  <c r="H147" i="82" s="1"/>
  <c r="G108" i="82"/>
  <c r="G147" i="82" s="1"/>
  <c r="F108" i="82"/>
  <c r="F147" i="82" s="1"/>
  <c r="I106" i="82"/>
  <c r="I105" i="82"/>
  <c r="I104" i="82"/>
  <c r="K103" i="82"/>
  <c r="I103" i="82"/>
  <c r="I102" i="82"/>
  <c r="J98" i="82"/>
  <c r="J146" i="82" s="1"/>
  <c r="H98" i="82"/>
  <c r="H146" i="82" s="1"/>
  <c r="G98" i="82"/>
  <c r="G146" i="82" s="1"/>
  <c r="F98" i="82"/>
  <c r="F146" i="82" s="1"/>
  <c r="I96" i="82"/>
  <c r="K95" i="82"/>
  <c r="I95" i="82"/>
  <c r="I94" i="82"/>
  <c r="I93" i="82"/>
  <c r="I92" i="82"/>
  <c r="I91" i="82"/>
  <c r="I90" i="82"/>
  <c r="I89" i="82"/>
  <c r="K89" i="82" s="1"/>
  <c r="I88" i="82"/>
  <c r="I87" i="82"/>
  <c r="K87" i="82" s="1"/>
  <c r="I86" i="82"/>
  <c r="J82" i="82"/>
  <c r="J145" i="82" s="1"/>
  <c r="I82" i="82"/>
  <c r="I145" i="82" s="1"/>
  <c r="H82" i="82"/>
  <c r="H145" i="82" s="1"/>
  <c r="G82" i="82"/>
  <c r="G145" i="82" s="1"/>
  <c r="F82" i="82"/>
  <c r="F145" i="82" s="1"/>
  <c r="K80" i="82"/>
  <c r="K79" i="82"/>
  <c r="K78" i="82"/>
  <c r="K77" i="82"/>
  <c r="J74" i="82"/>
  <c r="J144" i="82" s="1"/>
  <c r="I74" i="82"/>
  <c r="I144" i="82" s="1"/>
  <c r="H74" i="82"/>
  <c r="H144" i="82" s="1"/>
  <c r="G74" i="82"/>
  <c r="G144" i="82" s="1"/>
  <c r="F74" i="82"/>
  <c r="F144" i="82" s="1"/>
  <c r="K72" i="82"/>
  <c r="K71" i="82"/>
  <c r="K70" i="82"/>
  <c r="K69" i="82"/>
  <c r="K68" i="82"/>
  <c r="J64" i="82"/>
  <c r="J143" i="82" s="1"/>
  <c r="I64" i="82"/>
  <c r="I143" i="82" s="1"/>
  <c r="H64" i="82"/>
  <c r="H143" i="82" s="1"/>
  <c r="G64" i="82"/>
  <c r="G143" i="82" s="1"/>
  <c r="F64" i="82"/>
  <c r="F143" i="82" s="1"/>
  <c r="K62" i="82"/>
  <c r="K61" i="82"/>
  <c r="K60" i="82"/>
  <c r="K59" i="82"/>
  <c r="K58" i="82"/>
  <c r="K57" i="82"/>
  <c r="K56" i="82"/>
  <c r="K55" i="82"/>
  <c r="K54" i="82"/>
  <c r="K53" i="82"/>
  <c r="J49" i="82"/>
  <c r="J142" i="82" s="1"/>
  <c r="I49" i="82"/>
  <c r="I142" i="82" s="1"/>
  <c r="H49" i="82"/>
  <c r="H142" i="82" s="1"/>
  <c r="G49" i="82"/>
  <c r="G142" i="82" s="1"/>
  <c r="F49" i="82"/>
  <c r="F142" i="82" s="1"/>
  <c r="K47" i="82"/>
  <c r="K46" i="82"/>
  <c r="K45" i="82"/>
  <c r="K44" i="82"/>
  <c r="K43" i="82"/>
  <c r="K42" i="82"/>
  <c r="K41" i="82"/>
  <c r="K40" i="82"/>
  <c r="J36" i="82"/>
  <c r="J141" i="82" s="1"/>
  <c r="H36" i="82"/>
  <c r="H141" i="82" s="1"/>
  <c r="G36" i="82"/>
  <c r="G141" i="82" s="1"/>
  <c r="F36" i="82"/>
  <c r="F141" i="82" s="1"/>
  <c r="I34" i="82"/>
  <c r="I33" i="82"/>
  <c r="I32" i="82"/>
  <c r="I31" i="82"/>
  <c r="I30" i="82"/>
  <c r="I29" i="82"/>
  <c r="I28" i="82"/>
  <c r="I27" i="82"/>
  <c r="I26" i="82"/>
  <c r="I25" i="82"/>
  <c r="I24" i="82"/>
  <c r="I23" i="82"/>
  <c r="I22" i="82"/>
  <c r="I21" i="82"/>
  <c r="K21" i="82" s="1"/>
  <c r="K18" i="82"/>
  <c r="K105" i="82" l="1"/>
  <c r="K22" i="82"/>
  <c r="K29" i="82"/>
  <c r="K23" i="82"/>
  <c r="K34" i="82"/>
  <c r="K94" i="82"/>
  <c r="F155" i="83"/>
  <c r="K26" i="82"/>
  <c r="K86" i="82"/>
  <c r="K31" i="82"/>
  <c r="K104" i="82"/>
  <c r="K25" i="82"/>
  <c r="H152" i="82"/>
  <c r="K64" i="82"/>
  <c r="K143" i="82" s="1"/>
  <c r="K74" i="82"/>
  <c r="K144" i="82" s="1"/>
  <c r="I98" i="82"/>
  <c r="I146" i="82" s="1"/>
  <c r="K30" i="82"/>
  <c r="K93" i="82"/>
  <c r="K96" i="82"/>
  <c r="K150" i="82"/>
  <c r="K33" i="82"/>
  <c r="K91" i="82"/>
  <c r="K88" i="82"/>
  <c r="K49" i="82"/>
  <c r="K142" i="82" s="1"/>
  <c r="K106" i="82"/>
  <c r="I36" i="82"/>
  <c r="I141" i="82" s="1"/>
  <c r="K92" i="82"/>
  <c r="K24" i="82"/>
  <c r="K28" i="82"/>
  <c r="K32" i="82"/>
  <c r="K82" i="82"/>
  <c r="K145" i="82" s="1"/>
  <c r="K102" i="82"/>
  <c r="K137" i="82"/>
  <c r="K149" i="82" s="1"/>
  <c r="I108" i="82"/>
  <c r="I147" i="82" s="1"/>
  <c r="K27" i="82"/>
  <c r="K90" i="82"/>
  <c r="F152" i="82"/>
  <c r="J152" i="82"/>
  <c r="G152" i="82"/>
  <c r="K36" i="82" l="1"/>
  <c r="K141" i="82" s="1"/>
  <c r="I152" i="82"/>
  <c r="K98" i="82"/>
  <c r="K146" i="82" s="1"/>
  <c r="K108" i="82"/>
  <c r="K147" i="82" s="1"/>
  <c r="K152" i="82" l="1"/>
  <c r="J150" i="81"/>
  <c r="I150" i="81"/>
  <c r="H150" i="81"/>
  <c r="K148" i="81"/>
  <c r="J137" i="81"/>
  <c r="J149" i="81" s="1"/>
  <c r="I137" i="81"/>
  <c r="I149" i="81" s="1"/>
  <c r="H137" i="81"/>
  <c r="H149" i="81" s="1"/>
  <c r="G137" i="81"/>
  <c r="G149" i="81" s="1"/>
  <c r="F137" i="81"/>
  <c r="F149" i="81" s="1"/>
  <c r="K135" i="81"/>
  <c r="K134" i="81"/>
  <c r="K133" i="81"/>
  <c r="K132" i="81"/>
  <c r="K131" i="81"/>
  <c r="F118" i="81"/>
  <c r="J108" i="81"/>
  <c r="J147" i="81" s="1"/>
  <c r="H108" i="81"/>
  <c r="H147" i="81" s="1"/>
  <c r="G108" i="81"/>
  <c r="G147" i="81" s="1"/>
  <c r="F108" i="81"/>
  <c r="F147" i="81" s="1"/>
  <c r="I106" i="81"/>
  <c r="I105" i="81"/>
  <c r="I104" i="81"/>
  <c r="I103" i="81"/>
  <c r="I102" i="81"/>
  <c r="J98" i="81"/>
  <c r="J146" i="81" s="1"/>
  <c r="H98" i="81"/>
  <c r="H146" i="81" s="1"/>
  <c r="G98" i="81"/>
  <c r="G146" i="81" s="1"/>
  <c r="F98" i="81"/>
  <c r="F146" i="81" s="1"/>
  <c r="I96" i="81"/>
  <c r="I95" i="81"/>
  <c r="I94" i="81"/>
  <c r="I93" i="81"/>
  <c r="I92" i="81"/>
  <c r="I91" i="81"/>
  <c r="K91" i="81" s="1"/>
  <c r="I90" i="81"/>
  <c r="I89" i="81"/>
  <c r="I88" i="81"/>
  <c r="I87" i="81"/>
  <c r="K87" i="81" s="1"/>
  <c r="I86" i="81"/>
  <c r="J82" i="81"/>
  <c r="J145" i="81" s="1"/>
  <c r="I82" i="81"/>
  <c r="I145" i="81" s="1"/>
  <c r="H82" i="81"/>
  <c r="H145" i="81" s="1"/>
  <c r="G82" i="81"/>
  <c r="G145" i="81" s="1"/>
  <c r="F82" i="81"/>
  <c r="F145" i="81" s="1"/>
  <c r="K80" i="81"/>
  <c r="K79" i="81"/>
  <c r="K78" i="81"/>
  <c r="K77" i="81"/>
  <c r="J74" i="81"/>
  <c r="J144" i="81" s="1"/>
  <c r="H74" i="81"/>
  <c r="H144" i="81" s="1"/>
  <c r="G74" i="81"/>
  <c r="G144" i="81" s="1"/>
  <c r="F74" i="81"/>
  <c r="F144" i="81" s="1"/>
  <c r="K72" i="81"/>
  <c r="K71" i="81"/>
  <c r="K70" i="81"/>
  <c r="K69" i="81"/>
  <c r="I68" i="81"/>
  <c r="J64" i="81"/>
  <c r="J143" i="81" s="1"/>
  <c r="H64" i="81"/>
  <c r="H143" i="81" s="1"/>
  <c r="G64" i="81"/>
  <c r="G143" i="81" s="1"/>
  <c r="F64" i="81"/>
  <c r="F143" i="81" s="1"/>
  <c r="I62" i="81"/>
  <c r="I61" i="81"/>
  <c r="I60" i="81"/>
  <c r="I59" i="81"/>
  <c r="I58" i="81"/>
  <c r="I57" i="81"/>
  <c r="I56" i="81"/>
  <c r="I55" i="81"/>
  <c r="I54" i="81"/>
  <c r="K54" i="81" s="1"/>
  <c r="I53" i="81"/>
  <c r="J49" i="81"/>
  <c r="J142" i="81" s="1"/>
  <c r="H49" i="81"/>
  <c r="H142" i="81" s="1"/>
  <c r="G49" i="81"/>
  <c r="G142" i="81" s="1"/>
  <c r="F49" i="81"/>
  <c r="F142" i="81" s="1"/>
  <c r="I47" i="81"/>
  <c r="J36" i="60" s="1"/>
  <c r="I46" i="81"/>
  <c r="J35" i="60" s="1"/>
  <c r="I45" i="81"/>
  <c r="J34" i="60" s="1"/>
  <c r="I44" i="81"/>
  <c r="J33" i="60" s="1"/>
  <c r="I43" i="81"/>
  <c r="J32" i="60" s="1"/>
  <c r="I42" i="81"/>
  <c r="K42" i="81" s="1"/>
  <c r="I41" i="81"/>
  <c r="I40" i="81"/>
  <c r="K40" i="81" s="1"/>
  <c r="G36" i="81"/>
  <c r="F36" i="81"/>
  <c r="I34" i="81"/>
  <c r="I33" i="81"/>
  <c r="I32" i="81"/>
  <c r="I31" i="81"/>
  <c r="I30" i="81"/>
  <c r="J29" i="81"/>
  <c r="K17" i="60" s="1"/>
  <c r="H29" i="81"/>
  <c r="I28" i="81"/>
  <c r="I27" i="81"/>
  <c r="I26" i="81"/>
  <c r="I25" i="81"/>
  <c r="K25" i="81" s="1"/>
  <c r="I24" i="81"/>
  <c r="I23" i="81"/>
  <c r="K23" i="81" s="1"/>
  <c r="I22" i="81"/>
  <c r="I21" i="81"/>
  <c r="K18" i="81"/>
  <c r="K34" i="81" l="1"/>
  <c r="K43" i="81"/>
  <c r="K68" i="81"/>
  <c r="I74" i="81"/>
  <c r="I144" i="81" s="1"/>
  <c r="K27" i="81"/>
  <c r="K105" i="81"/>
  <c r="K57" i="81"/>
  <c r="K93" i="81"/>
  <c r="K56" i="81"/>
  <c r="K44" i="81"/>
  <c r="K58" i="81"/>
  <c r="K61" i="81"/>
  <c r="K90" i="81"/>
  <c r="K104" i="81"/>
  <c r="K32" i="81"/>
  <c r="K60" i="81"/>
  <c r="K89" i="81"/>
  <c r="K22" i="81"/>
  <c r="G141" i="81"/>
  <c r="K26" i="81"/>
  <c r="K21" i="81"/>
  <c r="K30" i="81"/>
  <c r="K24" i="81"/>
  <c r="F119" i="81"/>
  <c r="F123" i="81" s="1"/>
  <c r="F127" i="81" s="1"/>
  <c r="K55" i="81"/>
  <c r="I98" i="81"/>
  <c r="I146" i="81" s="1"/>
  <c r="K96" i="81"/>
  <c r="K150" i="81"/>
  <c r="K137" i="81"/>
  <c r="K149" i="81" s="1"/>
  <c r="K45" i="81"/>
  <c r="K31" i="81"/>
  <c r="K59" i="81"/>
  <c r="K47" i="81"/>
  <c r="K86" i="81"/>
  <c r="K95" i="81"/>
  <c r="K103" i="81"/>
  <c r="H36" i="81"/>
  <c r="K41" i="81"/>
  <c r="I49" i="81"/>
  <c r="I142" i="81" s="1"/>
  <c r="K88" i="81"/>
  <c r="I64" i="81"/>
  <c r="I143" i="81" s="1"/>
  <c r="K82" i="81"/>
  <c r="K145" i="81" s="1"/>
  <c r="K106" i="81"/>
  <c r="K28" i="81"/>
  <c r="K74" i="81"/>
  <c r="K144" i="81" s="1"/>
  <c r="K92" i="81"/>
  <c r="F155" i="82"/>
  <c r="F154" i="82"/>
  <c r="F141" i="81"/>
  <c r="J36" i="81"/>
  <c r="I108" i="81"/>
  <c r="I147" i="81" s="1"/>
  <c r="I29" i="81"/>
  <c r="I36" i="81" s="1"/>
  <c r="K33" i="81"/>
  <c r="K46" i="81"/>
  <c r="K53" i="81"/>
  <c r="K62" i="81"/>
  <c r="K94" i="81"/>
  <c r="K102" i="81"/>
  <c r="G152" i="81" l="1"/>
  <c r="K98" i="81"/>
  <c r="K146" i="81" s="1"/>
  <c r="I141" i="81"/>
  <c r="J141" i="81"/>
  <c r="K29" i="81"/>
  <c r="K49" i="81"/>
  <c r="K142" i="81" s="1"/>
  <c r="H141" i="81"/>
  <c r="K64" i="81"/>
  <c r="K143" i="81" s="1"/>
  <c r="K108" i="81"/>
  <c r="K147" i="81" s="1"/>
  <c r="F152" i="81"/>
  <c r="K36" i="81" l="1"/>
  <c r="K141" i="81" s="1"/>
  <c r="I152" i="81"/>
  <c r="J152" i="81"/>
  <c r="H152" i="81"/>
  <c r="K152" i="81" l="1"/>
  <c r="J150" i="80"/>
  <c r="I150" i="80"/>
  <c r="H150" i="80"/>
  <c r="K148" i="80"/>
  <c r="J137" i="80"/>
  <c r="J149" i="80" s="1"/>
  <c r="I137" i="80"/>
  <c r="I149" i="80" s="1"/>
  <c r="H137" i="80"/>
  <c r="H149" i="80" s="1"/>
  <c r="G137" i="80"/>
  <c r="G149" i="80" s="1"/>
  <c r="F137" i="80"/>
  <c r="F149" i="80" s="1"/>
  <c r="K135" i="80"/>
  <c r="K134" i="80"/>
  <c r="K133" i="80"/>
  <c r="K132" i="80"/>
  <c r="K131" i="80"/>
  <c r="F119" i="80"/>
  <c r="J108" i="80"/>
  <c r="J147" i="80" s="1"/>
  <c r="H108" i="80"/>
  <c r="H147" i="80" s="1"/>
  <c r="G108" i="80"/>
  <c r="G147" i="80" s="1"/>
  <c r="F108" i="80"/>
  <c r="F147" i="80" s="1"/>
  <c r="I106" i="80"/>
  <c r="I105" i="80"/>
  <c r="I104" i="80"/>
  <c r="K104" i="80" s="1"/>
  <c r="I103" i="80"/>
  <c r="I102" i="80"/>
  <c r="J98" i="80"/>
  <c r="J146" i="80" s="1"/>
  <c r="H98" i="80"/>
  <c r="H146" i="80" s="1"/>
  <c r="G98" i="80"/>
  <c r="G146" i="80" s="1"/>
  <c r="F98" i="80"/>
  <c r="F146" i="80" s="1"/>
  <c r="I96" i="80"/>
  <c r="I95" i="80"/>
  <c r="I94" i="80"/>
  <c r="I93" i="80"/>
  <c r="K93" i="80" s="1"/>
  <c r="I92" i="80"/>
  <c r="I91" i="80"/>
  <c r="I90" i="80"/>
  <c r="I89" i="80"/>
  <c r="I88" i="80"/>
  <c r="I87" i="80"/>
  <c r="K86" i="80"/>
  <c r="J82" i="80"/>
  <c r="J145" i="80" s="1"/>
  <c r="I82" i="80"/>
  <c r="I145" i="80" s="1"/>
  <c r="H82" i="80"/>
  <c r="H145" i="80" s="1"/>
  <c r="G82" i="80"/>
  <c r="G145" i="80" s="1"/>
  <c r="F82" i="80"/>
  <c r="F145" i="80" s="1"/>
  <c r="K80" i="80"/>
  <c r="K79" i="80"/>
  <c r="K78" i="80"/>
  <c r="K77" i="80"/>
  <c r="J74" i="80"/>
  <c r="J144" i="80" s="1"/>
  <c r="H74" i="80"/>
  <c r="H144" i="80" s="1"/>
  <c r="G74" i="80"/>
  <c r="G144" i="80" s="1"/>
  <c r="F74" i="80"/>
  <c r="F144" i="80" s="1"/>
  <c r="K72" i="80"/>
  <c r="K71" i="80"/>
  <c r="K70" i="80"/>
  <c r="K69" i="80"/>
  <c r="I68" i="80"/>
  <c r="J64" i="80"/>
  <c r="J143" i="80" s="1"/>
  <c r="H64" i="80"/>
  <c r="H143" i="80" s="1"/>
  <c r="G64" i="80"/>
  <c r="G143" i="80" s="1"/>
  <c r="F64" i="80"/>
  <c r="F143" i="80" s="1"/>
  <c r="K62" i="80"/>
  <c r="K61" i="80"/>
  <c r="K60" i="80"/>
  <c r="K59" i="80"/>
  <c r="K58" i="80"/>
  <c r="K57" i="80"/>
  <c r="I56" i="80"/>
  <c r="I55" i="80"/>
  <c r="I54" i="80"/>
  <c r="I53" i="80"/>
  <c r="J49" i="80"/>
  <c r="J142" i="80" s="1"/>
  <c r="I49" i="80"/>
  <c r="I142" i="80" s="1"/>
  <c r="H49" i="80"/>
  <c r="H142" i="80" s="1"/>
  <c r="G49" i="80"/>
  <c r="G142" i="80" s="1"/>
  <c r="F49" i="80"/>
  <c r="F142" i="80" s="1"/>
  <c r="K47" i="80"/>
  <c r="K46" i="80"/>
  <c r="K45" i="80"/>
  <c r="K44" i="80"/>
  <c r="K43" i="80"/>
  <c r="K42" i="80"/>
  <c r="K41" i="80"/>
  <c r="K40" i="80"/>
  <c r="J36" i="80"/>
  <c r="J141" i="80" s="1"/>
  <c r="H36" i="80"/>
  <c r="H141" i="80" s="1"/>
  <c r="G36" i="80"/>
  <c r="G141" i="80" s="1"/>
  <c r="F36" i="80"/>
  <c r="F141" i="80" s="1"/>
  <c r="I34" i="80"/>
  <c r="I33" i="80"/>
  <c r="I32" i="80"/>
  <c r="I31" i="80"/>
  <c r="I30" i="80"/>
  <c r="I29" i="80"/>
  <c r="I28" i="80"/>
  <c r="I27" i="80"/>
  <c r="I26" i="80"/>
  <c r="I25" i="80"/>
  <c r="I24" i="80"/>
  <c r="I23" i="80"/>
  <c r="I22" i="80"/>
  <c r="I21" i="80"/>
  <c r="K21" i="80" s="1"/>
  <c r="K18" i="80"/>
  <c r="K33" i="80" l="1"/>
  <c r="K25" i="80"/>
  <c r="K24" i="80"/>
  <c r="K27" i="80"/>
  <c r="K56" i="80"/>
  <c r="K28" i="80"/>
  <c r="K91" i="80"/>
  <c r="K55" i="80"/>
  <c r="K90" i="80"/>
  <c r="K95" i="80"/>
  <c r="K103" i="80"/>
  <c r="K31" i="80"/>
  <c r="K68" i="80"/>
  <c r="I74" i="80"/>
  <c r="I144" i="80" s="1"/>
  <c r="K89" i="80"/>
  <c r="K105" i="80"/>
  <c r="K53" i="80"/>
  <c r="K29" i="80"/>
  <c r="K87" i="80"/>
  <c r="K22" i="80"/>
  <c r="I36" i="80"/>
  <c r="I141" i="80" s="1"/>
  <c r="K92" i="80"/>
  <c r="K96" i="80"/>
  <c r="K30" i="80"/>
  <c r="K150" i="80"/>
  <c r="K34" i="80"/>
  <c r="K82" i="80"/>
  <c r="K145" i="80" s="1"/>
  <c r="F155" i="81"/>
  <c r="F154" i="81"/>
  <c r="K26" i="80"/>
  <c r="K102" i="80"/>
  <c r="K137" i="80"/>
  <c r="K149" i="80" s="1"/>
  <c r="I108" i="80"/>
  <c r="I147" i="80" s="1"/>
  <c r="I64" i="80"/>
  <c r="I143" i="80" s="1"/>
  <c r="K88" i="80"/>
  <c r="K49" i="80"/>
  <c r="K142" i="80" s="1"/>
  <c r="K106" i="80"/>
  <c r="I98" i="80"/>
  <c r="I146" i="80" s="1"/>
  <c r="K23" i="80"/>
  <c r="K32" i="80"/>
  <c r="K94" i="80"/>
  <c r="J152" i="80"/>
  <c r="H152" i="80"/>
  <c r="G152" i="80"/>
  <c r="F152" i="80"/>
  <c r="K54" i="80"/>
  <c r="K108" i="80" l="1"/>
  <c r="K147" i="80" s="1"/>
  <c r="K74" i="80"/>
  <c r="K144" i="80" s="1"/>
  <c r="I152" i="80"/>
  <c r="K98" i="80"/>
  <c r="K146" i="80" s="1"/>
  <c r="K64" i="80"/>
  <c r="K143" i="80" s="1"/>
  <c r="K36" i="80"/>
  <c r="K141" i="80" s="1"/>
  <c r="K152" i="80" l="1"/>
  <c r="F155" i="80" s="1"/>
  <c r="F154" i="80" l="1"/>
  <c r="I150" i="108"/>
  <c r="J137" i="108"/>
  <c r="J149" i="108" s="1"/>
  <c r="I137" i="108"/>
  <c r="I149" i="108" s="1"/>
  <c r="H137" i="108"/>
  <c r="H149" i="108" s="1"/>
  <c r="G137" i="108"/>
  <c r="G149" i="108" s="1"/>
  <c r="F137" i="108"/>
  <c r="F149" i="108" s="1"/>
  <c r="K135" i="108"/>
  <c r="K134" i="108"/>
  <c r="K133" i="108"/>
  <c r="K132" i="108"/>
  <c r="K131" i="108"/>
  <c r="F125" i="108"/>
  <c r="F121" i="108"/>
  <c r="F118" i="108"/>
  <c r="F117" i="108"/>
  <c r="F114" i="108"/>
  <c r="F111" i="108"/>
  <c r="K103" i="108"/>
  <c r="J103" i="108"/>
  <c r="K84" i="60" s="1"/>
  <c r="I103" i="108"/>
  <c r="H103" i="108"/>
  <c r="I84" i="60" s="1"/>
  <c r="G103" i="108"/>
  <c r="H84" i="60" s="1"/>
  <c r="F103" i="108"/>
  <c r="G84" i="60" s="1"/>
  <c r="K102" i="108"/>
  <c r="J102" i="108"/>
  <c r="K83" i="60" s="1"/>
  <c r="I102" i="108"/>
  <c r="H102" i="108"/>
  <c r="I83" i="60" s="1"/>
  <c r="G102" i="108"/>
  <c r="H83" i="60" s="1"/>
  <c r="F102" i="108"/>
  <c r="G83" i="60" s="1"/>
  <c r="K93" i="108"/>
  <c r="J93" i="108"/>
  <c r="K73" i="60" s="1"/>
  <c r="I93" i="108"/>
  <c r="H93" i="108"/>
  <c r="I73" i="60" s="1"/>
  <c r="G93" i="108"/>
  <c r="H73" i="60" s="1"/>
  <c r="F93" i="108"/>
  <c r="G73" i="60" s="1"/>
  <c r="K91" i="108"/>
  <c r="J91" i="108"/>
  <c r="K71" i="60" s="1"/>
  <c r="I91" i="108"/>
  <c r="H91" i="108"/>
  <c r="I71" i="60" s="1"/>
  <c r="G91" i="108"/>
  <c r="H71" i="60" s="1"/>
  <c r="F91" i="108"/>
  <c r="G71" i="60" s="1"/>
  <c r="K87" i="108"/>
  <c r="J87" i="108"/>
  <c r="K67" i="60" s="1"/>
  <c r="I87" i="108"/>
  <c r="H87" i="108"/>
  <c r="I67" i="60" s="1"/>
  <c r="G87" i="108"/>
  <c r="H67" i="60" s="1"/>
  <c r="F87" i="108"/>
  <c r="G67" i="60" s="1"/>
  <c r="J82" i="108"/>
  <c r="J145" i="108" s="1"/>
  <c r="I82" i="108"/>
  <c r="I145" i="108" s="1"/>
  <c r="H82" i="108"/>
  <c r="H145" i="108" s="1"/>
  <c r="G82" i="108"/>
  <c r="G145" i="108" s="1"/>
  <c r="F82" i="108"/>
  <c r="F145" i="108" s="1"/>
  <c r="K80" i="108"/>
  <c r="K79" i="108"/>
  <c r="K78" i="108"/>
  <c r="K77" i="108"/>
  <c r="J74" i="108"/>
  <c r="J144" i="108" s="1"/>
  <c r="I74" i="108"/>
  <c r="I144" i="108" s="1"/>
  <c r="H74" i="108"/>
  <c r="H144" i="108" s="1"/>
  <c r="G74" i="108"/>
  <c r="G144" i="108" s="1"/>
  <c r="F74" i="108"/>
  <c r="F144" i="108" s="1"/>
  <c r="K72" i="108"/>
  <c r="K71" i="108"/>
  <c r="K70" i="108"/>
  <c r="K69" i="108"/>
  <c r="K68" i="108"/>
  <c r="K62" i="108"/>
  <c r="K61" i="108"/>
  <c r="J60" i="108"/>
  <c r="I60" i="108"/>
  <c r="H60" i="108"/>
  <c r="G60" i="108"/>
  <c r="F60" i="108"/>
  <c r="H59" i="108"/>
  <c r="H58" i="108"/>
  <c r="H57" i="108"/>
  <c r="H56" i="108"/>
  <c r="J55" i="108"/>
  <c r="I55" i="108"/>
  <c r="H55" i="108"/>
  <c r="G55" i="108"/>
  <c r="F55" i="108"/>
  <c r="H54" i="108"/>
  <c r="G54" i="108"/>
  <c r="F54" i="108"/>
  <c r="H53" i="108"/>
  <c r="J49" i="108"/>
  <c r="J142" i="108" s="1"/>
  <c r="I49" i="108"/>
  <c r="I142" i="108" s="1"/>
  <c r="H41" i="108"/>
  <c r="I30" i="60" s="1"/>
  <c r="G41" i="108"/>
  <c r="H30" i="60" s="1"/>
  <c r="F41" i="108"/>
  <c r="G30" i="60" s="1"/>
  <c r="K40" i="108"/>
  <c r="K25" i="108"/>
  <c r="J25" i="108"/>
  <c r="K13" i="60" s="1"/>
  <c r="I25" i="108"/>
  <c r="H25" i="108"/>
  <c r="I13" i="60" s="1"/>
  <c r="G25" i="108"/>
  <c r="H13" i="60" s="1"/>
  <c r="F25" i="108"/>
  <c r="G13" i="60" s="1"/>
  <c r="K23" i="108"/>
  <c r="J23" i="108"/>
  <c r="K11" i="60" s="1"/>
  <c r="I23" i="108"/>
  <c r="H23" i="108"/>
  <c r="I11" i="60" s="1"/>
  <c r="G23" i="108"/>
  <c r="H11" i="60" s="1"/>
  <c r="F23" i="108"/>
  <c r="G11" i="60" s="1"/>
  <c r="K22" i="108"/>
  <c r="J22" i="108"/>
  <c r="K10" i="60" s="1"/>
  <c r="I22" i="108"/>
  <c r="H22" i="108"/>
  <c r="G22" i="108"/>
  <c r="F22" i="108"/>
  <c r="K21" i="108"/>
  <c r="J21" i="108"/>
  <c r="I21" i="108"/>
  <c r="H21" i="108"/>
  <c r="G21" i="108"/>
  <c r="F21" i="108"/>
  <c r="J18" i="108"/>
  <c r="K6" i="60" s="1"/>
  <c r="H18" i="108"/>
  <c r="I6" i="60" s="1"/>
  <c r="C7" i="108"/>
  <c r="F119" i="108" l="1"/>
  <c r="F123" i="108" s="1"/>
  <c r="F127" i="108" s="1"/>
  <c r="K137" i="108"/>
  <c r="K149" i="108" s="1"/>
  <c r="K57" i="108"/>
  <c r="K74" i="108"/>
  <c r="K144" i="108" s="1"/>
  <c r="K55" i="108"/>
  <c r="K82" i="108"/>
  <c r="K145" i="108" s="1"/>
  <c r="G49" i="108"/>
  <c r="G142" i="108" s="1"/>
  <c r="I108" i="108"/>
  <c r="I147" i="108" s="1"/>
  <c r="I36" i="108"/>
  <c r="I141" i="108" s="1"/>
  <c r="H49" i="108"/>
  <c r="H142" i="108" s="1"/>
  <c r="K58" i="108"/>
  <c r="H108" i="108"/>
  <c r="H147" i="108" s="1"/>
  <c r="K108" i="108"/>
  <c r="K147" i="108" s="1"/>
  <c r="I56" i="108"/>
  <c r="G98" i="108"/>
  <c r="G146" i="108" s="1"/>
  <c r="K148" i="108"/>
  <c r="K161" i="108" s="1"/>
  <c r="G108" i="108"/>
  <c r="G147" i="108" s="1"/>
  <c r="F49" i="108"/>
  <c r="F142" i="108" s="1"/>
  <c r="K54" i="108"/>
  <c r="J150" i="108"/>
  <c r="J160" i="108"/>
  <c r="G64" i="108"/>
  <c r="J36" i="108"/>
  <c r="J141" i="108" s="1"/>
  <c r="I59" i="108"/>
  <c r="K98" i="108"/>
  <c r="K146" i="108" s="1"/>
  <c r="K18" i="108"/>
  <c r="H160" i="108"/>
  <c r="K60" i="108"/>
  <c r="F98" i="108"/>
  <c r="F146" i="108" s="1"/>
  <c r="J108" i="108"/>
  <c r="J147" i="108" s="1"/>
  <c r="H36" i="108"/>
  <c r="H141" i="108" s="1"/>
  <c r="K36" i="108"/>
  <c r="K141" i="108" s="1"/>
  <c r="H98" i="108"/>
  <c r="H146" i="108" s="1"/>
  <c r="J98" i="108"/>
  <c r="J146" i="108" s="1"/>
  <c r="G36" i="108"/>
  <c r="G141" i="108" s="1"/>
  <c r="F64" i="108"/>
  <c r="F36" i="108"/>
  <c r="F141" i="108" s="1"/>
  <c r="H64" i="108"/>
  <c r="H143" i="108" s="1"/>
  <c r="J64" i="108"/>
  <c r="J143" i="108" s="1"/>
  <c r="F108" i="108"/>
  <c r="F147" i="108" s="1"/>
  <c r="I98" i="108"/>
  <c r="I146" i="108" s="1"/>
  <c r="K41" i="108"/>
  <c r="K53" i="108"/>
  <c r="H150" i="108"/>
  <c r="G143" i="108" l="1"/>
  <c r="G152" i="108" s="1"/>
  <c r="G158" i="108" s="1"/>
  <c r="F143" i="108"/>
  <c r="F152" i="108" s="1"/>
  <c r="F163" i="108" s="1"/>
  <c r="I64" i="108"/>
  <c r="K56" i="108"/>
  <c r="K49" i="108"/>
  <c r="K142" i="108" s="1"/>
  <c r="K59" i="108"/>
  <c r="H152" i="108"/>
  <c r="H158" i="108" s="1"/>
  <c r="K150" i="108"/>
  <c r="K160" i="108"/>
  <c r="J152" i="108"/>
  <c r="I143" i="108" l="1"/>
  <c r="I152" i="108" s="1"/>
  <c r="I163" i="108" s="1"/>
  <c r="I165" i="108" s="1"/>
  <c r="G163" i="108"/>
  <c r="K64" i="108"/>
  <c r="K143" i="108" s="1"/>
  <c r="F158" i="108"/>
  <c r="J163" i="108"/>
  <c r="J158" i="108"/>
  <c r="H163" i="108"/>
  <c r="J150" i="79"/>
  <c r="I150" i="79"/>
  <c r="H150" i="79"/>
  <c r="K148" i="79"/>
  <c r="J137" i="79"/>
  <c r="J149" i="79" s="1"/>
  <c r="I137" i="79"/>
  <c r="I149" i="79" s="1"/>
  <c r="H137" i="79"/>
  <c r="H149" i="79" s="1"/>
  <c r="G137" i="79"/>
  <c r="G149" i="79" s="1"/>
  <c r="F137" i="79"/>
  <c r="F149" i="79" s="1"/>
  <c r="K135" i="79"/>
  <c r="K134" i="79"/>
  <c r="K133" i="79"/>
  <c r="K132" i="79"/>
  <c r="K131" i="79"/>
  <c r="J108" i="79"/>
  <c r="J147" i="79" s="1"/>
  <c r="I108" i="79"/>
  <c r="I147" i="79" s="1"/>
  <c r="H108" i="79"/>
  <c r="H147" i="79" s="1"/>
  <c r="G108" i="79"/>
  <c r="G147" i="79" s="1"/>
  <c r="F108" i="79"/>
  <c r="F147" i="79" s="1"/>
  <c r="K106" i="79"/>
  <c r="K105" i="79"/>
  <c r="K104" i="79"/>
  <c r="K103" i="79"/>
  <c r="K102" i="79"/>
  <c r="J98" i="79"/>
  <c r="J146" i="79" s="1"/>
  <c r="I98" i="79"/>
  <c r="I146" i="79" s="1"/>
  <c r="H98" i="79"/>
  <c r="H146" i="79" s="1"/>
  <c r="G98" i="79"/>
  <c r="G146" i="79" s="1"/>
  <c r="F98" i="79"/>
  <c r="F146" i="79" s="1"/>
  <c r="K96" i="79"/>
  <c r="K95" i="79"/>
  <c r="K94" i="79"/>
  <c r="K93" i="79"/>
  <c r="K92" i="79"/>
  <c r="K91" i="79"/>
  <c r="K90" i="79"/>
  <c r="K89" i="79"/>
  <c r="K88" i="79"/>
  <c r="K87" i="79"/>
  <c r="K86" i="79"/>
  <c r="J82" i="79"/>
  <c r="J145" i="79" s="1"/>
  <c r="I82" i="79"/>
  <c r="I145" i="79" s="1"/>
  <c r="H82" i="79"/>
  <c r="H145" i="79" s="1"/>
  <c r="G82" i="79"/>
  <c r="G145" i="79" s="1"/>
  <c r="F82" i="79"/>
  <c r="F145" i="79" s="1"/>
  <c r="K80" i="79"/>
  <c r="K79" i="79"/>
  <c r="K78" i="79"/>
  <c r="K77" i="79"/>
  <c r="J74" i="79"/>
  <c r="J144" i="79" s="1"/>
  <c r="I74" i="79"/>
  <c r="I144" i="79" s="1"/>
  <c r="H74" i="79"/>
  <c r="H144" i="79" s="1"/>
  <c r="G74" i="79"/>
  <c r="G144" i="79" s="1"/>
  <c r="F74" i="79"/>
  <c r="F144" i="79" s="1"/>
  <c r="K72" i="79"/>
  <c r="K71" i="79"/>
  <c r="K70" i="79"/>
  <c r="K69" i="79"/>
  <c r="K68" i="79"/>
  <c r="J64" i="79"/>
  <c r="J143" i="79" s="1"/>
  <c r="I64" i="79"/>
  <c r="I143" i="79" s="1"/>
  <c r="H64" i="79"/>
  <c r="H143" i="79" s="1"/>
  <c r="G64" i="79"/>
  <c r="G143" i="79" s="1"/>
  <c r="F64" i="79"/>
  <c r="F143" i="79" s="1"/>
  <c r="K62" i="79"/>
  <c r="K61" i="79"/>
  <c r="K60" i="79"/>
  <c r="K59" i="79"/>
  <c r="K58" i="79"/>
  <c r="K57" i="79"/>
  <c r="K56" i="79"/>
  <c r="K55" i="79"/>
  <c r="K54" i="79"/>
  <c r="K53" i="79"/>
  <c r="J49" i="79"/>
  <c r="J142" i="79" s="1"/>
  <c r="I49" i="79"/>
  <c r="I142" i="79" s="1"/>
  <c r="H49" i="79"/>
  <c r="H142" i="79" s="1"/>
  <c r="G49" i="79"/>
  <c r="G142" i="79" s="1"/>
  <c r="F49" i="79"/>
  <c r="F142" i="79" s="1"/>
  <c r="K47" i="79"/>
  <c r="K46" i="79"/>
  <c r="K45" i="79"/>
  <c r="K44" i="79"/>
  <c r="K43" i="79"/>
  <c r="K42" i="79"/>
  <c r="K41" i="79"/>
  <c r="K40" i="79"/>
  <c r="J36" i="79"/>
  <c r="J141" i="79" s="1"/>
  <c r="I36" i="79"/>
  <c r="I141" i="79" s="1"/>
  <c r="H36" i="79"/>
  <c r="H141" i="79" s="1"/>
  <c r="G36" i="79"/>
  <c r="G141" i="79" s="1"/>
  <c r="F36" i="79"/>
  <c r="F141" i="79" s="1"/>
  <c r="K34" i="79"/>
  <c r="K33" i="79"/>
  <c r="K32" i="79"/>
  <c r="K31" i="79"/>
  <c r="K30" i="79"/>
  <c r="K29" i="79"/>
  <c r="K28" i="79"/>
  <c r="K27" i="79"/>
  <c r="K26" i="79"/>
  <c r="K25" i="79"/>
  <c r="K24" i="79"/>
  <c r="K23" i="79"/>
  <c r="K22" i="79"/>
  <c r="K21" i="79"/>
  <c r="K18" i="79"/>
  <c r="I166" i="108" l="1"/>
  <c r="H152" i="79"/>
  <c r="G152" i="79"/>
  <c r="K74" i="79"/>
  <c r="K144" i="79" s="1"/>
  <c r="K137" i="79"/>
  <c r="K149" i="79" s="1"/>
  <c r="K49" i="79"/>
  <c r="K142" i="79" s="1"/>
  <c r="K108" i="79"/>
  <c r="K147" i="79" s="1"/>
  <c r="I158" i="108"/>
  <c r="F152" i="79"/>
  <c r="K98" i="79"/>
  <c r="K146" i="79" s="1"/>
  <c r="K150" i="79"/>
  <c r="K36" i="79"/>
  <c r="K141" i="79" s="1"/>
  <c r="K64" i="79"/>
  <c r="K143" i="79" s="1"/>
  <c r="I152" i="79"/>
  <c r="K82" i="79"/>
  <c r="K145" i="79" s="1"/>
  <c r="K152" i="108"/>
  <c r="K163" i="108" s="1"/>
  <c r="K165" i="108" s="1"/>
  <c r="H166" i="108"/>
  <c r="H165" i="108"/>
  <c r="J165" i="108"/>
  <c r="J166" i="108"/>
  <c r="J152" i="79"/>
  <c r="F154" i="108" l="1"/>
  <c r="K166" i="108"/>
  <c r="F155" i="108"/>
  <c r="K152" i="79"/>
  <c r="F155" i="79" s="1"/>
  <c r="K158" i="108"/>
  <c r="F154" i="79"/>
  <c r="J150" i="78" l="1"/>
  <c r="I150" i="78"/>
  <c r="H150" i="78"/>
  <c r="K148" i="78"/>
  <c r="J137" i="78"/>
  <c r="J149" i="78" s="1"/>
  <c r="I137" i="78"/>
  <c r="I149" i="78" s="1"/>
  <c r="H137" i="78"/>
  <c r="H149" i="78" s="1"/>
  <c r="G137" i="78"/>
  <c r="G149" i="78" s="1"/>
  <c r="F137" i="78"/>
  <c r="F149" i="78" s="1"/>
  <c r="K135" i="78"/>
  <c r="K134" i="78"/>
  <c r="K133" i="78"/>
  <c r="K132" i="78"/>
  <c r="K131" i="78"/>
  <c r="F119" i="78"/>
  <c r="F123" i="78" s="1"/>
  <c r="F125" i="78" s="1"/>
  <c r="J108" i="78"/>
  <c r="J147" i="78" s="1"/>
  <c r="H108" i="78"/>
  <c r="H147" i="78" s="1"/>
  <c r="G108" i="78"/>
  <c r="G147" i="78" s="1"/>
  <c r="F108" i="78"/>
  <c r="F147" i="78" s="1"/>
  <c r="I106" i="78"/>
  <c r="K106" i="78" s="1"/>
  <c r="I105" i="78"/>
  <c r="K104" i="78"/>
  <c r="I104" i="78"/>
  <c r="I103" i="78"/>
  <c r="I102" i="78"/>
  <c r="J98" i="78"/>
  <c r="J146" i="78" s="1"/>
  <c r="H98" i="78"/>
  <c r="H146" i="78" s="1"/>
  <c r="G98" i="78"/>
  <c r="G146" i="78" s="1"/>
  <c r="F98" i="78"/>
  <c r="F146" i="78" s="1"/>
  <c r="I96" i="78"/>
  <c r="I95" i="78"/>
  <c r="I94" i="78"/>
  <c r="I93" i="78"/>
  <c r="I92" i="78"/>
  <c r="I91" i="78"/>
  <c r="I90" i="78"/>
  <c r="I89" i="78"/>
  <c r="I88" i="78"/>
  <c r="I87" i="78"/>
  <c r="I86" i="78"/>
  <c r="J82" i="78"/>
  <c r="J145" i="78" s="1"/>
  <c r="H82" i="78"/>
  <c r="H145" i="78" s="1"/>
  <c r="G82" i="78"/>
  <c r="G145" i="78" s="1"/>
  <c r="F82" i="78"/>
  <c r="F145" i="78" s="1"/>
  <c r="K80" i="78"/>
  <c r="I79" i="78"/>
  <c r="J57" i="60" s="1"/>
  <c r="K78" i="78"/>
  <c r="I77" i="78"/>
  <c r="J55" i="60" s="1"/>
  <c r="J74" i="78"/>
  <c r="J144" i="78" s="1"/>
  <c r="H74" i="78"/>
  <c r="H144" i="78" s="1"/>
  <c r="G74" i="78"/>
  <c r="G144" i="78" s="1"/>
  <c r="F74" i="78"/>
  <c r="F144" i="78" s="1"/>
  <c r="K72" i="78"/>
  <c r="K71" i="78"/>
  <c r="K70" i="78"/>
  <c r="I69" i="78"/>
  <c r="J48" i="60" s="1"/>
  <c r="K68" i="78"/>
  <c r="J64" i="78"/>
  <c r="J143" i="78" s="1"/>
  <c r="H64" i="78"/>
  <c r="H143" i="78" s="1"/>
  <c r="G64" i="78"/>
  <c r="G143" i="78" s="1"/>
  <c r="F64" i="78"/>
  <c r="F143" i="78" s="1"/>
  <c r="I62" i="78"/>
  <c r="I61" i="78"/>
  <c r="I60" i="78"/>
  <c r="I59" i="78"/>
  <c r="K59" i="78" s="1"/>
  <c r="I58" i="78"/>
  <c r="I57" i="78"/>
  <c r="I56" i="78"/>
  <c r="I55" i="78"/>
  <c r="I54" i="78"/>
  <c r="I53" i="78"/>
  <c r="J49" i="78"/>
  <c r="J142" i="78" s="1"/>
  <c r="H49" i="78"/>
  <c r="H142" i="78" s="1"/>
  <c r="G49" i="78"/>
  <c r="G142" i="78" s="1"/>
  <c r="F49" i="78"/>
  <c r="F142" i="78" s="1"/>
  <c r="K47" i="78"/>
  <c r="K46" i="78"/>
  <c r="K45" i="78"/>
  <c r="K44" i="78"/>
  <c r="K43" i="78"/>
  <c r="I42" i="78"/>
  <c r="J31" i="60" s="1"/>
  <c r="I41" i="78"/>
  <c r="J30" i="60" s="1"/>
  <c r="I40" i="78"/>
  <c r="J29" i="60" s="1"/>
  <c r="I34" i="78"/>
  <c r="I33" i="78"/>
  <c r="H32" i="78"/>
  <c r="F32" i="78"/>
  <c r="G20" i="60" s="1"/>
  <c r="I31" i="78"/>
  <c r="I30" i="78"/>
  <c r="I29" i="78"/>
  <c r="I28" i="78"/>
  <c r="I27" i="78"/>
  <c r="I26" i="78"/>
  <c r="I25" i="78"/>
  <c r="I24" i="78"/>
  <c r="I23" i="78"/>
  <c r="H22" i="78"/>
  <c r="G22" i="78"/>
  <c r="J21" i="78"/>
  <c r="K9" i="60" s="1"/>
  <c r="G21" i="78"/>
  <c r="H9" i="60" s="1"/>
  <c r="K18" i="78"/>
  <c r="I22" i="78" l="1"/>
  <c r="I10" i="60"/>
  <c r="I32" i="78"/>
  <c r="I20" i="60"/>
  <c r="K54" i="78"/>
  <c r="K60" i="78"/>
  <c r="K92" i="78"/>
  <c r="K23" i="78"/>
  <c r="K79" i="78"/>
  <c r="K94" i="78"/>
  <c r="K34" i="78"/>
  <c r="K24" i="78"/>
  <c r="K41" i="78"/>
  <c r="K56" i="78"/>
  <c r="I74" i="78"/>
  <c r="I144" i="78" s="1"/>
  <c r="K58" i="78"/>
  <c r="K31" i="78"/>
  <c r="K40" i="78"/>
  <c r="K88" i="78"/>
  <c r="K105" i="78"/>
  <c r="K86" i="78"/>
  <c r="K91" i="78"/>
  <c r="K28" i="78"/>
  <c r="K62" i="78"/>
  <c r="K95" i="78"/>
  <c r="I108" i="78"/>
  <c r="I147" i="78" s="1"/>
  <c r="K77" i="78"/>
  <c r="K90" i="78"/>
  <c r="K102" i="78"/>
  <c r="K61" i="78"/>
  <c r="K93" i="78"/>
  <c r="K32" i="78"/>
  <c r="K103" i="78"/>
  <c r="K27" i="78"/>
  <c r="K55" i="78"/>
  <c r="K87" i="78"/>
  <c r="K96" i="78"/>
  <c r="K137" i="78"/>
  <c r="K149" i="78" s="1"/>
  <c r="K22" i="78"/>
  <c r="K25" i="78"/>
  <c r="K150" i="78"/>
  <c r="J36" i="78"/>
  <c r="J141" i="78" s="1"/>
  <c r="K42" i="78"/>
  <c r="G36" i="78"/>
  <c r="G141" i="78" s="1"/>
  <c r="K30" i="78"/>
  <c r="K53" i="78"/>
  <c r="I98" i="78"/>
  <c r="I146" i="78" s="1"/>
  <c r="K33" i="78"/>
  <c r="K69" i="78"/>
  <c r="K26" i="78"/>
  <c r="I82" i="78"/>
  <c r="I145" i="78" s="1"/>
  <c r="K29" i="78"/>
  <c r="K57" i="78"/>
  <c r="K89" i="78"/>
  <c r="F21" i="78"/>
  <c r="G9" i="60" s="1"/>
  <c r="H21" i="78"/>
  <c r="I9" i="60" s="1"/>
  <c r="I64" i="78"/>
  <c r="I143" i="78" s="1"/>
  <c r="I49" i="78"/>
  <c r="I142" i="78" s="1"/>
  <c r="K82" i="78" l="1"/>
  <c r="K145" i="78" s="1"/>
  <c r="G152" i="78"/>
  <c r="K74" i="78"/>
  <c r="K144" i="78" s="1"/>
  <c r="K98" i="78"/>
  <c r="K146" i="78" s="1"/>
  <c r="K64" i="78"/>
  <c r="K143" i="78" s="1"/>
  <c r="K49" i="78"/>
  <c r="K142" i="78" s="1"/>
  <c r="K108" i="78"/>
  <c r="K147" i="78" s="1"/>
  <c r="J152" i="78"/>
  <c r="F36" i="78"/>
  <c r="F141" i="78" s="1"/>
  <c r="H36" i="78"/>
  <c r="H141" i="78" s="1"/>
  <c r="I21" i="78"/>
  <c r="K21" i="78" s="1"/>
  <c r="K36" i="78" l="1"/>
  <c r="K141" i="78" s="1"/>
  <c r="H152" i="78"/>
  <c r="I36" i="78"/>
  <c r="I141" i="78" s="1"/>
  <c r="F152" i="78"/>
  <c r="K152" i="78" l="1"/>
  <c r="I152" i="78"/>
  <c r="J150" i="77"/>
  <c r="I150" i="77"/>
  <c r="H150" i="77"/>
  <c r="K148" i="77"/>
  <c r="J145" i="77"/>
  <c r="I145" i="77"/>
  <c r="J137" i="77"/>
  <c r="J149" i="77" s="1"/>
  <c r="I137" i="77"/>
  <c r="I149" i="77" s="1"/>
  <c r="H137" i="77"/>
  <c r="H149" i="77" s="1"/>
  <c r="G137" i="77"/>
  <c r="G149" i="77" s="1"/>
  <c r="F137" i="77"/>
  <c r="F149" i="77" s="1"/>
  <c r="K135" i="77"/>
  <c r="K134" i="77"/>
  <c r="K133" i="77"/>
  <c r="K132" i="77"/>
  <c r="K131" i="77"/>
  <c r="F121" i="77"/>
  <c r="F119" i="77"/>
  <c r="J108" i="77"/>
  <c r="J147" i="77" s="1"/>
  <c r="H108" i="77"/>
  <c r="H147" i="77" s="1"/>
  <c r="G108" i="77"/>
  <c r="G147" i="77" s="1"/>
  <c r="F108" i="77"/>
  <c r="F147" i="77" s="1"/>
  <c r="I106" i="77"/>
  <c r="I105" i="77"/>
  <c r="I104" i="77"/>
  <c r="K104" i="77" s="1"/>
  <c r="I103" i="77"/>
  <c r="I102" i="77"/>
  <c r="J98" i="77"/>
  <c r="J146" i="77" s="1"/>
  <c r="H98" i="77"/>
  <c r="H146" i="77" s="1"/>
  <c r="G98" i="77"/>
  <c r="G146" i="77" s="1"/>
  <c r="F98" i="77"/>
  <c r="F146" i="77" s="1"/>
  <c r="I96" i="77"/>
  <c r="I95" i="77"/>
  <c r="I94" i="77"/>
  <c r="I93" i="77"/>
  <c r="I92" i="77"/>
  <c r="K91" i="77"/>
  <c r="I91" i="77"/>
  <c r="I90" i="77"/>
  <c r="I89" i="77"/>
  <c r="I88" i="77"/>
  <c r="I87" i="77"/>
  <c r="K87" i="77" s="1"/>
  <c r="I86" i="77"/>
  <c r="K86" i="77" s="1"/>
  <c r="J82" i="77"/>
  <c r="I82" i="77"/>
  <c r="H82" i="77"/>
  <c r="H145" i="77" s="1"/>
  <c r="G82" i="77"/>
  <c r="G145" i="77" s="1"/>
  <c r="F82" i="77"/>
  <c r="F145" i="77" s="1"/>
  <c r="K80" i="77"/>
  <c r="K79" i="77"/>
  <c r="K78" i="77"/>
  <c r="K77" i="77"/>
  <c r="J74" i="77"/>
  <c r="J144" i="77" s="1"/>
  <c r="H74" i="77"/>
  <c r="H144" i="77" s="1"/>
  <c r="G74" i="77"/>
  <c r="G144" i="77" s="1"/>
  <c r="F74" i="77"/>
  <c r="F144" i="77" s="1"/>
  <c r="K72" i="77"/>
  <c r="K71" i="77"/>
  <c r="K70" i="77"/>
  <c r="K69" i="77"/>
  <c r="I68" i="77"/>
  <c r="J47" i="60" s="1"/>
  <c r="J64" i="77"/>
  <c r="J143" i="77" s="1"/>
  <c r="H64" i="77"/>
  <c r="H143" i="77" s="1"/>
  <c r="G64" i="77"/>
  <c r="G143" i="77" s="1"/>
  <c r="F64" i="77"/>
  <c r="F143" i="77" s="1"/>
  <c r="K62" i="77"/>
  <c r="K61" i="77"/>
  <c r="K60" i="77"/>
  <c r="I59" i="77"/>
  <c r="I58" i="77"/>
  <c r="K57" i="77"/>
  <c r="I57" i="77"/>
  <c r="I56" i="77"/>
  <c r="I55" i="77"/>
  <c r="I54" i="77"/>
  <c r="I53" i="77"/>
  <c r="K53" i="77" s="1"/>
  <c r="J49" i="77"/>
  <c r="J142" i="77" s="1"/>
  <c r="I49" i="77"/>
  <c r="I142" i="77" s="1"/>
  <c r="H49" i="77"/>
  <c r="H142" i="77" s="1"/>
  <c r="G49" i="77"/>
  <c r="G142" i="77" s="1"/>
  <c r="F49" i="77"/>
  <c r="F142" i="77" s="1"/>
  <c r="K47" i="77"/>
  <c r="K46" i="77"/>
  <c r="K45" i="77"/>
  <c r="K44" i="77"/>
  <c r="K43" i="77"/>
  <c r="K42" i="77"/>
  <c r="K41" i="77"/>
  <c r="K40" i="77"/>
  <c r="J36" i="77"/>
  <c r="J141" i="77" s="1"/>
  <c r="H36" i="77"/>
  <c r="H141" i="77" s="1"/>
  <c r="G36" i="77"/>
  <c r="G141" i="77" s="1"/>
  <c r="F36" i="77"/>
  <c r="F141" i="77" s="1"/>
  <c r="I34" i="77"/>
  <c r="K34" i="77" s="1"/>
  <c r="I33" i="77"/>
  <c r="I32" i="77"/>
  <c r="I31" i="77"/>
  <c r="I30" i="77"/>
  <c r="I29" i="77"/>
  <c r="I28" i="77"/>
  <c r="I27" i="77"/>
  <c r="I26" i="77"/>
  <c r="I25" i="77"/>
  <c r="I24" i="77"/>
  <c r="I23" i="77"/>
  <c r="I22" i="77"/>
  <c r="I21" i="77"/>
  <c r="K21" i="77" s="1"/>
  <c r="K18" i="77"/>
  <c r="K25" i="77" l="1"/>
  <c r="K56" i="77"/>
  <c r="K90" i="77"/>
  <c r="K95" i="77"/>
  <c r="K103" i="77"/>
  <c r="K29" i="77"/>
  <c r="K30" i="77"/>
  <c r="K58" i="77"/>
  <c r="K28" i="77"/>
  <c r="K22" i="77"/>
  <c r="K32" i="77"/>
  <c r="K54" i="77"/>
  <c r="K89" i="77"/>
  <c r="K94" i="77"/>
  <c r="K26" i="77"/>
  <c r="K59" i="77"/>
  <c r="K23" i="77"/>
  <c r="K92" i="77"/>
  <c r="K96" i="77"/>
  <c r="K31" i="77"/>
  <c r="I64" i="77"/>
  <c r="I143" i="77" s="1"/>
  <c r="I98" i="77"/>
  <c r="I146" i="77" s="1"/>
  <c r="K82" i="77"/>
  <c r="K145" i="77" s="1"/>
  <c r="I36" i="77"/>
  <c r="I141" i="77" s="1"/>
  <c r="I108" i="77"/>
  <c r="I147" i="77" s="1"/>
  <c r="K88" i="77"/>
  <c r="F154" i="78"/>
  <c r="F155" i="78"/>
  <c r="K27" i="77"/>
  <c r="K49" i="77"/>
  <c r="K142" i="77" s="1"/>
  <c r="K106" i="77"/>
  <c r="K137" i="77"/>
  <c r="K149" i="77" s="1"/>
  <c r="F123" i="77"/>
  <c r="F127" i="77" s="1"/>
  <c r="J152" i="77"/>
  <c r="K150" i="77"/>
  <c r="K55" i="77"/>
  <c r="K24" i="77"/>
  <c r="K33" i="77"/>
  <c r="K68" i="77"/>
  <c r="I74" i="77"/>
  <c r="I144" i="77" s="1"/>
  <c r="K93" i="77"/>
  <c r="K105" i="77"/>
  <c r="G152" i="77"/>
  <c r="F152" i="77"/>
  <c r="H152" i="77"/>
  <c r="K102" i="77"/>
  <c r="K64" i="77" l="1"/>
  <c r="K143" i="77" s="1"/>
  <c r="K36" i="77"/>
  <c r="K141" i="77" s="1"/>
  <c r="K108" i="77"/>
  <c r="K147" i="77" s="1"/>
  <c r="K74" i="77"/>
  <c r="K144" i="77" s="1"/>
  <c r="K98" i="77"/>
  <c r="K146" i="77" s="1"/>
  <c r="I152" i="77"/>
  <c r="K152" i="77" l="1"/>
  <c r="F154" i="77" l="1"/>
  <c r="F155" i="77"/>
  <c r="J150" i="76"/>
  <c r="I150" i="76"/>
  <c r="H150" i="76"/>
  <c r="K148" i="76"/>
  <c r="J137" i="76"/>
  <c r="J149" i="76" s="1"/>
  <c r="I137" i="76"/>
  <c r="I149" i="76" s="1"/>
  <c r="H137" i="76"/>
  <c r="H149" i="76" s="1"/>
  <c r="G137" i="76"/>
  <c r="G149" i="76" s="1"/>
  <c r="F137" i="76"/>
  <c r="F149" i="76" s="1"/>
  <c r="K135" i="76"/>
  <c r="K134" i="76"/>
  <c r="K133" i="76"/>
  <c r="K132" i="76"/>
  <c r="K131" i="76"/>
  <c r="F119" i="76"/>
  <c r="J108" i="76"/>
  <c r="J147" i="76" s="1"/>
  <c r="H108" i="76"/>
  <c r="H147" i="76" s="1"/>
  <c r="G108" i="76"/>
  <c r="G147" i="76" s="1"/>
  <c r="F108" i="76"/>
  <c r="I106" i="76"/>
  <c r="K106" i="76" s="1"/>
  <c r="K105" i="76"/>
  <c r="I105" i="76"/>
  <c r="K104" i="76"/>
  <c r="K103" i="76"/>
  <c r="K102" i="76"/>
  <c r="J98" i="76"/>
  <c r="J146" i="76" s="1"/>
  <c r="H98" i="76"/>
  <c r="H146" i="76" s="1"/>
  <c r="G98" i="76"/>
  <c r="G146" i="76" s="1"/>
  <c r="F98" i="76"/>
  <c r="F146" i="76" s="1"/>
  <c r="I96" i="76"/>
  <c r="I95" i="76"/>
  <c r="I94" i="76"/>
  <c r="I93" i="76"/>
  <c r="I92" i="76"/>
  <c r="I91" i="76"/>
  <c r="I90" i="76"/>
  <c r="K90" i="76" s="1"/>
  <c r="I89" i="76"/>
  <c r="I88" i="76"/>
  <c r="K87" i="76"/>
  <c r="I86" i="76"/>
  <c r="K86" i="76" s="1"/>
  <c r="J82" i="76"/>
  <c r="J145" i="76" s="1"/>
  <c r="I82" i="76"/>
  <c r="I145" i="76" s="1"/>
  <c r="H82" i="76"/>
  <c r="H145" i="76" s="1"/>
  <c r="G82" i="76"/>
  <c r="G145" i="76" s="1"/>
  <c r="F82" i="76"/>
  <c r="F145" i="76" s="1"/>
  <c r="K80" i="76"/>
  <c r="K79" i="76"/>
  <c r="K78" i="76"/>
  <c r="K77" i="76"/>
  <c r="J74" i="76"/>
  <c r="J144" i="76" s="1"/>
  <c r="I74" i="76"/>
  <c r="I144" i="76" s="1"/>
  <c r="H74" i="76"/>
  <c r="H144" i="76" s="1"/>
  <c r="G74" i="76"/>
  <c r="G144" i="76" s="1"/>
  <c r="F74" i="76"/>
  <c r="F144" i="76" s="1"/>
  <c r="K72" i="76"/>
  <c r="K71" i="76"/>
  <c r="K70" i="76"/>
  <c r="K69" i="76"/>
  <c r="K68" i="76"/>
  <c r="J64" i="76"/>
  <c r="J143" i="76" s="1"/>
  <c r="I64" i="76"/>
  <c r="I143" i="76" s="1"/>
  <c r="H64" i="76"/>
  <c r="H143" i="76" s="1"/>
  <c r="G64" i="76"/>
  <c r="G143" i="76" s="1"/>
  <c r="F64" i="76"/>
  <c r="F143" i="76" s="1"/>
  <c r="K62" i="76"/>
  <c r="K61" i="76"/>
  <c r="K60" i="76"/>
  <c r="K59" i="76"/>
  <c r="K58" i="76"/>
  <c r="K57" i="76"/>
  <c r="K56" i="76"/>
  <c r="K55" i="76"/>
  <c r="K54" i="76"/>
  <c r="K53" i="76"/>
  <c r="J49" i="76"/>
  <c r="J142" i="76" s="1"/>
  <c r="I49" i="76"/>
  <c r="I142" i="76" s="1"/>
  <c r="H49" i="76"/>
  <c r="H142" i="76" s="1"/>
  <c r="G49" i="76"/>
  <c r="G142" i="76" s="1"/>
  <c r="F49" i="76"/>
  <c r="F142" i="76" s="1"/>
  <c r="K47" i="76"/>
  <c r="K46" i="76"/>
  <c r="K45" i="76"/>
  <c r="K44" i="76"/>
  <c r="K43" i="76"/>
  <c r="K42" i="76"/>
  <c r="K41" i="76"/>
  <c r="K40" i="76"/>
  <c r="J36" i="76"/>
  <c r="J141" i="76" s="1"/>
  <c r="H36" i="76"/>
  <c r="H141" i="76" s="1"/>
  <c r="G36" i="76"/>
  <c r="G141" i="76" s="1"/>
  <c r="F36" i="76"/>
  <c r="F141" i="76" s="1"/>
  <c r="I34" i="76"/>
  <c r="K33" i="76"/>
  <c r="K32" i="76"/>
  <c r="K31" i="76"/>
  <c r="K30" i="76"/>
  <c r="K29" i="76"/>
  <c r="I28" i="76"/>
  <c r="K28" i="76" s="1"/>
  <c r="I27" i="76"/>
  <c r="K26" i="76"/>
  <c r="I26" i="76"/>
  <c r="I25" i="76"/>
  <c r="K24" i="76"/>
  <c r="I23" i="76"/>
  <c r="K22" i="76"/>
  <c r="K21" i="76"/>
  <c r="K18" i="76"/>
  <c r="F147" i="76" l="1"/>
  <c r="D6" i="126"/>
  <c r="K94" i="76"/>
  <c r="K25" i="76"/>
  <c r="K27" i="76"/>
  <c r="I108" i="76"/>
  <c r="I147" i="76" s="1"/>
  <c r="K34" i="76"/>
  <c r="K89" i="76"/>
  <c r="K82" i="76"/>
  <c r="K145" i="76" s="1"/>
  <c r="I98" i="76"/>
  <c r="I146" i="76" s="1"/>
  <c r="K95" i="76"/>
  <c r="K88" i="76"/>
  <c r="K108" i="76"/>
  <c r="K147" i="76" s="1"/>
  <c r="K91" i="76"/>
  <c r="K137" i="76"/>
  <c r="K149" i="76" s="1"/>
  <c r="K150" i="76"/>
  <c r="K93" i="76"/>
  <c r="K64" i="76"/>
  <c r="K143" i="76" s="1"/>
  <c r="K49" i="76"/>
  <c r="K142" i="76" s="1"/>
  <c r="K92" i="76"/>
  <c r="I36" i="76"/>
  <c r="I141" i="76" s="1"/>
  <c r="K74" i="76"/>
  <c r="K144" i="76" s="1"/>
  <c r="K96" i="76"/>
  <c r="H152" i="76"/>
  <c r="G152" i="76"/>
  <c r="F152" i="76"/>
  <c r="J152" i="76"/>
  <c r="K23" i="76"/>
  <c r="K36" i="76" l="1"/>
  <c r="K141" i="76" s="1"/>
  <c r="I152" i="76"/>
  <c r="K98" i="76"/>
  <c r="K146" i="76" s="1"/>
  <c r="K152" i="76" l="1"/>
  <c r="J150" i="110"/>
  <c r="I150" i="110"/>
  <c r="H150" i="110"/>
  <c r="J137" i="110"/>
  <c r="J149" i="110" s="1"/>
  <c r="I137" i="110"/>
  <c r="I149" i="110" s="1"/>
  <c r="H137" i="110"/>
  <c r="H149" i="110" s="1"/>
  <c r="G137" i="110"/>
  <c r="G149" i="110" s="1"/>
  <c r="F137" i="110"/>
  <c r="F149" i="110" s="1"/>
  <c r="K135" i="110"/>
  <c r="K134" i="110"/>
  <c r="K133" i="110"/>
  <c r="K132" i="110"/>
  <c r="K131" i="110"/>
  <c r="F125" i="110"/>
  <c r="F121" i="110"/>
  <c r="F118" i="110"/>
  <c r="F117" i="110"/>
  <c r="F114" i="110"/>
  <c r="I30" i="110" s="1"/>
  <c r="F111" i="110"/>
  <c r="J108" i="110"/>
  <c r="J147" i="110" s="1"/>
  <c r="H108" i="110"/>
  <c r="H147" i="110" s="1"/>
  <c r="G108" i="110"/>
  <c r="G147" i="110" s="1"/>
  <c r="F108" i="110"/>
  <c r="F147" i="110" s="1"/>
  <c r="J98" i="110"/>
  <c r="J146" i="110" s="1"/>
  <c r="H98" i="110"/>
  <c r="H146" i="110" s="1"/>
  <c r="G98" i="110"/>
  <c r="G146" i="110" s="1"/>
  <c r="F98" i="110"/>
  <c r="F146" i="110" s="1"/>
  <c r="J82" i="110"/>
  <c r="J145" i="110" s="1"/>
  <c r="I82" i="110"/>
  <c r="I145" i="110" s="1"/>
  <c r="H82" i="110"/>
  <c r="H145" i="110" s="1"/>
  <c r="G82" i="110"/>
  <c r="G145" i="110" s="1"/>
  <c r="F82" i="110"/>
  <c r="F145" i="110" s="1"/>
  <c r="K80" i="110"/>
  <c r="K79" i="110"/>
  <c r="K78" i="110"/>
  <c r="K77" i="110"/>
  <c r="J74" i="110"/>
  <c r="J144" i="110" s="1"/>
  <c r="I74" i="110"/>
  <c r="I144" i="110" s="1"/>
  <c r="H74" i="110"/>
  <c r="H144" i="110" s="1"/>
  <c r="G74" i="110"/>
  <c r="G144" i="110" s="1"/>
  <c r="F74" i="110"/>
  <c r="F144" i="110" s="1"/>
  <c r="K72" i="110"/>
  <c r="K71" i="110"/>
  <c r="K70" i="110"/>
  <c r="K69" i="110"/>
  <c r="K68" i="110"/>
  <c r="I64" i="110"/>
  <c r="I143" i="110" s="1"/>
  <c r="G64" i="110"/>
  <c r="G143" i="110" s="1"/>
  <c r="F64" i="110"/>
  <c r="F143" i="110" s="1"/>
  <c r="H62" i="110"/>
  <c r="H61" i="110"/>
  <c r="J60" i="110"/>
  <c r="H60" i="110"/>
  <c r="H59" i="110"/>
  <c r="J58" i="110"/>
  <c r="H58" i="110"/>
  <c r="J57" i="110"/>
  <c r="H57" i="110"/>
  <c r="J56" i="110"/>
  <c r="H56" i="110"/>
  <c r="J55" i="110"/>
  <c r="H55" i="110"/>
  <c r="J54" i="110"/>
  <c r="H54" i="110"/>
  <c r="H53" i="110"/>
  <c r="K53" i="110" s="1"/>
  <c r="J49" i="110"/>
  <c r="J142" i="110" s="1"/>
  <c r="I49" i="110"/>
  <c r="I142" i="110" s="1"/>
  <c r="G49" i="110"/>
  <c r="G142" i="110" s="1"/>
  <c r="F49" i="110"/>
  <c r="F142" i="110" s="1"/>
  <c r="K47" i="110"/>
  <c r="K46" i="110"/>
  <c r="K45" i="110"/>
  <c r="K44" i="110"/>
  <c r="K43" i="110"/>
  <c r="K42" i="110"/>
  <c r="K41" i="110"/>
  <c r="H40" i="110"/>
  <c r="I29" i="60" s="1"/>
  <c r="J36" i="110"/>
  <c r="J141" i="110" s="1"/>
  <c r="H29" i="110"/>
  <c r="I17" i="60" s="1"/>
  <c r="G22" i="110"/>
  <c r="H10" i="60" s="1"/>
  <c r="F22" i="110"/>
  <c r="G10" i="60" s="1"/>
  <c r="K18" i="110"/>
  <c r="I25" i="110" l="1"/>
  <c r="K150" i="110"/>
  <c r="K57" i="110"/>
  <c r="K74" i="110"/>
  <c r="K144" i="110" s="1"/>
  <c r="F155" i="76"/>
  <c r="F154" i="76"/>
  <c r="K137" i="110"/>
  <c r="K149" i="110" s="1"/>
  <c r="I96" i="110"/>
  <c r="I91" i="110"/>
  <c r="I34" i="110"/>
  <c r="I86" i="110"/>
  <c r="F36" i="110"/>
  <c r="F141" i="110" s="1"/>
  <c r="K82" i="110"/>
  <c r="K145" i="110" s="1"/>
  <c r="G36" i="110"/>
  <c r="G141" i="110" s="1"/>
  <c r="G152" i="110" s="1"/>
  <c r="K60" i="110"/>
  <c r="H36" i="110"/>
  <c r="H141" i="110" s="1"/>
  <c r="K61" i="110"/>
  <c r="I105" i="110"/>
  <c r="K56" i="110"/>
  <c r="I90" i="110"/>
  <c r="I28" i="110"/>
  <c r="I102" i="110"/>
  <c r="I23" i="110"/>
  <c r="I88" i="110"/>
  <c r="I94" i="110"/>
  <c r="K148" i="110"/>
  <c r="J64" i="110"/>
  <c r="K59" i="110"/>
  <c r="I21" i="110"/>
  <c r="I27" i="110"/>
  <c r="I32" i="110"/>
  <c r="I93" i="110"/>
  <c r="K30" i="110"/>
  <c r="H64" i="110"/>
  <c r="K40" i="110"/>
  <c r="K55" i="110"/>
  <c r="I24" i="110"/>
  <c r="I103" i="110"/>
  <c r="I89" i="110"/>
  <c r="I87" i="110"/>
  <c r="I92" i="110"/>
  <c r="F119" i="110"/>
  <c r="F123" i="110" s="1"/>
  <c r="F127" i="110" s="1"/>
  <c r="K54" i="110"/>
  <c r="K58" i="110"/>
  <c r="I104" i="110"/>
  <c r="I95" i="110"/>
  <c r="I33" i="110"/>
  <c r="I22" i="110"/>
  <c r="I26" i="110"/>
  <c r="I31" i="110"/>
  <c r="K62" i="110"/>
  <c r="I106" i="110"/>
  <c r="I29" i="110"/>
  <c r="H49" i="110"/>
  <c r="H142" i="110" s="1"/>
  <c r="H143" i="110" l="1"/>
  <c r="H152" i="110" s="1"/>
  <c r="K86" i="110"/>
  <c r="J143" i="110"/>
  <c r="K29" i="110"/>
  <c r="K25" i="110"/>
  <c r="F152" i="110"/>
  <c r="J152" i="110"/>
  <c r="K34" i="110"/>
  <c r="K96" i="110"/>
  <c r="I98" i="110"/>
  <c r="I146" i="110" s="1"/>
  <c r="K91" i="110"/>
  <c r="K102" i="110"/>
  <c r="K32" i="110"/>
  <c r="K90" i="110"/>
  <c r="K106" i="110"/>
  <c r="K95" i="110"/>
  <c r="I36" i="110"/>
  <c r="I141" i="110" s="1"/>
  <c r="K33" i="110"/>
  <c r="K103" i="110"/>
  <c r="K88" i="110"/>
  <c r="K105" i="110"/>
  <c r="K26" i="110"/>
  <c r="K89" i="110"/>
  <c r="K94" i="110"/>
  <c r="K104" i="110"/>
  <c r="K93" i="110"/>
  <c r="K28" i="110"/>
  <c r="K22" i="110"/>
  <c r="K31" i="110"/>
  <c r="K49" i="110"/>
  <c r="K142" i="110" s="1"/>
  <c r="K24" i="110"/>
  <c r="K23" i="110"/>
  <c r="K87" i="110"/>
  <c r="K21" i="110"/>
  <c r="K92" i="110"/>
  <c r="K27" i="110"/>
  <c r="I108" i="110"/>
  <c r="I147" i="110" s="1"/>
  <c r="K64" i="110"/>
  <c r="K143" i="110" l="1"/>
  <c r="K108" i="110"/>
  <c r="K147" i="110" s="1"/>
  <c r="K36" i="110"/>
  <c r="K141" i="110" s="1"/>
  <c r="I152" i="110"/>
  <c r="K98" i="110"/>
  <c r="K146" i="110" s="1"/>
  <c r="J150" i="68"/>
  <c r="I150" i="68"/>
  <c r="H150" i="68"/>
  <c r="K148" i="68"/>
  <c r="J137" i="68"/>
  <c r="J149" i="68" s="1"/>
  <c r="I137" i="68"/>
  <c r="I149" i="68" s="1"/>
  <c r="H137" i="68"/>
  <c r="H149" i="68" s="1"/>
  <c r="G137" i="68"/>
  <c r="G149" i="68" s="1"/>
  <c r="F137" i="68"/>
  <c r="F149" i="68" s="1"/>
  <c r="K135" i="68"/>
  <c r="K134" i="68"/>
  <c r="K133" i="68"/>
  <c r="K132" i="68"/>
  <c r="K131" i="68"/>
  <c r="F119" i="68"/>
  <c r="J108" i="68"/>
  <c r="J147" i="68" s="1"/>
  <c r="H108" i="68"/>
  <c r="H147" i="68" s="1"/>
  <c r="G108" i="68"/>
  <c r="G147" i="68" s="1"/>
  <c r="F108" i="68"/>
  <c r="F147" i="68" s="1"/>
  <c r="I106" i="68"/>
  <c r="I105" i="68"/>
  <c r="K105" i="68" s="1"/>
  <c r="I104" i="68"/>
  <c r="I103" i="68"/>
  <c r="J84" i="60" s="1"/>
  <c r="I102" i="68"/>
  <c r="J83" i="60" s="1"/>
  <c r="J98" i="68"/>
  <c r="J146" i="68" s="1"/>
  <c r="H98" i="68"/>
  <c r="H146" i="68" s="1"/>
  <c r="G98" i="68"/>
  <c r="G146" i="68" s="1"/>
  <c r="F98" i="68"/>
  <c r="F146" i="68" s="1"/>
  <c r="I96" i="68"/>
  <c r="I95" i="68"/>
  <c r="I94" i="68"/>
  <c r="I93" i="68"/>
  <c r="J73" i="60" s="1"/>
  <c r="I92" i="68"/>
  <c r="J72" i="60" s="1"/>
  <c r="I91" i="68"/>
  <c r="J71" i="60" s="1"/>
  <c r="I90" i="68"/>
  <c r="I89" i="68"/>
  <c r="I88" i="68"/>
  <c r="J68" i="60" s="1"/>
  <c r="I87" i="68"/>
  <c r="J67" i="60" s="1"/>
  <c r="I86" i="68"/>
  <c r="J82" i="68"/>
  <c r="J145" i="68" s="1"/>
  <c r="I82" i="68"/>
  <c r="I145" i="68" s="1"/>
  <c r="H82" i="68"/>
  <c r="H145" i="68" s="1"/>
  <c r="G82" i="68"/>
  <c r="G145" i="68" s="1"/>
  <c r="F82" i="68"/>
  <c r="F145" i="68" s="1"/>
  <c r="K80" i="68"/>
  <c r="K79" i="68"/>
  <c r="K78" i="68"/>
  <c r="K77" i="68"/>
  <c r="J74" i="68"/>
  <c r="J144" i="68" s="1"/>
  <c r="I74" i="68"/>
  <c r="I144" i="68" s="1"/>
  <c r="H74" i="68"/>
  <c r="H144" i="68" s="1"/>
  <c r="G74" i="68"/>
  <c r="G144" i="68" s="1"/>
  <c r="F74" i="68"/>
  <c r="F144" i="68" s="1"/>
  <c r="K72" i="68"/>
  <c r="K71" i="68"/>
  <c r="K70" i="68"/>
  <c r="K69" i="68"/>
  <c r="K68" i="68"/>
  <c r="J64" i="68"/>
  <c r="J143" i="68" s="1"/>
  <c r="I64" i="68"/>
  <c r="I143" i="68" s="1"/>
  <c r="H64" i="68"/>
  <c r="H143" i="68" s="1"/>
  <c r="G64" i="68"/>
  <c r="G143" i="68" s="1"/>
  <c r="F64" i="68"/>
  <c r="F143" i="68" s="1"/>
  <c r="K62" i="68"/>
  <c r="K61" i="68"/>
  <c r="K60" i="68"/>
  <c r="K59" i="68"/>
  <c r="K58" i="68"/>
  <c r="K57" i="68"/>
  <c r="K56" i="68"/>
  <c r="K55" i="68"/>
  <c r="K54" i="68"/>
  <c r="K53" i="68"/>
  <c r="J49" i="68"/>
  <c r="J142" i="68" s="1"/>
  <c r="I49" i="68"/>
  <c r="I142" i="68" s="1"/>
  <c r="H49" i="68"/>
  <c r="H142" i="68" s="1"/>
  <c r="G49" i="68"/>
  <c r="G142" i="68" s="1"/>
  <c r="F49" i="68"/>
  <c r="F142" i="68" s="1"/>
  <c r="K47" i="68"/>
  <c r="K46" i="68"/>
  <c r="K45" i="68"/>
  <c r="K44" i="68"/>
  <c r="K43" i="68"/>
  <c r="K42" i="68"/>
  <c r="K41" i="68"/>
  <c r="K40" i="68"/>
  <c r="J36" i="68"/>
  <c r="J141" i="68" s="1"/>
  <c r="H36" i="68"/>
  <c r="H141" i="68" s="1"/>
  <c r="G36" i="68"/>
  <c r="G141" i="68" s="1"/>
  <c r="F36" i="68"/>
  <c r="F141" i="68" s="1"/>
  <c r="I34" i="68"/>
  <c r="I33" i="68"/>
  <c r="I32" i="68"/>
  <c r="I31" i="68"/>
  <c r="I30" i="68"/>
  <c r="I29" i="68"/>
  <c r="J17" i="60" s="1"/>
  <c r="I28" i="68"/>
  <c r="I27" i="68"/>
  <c r="I26" i="68"/>
  <c r="J14" i="60" s="1"/>
  <c r="I25" i="68"/>
  <c r="J13" i="60" s="1"/>
  <c r="I24" i="68"/>
  <c r="I23" i="68"/>
  <c r="I22" i="68"/>
  <c r="J10" i="60" s="1"/>
  <c r="I21" i="68"/>
  <c r="K18" i="68"/>
  <c r="K21" i="68" l="1"/>
  <c r="J9" i="60"/>
  <c r="K25" i="68"/>
  <c r="K95" i="68"/>
  <c r="K87" i="68"/>
  <c r="K104" i="68"/>
  <c r="K90" i="68"/>
  <c r="K31" i="68"/>
  <c r="K27" i="68"/>
  <c r="K33" i="68"/>
  <c r="K92" i="68"/>
  <c r="K32" i="68"/>
  <c r="K137" i="68"/>
  <c r="K149" i="68" s="1"/>
  <c r="K86" i="68"/>
  <c r="K91" i="68"/>
  <c r="K106" i="68"/>
  <c r="K64" i="68"/>
  <c r="K143" i="68" s="1"/>
  <c r="K103" i="68"/>
  <c r="K150" i="68"/>
  <c r="K28" i="68"/>
  <c r="K26" i="68"/>
  <c r="K82" i="68"/>
  <c r="K145" i="68" s="1"/>
  <c r="K30" i="68"/>
  <c r="K24" i="68"/>
  <c r="K49" i="68"/>
  <c r="K142" i="68" s="1"/>
  <c r="K74" i="68"/>
  <c r="K144" i="68" s="1"/>
  <c r="K89" i="68"/>
  <c r="K102" i="68"/>
  <c r="K29" i="68"/>
  <c r="K94" i="68"/>
  <c r="K93" i="68"/>
  <c r="K22" i="68"/>
  <c r="I36" i="68"/>
  <c r="I141" i="68" s="1"/>
  <c r="K96" i="68"/>
  <c r="K34" i="68"/>
  <c r="K88" i="68"/>
  <c r="K23" i="68"/>
  <c r="K152" i="110"/>
  <c r="H152" i="68"/>
  <c r="J152" i="68"/>
  <c r="G152" i="68"/>
  <c r="F152" i="68"/>
  <c r="I98" i="68"/>
  <c r="I146" i="68" s="1"/>
  <c r="I108" i="68"/>
  <c r="I147" i="68" s="1"/>
  <c r="J150" i="67"/>
  <c r="I150" i="67"/>
  <c r="H150" i="67"/>
  <c r="K148" i="67"/>
  <c r="J137" i="67"/>
  <c r="J149" i="67" s="1"/>
  <c r="I137" i="67"/>
  <c r="I149" i="67" s="1"/>
  <c r="H137" i="67"/>
  <c r="H149" i="67" s="1"/>
  <c r="G137" i="67"/>
  <c r="G149" i="67" s="1"/>
  <c r="F137" i="67"/>
  <c r="F149" i="67" s="1"/>
  <c r="K135" i="67"/>
  <c r="L103" i="60" s="1"/>
  <c r="K134" i="67"/>
  <c r="L102" i="60" s="1"/>
  <c r="K133" i="67"/>
  <c r="L101" i="60" s="1"/>
  <c r="K132" i="67"/>
  <c r="L100" i="60" s="1"/>
  <c r="K131" i="67"/>
  <c r="L99" i="60" s="1"/>
  <c r="F119" i="67"/>
  <c r="J108" i="67"/>
  <c r="J147" i="67" s="1"/>
  <c r="H108" i="67"/>
  <c r="H147" i="67" s="1"/>
  <c r="G108" i="67"/>
  <c r="G147" i="67" s="1"/>
  <c r="F108" i="67"/>
  <c r="F147" i="67" s="1"/>
  <c r="I106" i="67"/>
  <c r="J87" i="60" s="1"/>
  <c r="I105" i="67"/>
  <c r="I104" i="67"/>
  <c r="J85" i="60" s="1"/>
  <c r="K103" i="67"/>
  <c r="K102" i="67"/>
  <c r="L83" i="60" s="1"/>
  <c r="J98" i="67"/>
  <c r="J146" i="67" s="1"/>
  <c r="H98" i="67"/>
  <c r="H146" i="67" s="1"/>
  <c r="G98" i="67"/>
  <c r="G146" i="67" s="1"/>
  <c r="F98" i="67"/>
  <c r="F146" i="67" s="1"/>
  <c r="I96" i="67"/>
  <c r="J76" i="60" s="1"/>
  <c r="I95" i="67"/>
  <c r="J75" i="60" s="1"/>
  <c r="I94" i="67"/>
  <c r="J74" i="60" s="1"/>
  <c r="K93" i="67"/>
  <c r="L73" i="60" s="1"/>
  <c r="K92" i="67"/>
  <c r="L72" i="60" s="1"/>
  <c r="M72" i="60" s="1"/>
  <c r="K91" i="67"/>
  <c r="L71" i="60" s="1"/>
  <c r="I90" i="67"/>
  <c r="J70" i="60" s="1"/>
  <c r="I89" i="67"/>
  <c r="J69" i="60" s="1"/>
  <c r="K88" i="67"/>
  <c r="L68" i="60" s="1"/>
  <c r="K87" i="67"/>
  <c r="L67" i="60" s="1"/>
  <c r="I86" i="67"/>
  <c r="J66" i="60" s="1"/>
  <c r="J82" i="67"/>
  <c r="J145" i="67" s="1"/>
  <c r="I82" i="67"/>
  <c r="I145" i="67" s="1"/>
  <c r="H82" i="67"/>
  <c r="H145" i="67" s="1"/>
  <c r="G82" i="67"/>
  <c r="G145" i="67" s="1"/>
  <c r="F82" i="67"/>
  <c r="F145" i="67" s="1"/>
  <c r="K80" i="67"/>
  <c r="L58" i="60" s="1"/>
  <c r="K79" i="67"/>
  <c r="L57" i="60" s="1"/>
  <c r="K78" i="67"/>
  <c r="L56" i="60" s="1"/>
  <c r="K77" i="67"/>
  <c r="L55" i="60" s="1"/>
  <c r="J74" i="67"/>
  <c r="J144" i="67" s="1"/>
  <c r="I74" i="67"/>
  <c r="I144" i="67" s="1"/>
  <c r="H74" i="67"/>
  <c r="H144" i="67" s="1"/>
  <c r="G74" i="67"/>
  <c r="G144" i="67" s="1"/>
  <c r="F74" i="67"/>
  <c r="F144" i="67" s="1"/>
  <c r="K72" i="67"/>
  <c r="K71" i="67"/>
  <c r="K70" i="67"/>
  <c r="L49" i="60" s="1"/>
  <c r="K69" i="67"/>
  <c r="L48" i="60" s="1"/>
  <c r="K68" i="67"/>
  <c r="L47" i="60" s="1"/>
  <c r="J64" i="67"/>
  <c r="K43" i="60" s="1"/>
  <c r="I64" i="67"/>
  <c r="J43" i="60" s="1"/>
  <c r="H64" i="67"/>
  <c r="I43" i="60" s="1"/>
  <c r="G64" i="67"/>
  <c r="H43" i="60" s="1"/>
  <c r="F64" i="67"/>
  <c r="G43" i="60" s="1"/>
  <c r="K62" i="67"/>
  <c r="K61" i="67"/>
  <c r="K60" i="67"/>
  <c r="K59" i="67"/>
  <c r="K58" i="67"/>
  <c r="K57" i="67"/>
  <c r="K56" i="67"/>
  <c r="K55" i="67"/>
  <c r="K54" i="67"/>
  <c r="K53" i="67"/>
  <c r="J49" i="67"/>
  <c r="J142" i="67" s="1"/>
  <c r="I49" i="67"/>
  <c r="I142" i="67" s="1"/>
  <c r="H49" i="67"/>
  <c r="H142" i="67" s="1"/>
  <c r="G49" i="67"/>
  <c r="G142" i="67" s="1"/>
  <c r="F49" i="67"/>
  <c r="F142" i="67" s="1"/>
  <c r="K47" i="67"/>
  <c r="L36" i="60" s="1"/>
  <c r="K46" i="67"/>
  <c r="L35" i="60" s="1"/>
  <c r="K45" i="67"/>
  <c r="L34" i="60" s="1"/>
  <c r="K44" i="67"/>
  <c r="L33" i="60" s="1"/>
  <c r="K43" i="67"/>
  <c r="L32" i="60" s="1"/>
  <c r="K42" i="67"/>
  <c r="L31" i="60" s="1"/>
  <c r="K41" i="67"/>
  <c r="L30" i="60" s="1"/>
  <c r="K40" i="67"/>
  <c r="L29" i="60" s="1"/>
  <c r="J36" i="67"/>
  <c r="J141" i="67" s="1"/>
  <c r="H36" i="67"/>
  <c r="H141" i="67" s="1"/>
  <c r="G36" i="67"/>
  <c r="G141" i="67" s="1"/>
  <c r="F36" i="67"/>
  <c r="F141" i="67" s="1"/>
  <c r="I34" i="67"/>
  <c r="I33" i="67"/>
  <c r="I32" i="67"/>
  <c r="I31" i="67"/>
  <c r="I30" i="67"/>
  <c r="K29" i="67"/>
  <c r="L17" i="60" s="1"/>
  <c r="I28" i="67"/>
  <c r="I27" i="67"/>
  <c r="K26" i="67"/>
  <c r="L14" i="60" s="1"/>
  <c r="K25" i="67"/>
  <c r="L13" i="60" s="1"/>
  <c r="I24" i="67"/>
  <c r="I23" i="67"/>
  <c r="J11" i="60" s="1"/>
  <c r="K22" i="67"/>
  <c r="L10" i="60" s="1"/>
  <c r="K21" i="67"/>
  <c r="L9" i="60" s="1"/>
  <c r="M9" i="60" s="1"/>
  <c r="K18" i="67"/>
  <c r="K24" i="67" l="1"/>
  <c r="L12" i="60" s="1"/>
  <c r="J12" i="60"/>
  <c r="K33" i="67"/>
  <c r="L21" i="60" s="1"/>
  <c r="J21" i="60"/>
  <c r="K34" i="67"/>
  <c r="L22" i="60" s="1"/>
  <c r="J22" i="60"/>
  <c r="K27" i="67"/>
  <c r="L15" i="60" s="1"/>
  <c r="J15" i="60"/>
  <c r="K150" i="67"/>
  <c r="L6" i="60"/>
  <c r="M6" i="60" s="1"/>
  <c r="K28" i="67"/>
  <c r="L16" i="60" s="1"/>
  <c r="J16" i="60"/>
  <c r="K30" i="67"/>
  <c r="L18" i="60" s="1"/>
  <c r="J18" i="60"/>
  <c r="L84" i="60"/>
  <c r="K31" i="67"/>
  <c r="L19" i="60" s="1"/>
  <c r="J19" i="60"/>
  <c r="K32" i="67"/>
  <c r="L20" i="60" s="1"/>
  <c r="J20" i="60"/>
  <c r="K105" i="67"/>
  <c r="L86" i="60" s="1"/>
  <c r="J86" i="60"/>
  <c r="K94" i="67"/>
  <c r="L74" i="60" s="1"/>
  <c r="K86" i="67"/>
  <c r="L66" i="60" s="1"/>
  <c r="I108" i="67"/>
  <c r="I147" i="67" s="1"/>
  <c r="K90" i="67"/>
  <c r="L70" i="60" s="1"/>
  <c r="K108" i="68"/>
  <c r="K147" i="68" s="1"/>
  <c r="K95" i="67"/>
  <c r="L75" i="60" s="1"/>
  <c r="K106" i="67"/>
  <c r="L87" i="60" s="1"/>
  <c r="K96" i="67"/>
  <c r="L76" i="60" s="1"/>
  <c r="K64" i="67"/>
  <c r="L43" i="60" s="1"/>
  <c r="K89" i="67"/>
  <c r="L69" i="60" s="1"/>
  <c r="I143" i="67"/>
  <c r="H143" i="67"/>
  <c r="H152" i="67" s="1"/>
  <c r="G143" i="67"/>
  <c r="G152" i="67" s="1"/>
  <c r="I36" i="67"/>
  <c r="I141" i="67" s="1"/>
  <c r="K36" i="68"/>
  <c r="K141" i="68" s="1"/>
  <c r="K98" i="68"/>
  <c r="K146" i="68" s="1"/>
  <c r="F143" i="67"/>
  <c r="F152" i="67" s="1"/>
  <c r="I152" i="68"/>
  <c r="K82" i="67"/>
  <c r="K145" i="67" s="1"/>
  <c r="I98" i="67"/>
  <c r="I146" i="67" s="1"/>
  <c r="K74" i="67"/>
  <c r="K144" i="67" s="1"/>
  <c r="K104" i="67"/>
  <c r="L85" i="60" s="1"/>
  <c r="J143" i="67"/>
  <c r="J152" i="67" s="1"/>
  <c r="K137" i="67"/>
  <c r="K149" i="67" s="1"/>
  <c r="K49" i="67"/>
  <c r="K142" i="67" s="1"/>
  <c r="F155" i="110"/>
  <c r="F154" i="110"/>
  <c r="K23" i="67"/>
  <c r="L11" i="60" s="1"/>
  <c r="M11" i="60" s="1"/>
  <c r="K36" i="67" l="1"/>
  <c r="K141" i="67" s="1"/>
  <c r="K143" i="67"/>
  <c r="I152" i="67"/>
  <c r="K98" i="67"/>
  <c r="K146" i="67" s="1"/>
  <c r="K108" i="67"/>
  <c r="K147" i="67" s="1"/>
  <c r="K152" i="68"/>
  <c r="M43" i="60"/>
  <c r="K152" i="67" l="1"/>
  <c r="F155" i="67" s="1"/>
  <c r="F154" i="68"/>
  <c r="F155" i="68"/>
  <c r="F154" i="67" l="1"/>
  <c r="K41" i="126"/>
  <c r="E54" i="4" l="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8" i="4"/>
  <c r="E5" i="4"/>
  <c r="E3" i="4"/>
  <c r="C51" i="127"/>
  <c r="E55" i="4" l="1"/>
  <c r="B29" i="6"/>
  <c r="C29" i="6"/>
  <c r="D29" i="6"/>
  <c r="E39" i="6"/>
  <c r="E29" i="6" l="1"/>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3" i="4" l="1"/>
  <c r="E51" i="3"/>
  <c r="C56" i="3" l="1"/>
  <c r="E33" i="3"/>
  <c r="C33" i="4"/>
  <c r="F33" i="4" s="1"/>
  <c r="E15" i="3"/>
  <c r="C15" i="4"/>
  <c r="F15" i="4" s="1"/>
  <c r="E8" i="3"/>
  <c r="C8" i="4"/>
  <c r="F8" i="4" s="1"/>
  <c r="E17" i="3"/>
  <c r="C17" i="4"/>
  <c r="F17" i="4" s="1"/>
  <c r="E32" i="3"/>
  <c r="C32" i="4"/>
  <c r="F32" i="4" s="1"/>
  <c r="E52" i="3"/>
  <c r="C51" i="4"/>
  <c r="F51" i="4" s="1"/>
  <c r="E45" i="3"/>
  <c r="C45" i="4"/>
  <c r="F45" i="4" s="1"/>
  <c r="E11" i="3"/>
  <c r="C11" i="4"/>
  <c r="F11" i="4" s="1"/>
  <c r="E28" i="3"/>
  <c r="C28" i="4"/>
  <c r="F28" i="4" s="1"/>
  <c r="E10" i="3"/>
  <c r="C10" i="4"/>
  <c r="F10" i="4" s="1"/>
  <c r="E49" i="3"/>
  <c r="C49" i="4"/>
  <c r="F49" i="4" s="1"/>
  <c r="E35" i="3"/>
  <c r="C35" i="4"/>
  <c r="F35" i="4" s="1"/>
  <c r="E31" i="3"/>
  <c r="C31" i="4"/>
  <c r="F31" i="4" s="1"/>
  <c r="E22" i="3"/>
  <c r="C22" i="4"/>
  <c r="F22" i="4" s="1"/>
  <c r="E37" i="3"/>
  <c r="C37" i="4"/>
  <c r="F37" i="4" s="1"/>
  <c r="E7" i="3"/>
  <c r="C7" i="4"/>
  <c r="F7" i="4" s="1"/>
  <c r="E18" i="3"/>
  <c r="C18" i="4"/>
  <c r="F18" i="4" s="1"/>
  <c r="E36" i="3"/>
  <c r="C36" i="4"/>
  <c r="F36" i="4" s="1"/>
  <c r="E20" i="3"/>
  <c r="C20" i="4"/>
  <c r="F20" i="4" s="1"/>
  <c r="E39" i="3"/>
  <c r="C39" i="4"/>
  <c r="F39" i="4" s="1"/>
  <c r="E6" i="3"/>
  <c r="C6" i="4"/>
  <c r="F6" i="4" s="1"/>
  <c r="E24" i="3"/>
  <c r="C24" i="4"/>
  <c r="F24" i="4" s="1"/>
  <c r="E21" i="3"/>
  <c r="C21" i="4"/>
  <c r="F21" i="4" s="1"/>
  <c r="E48" i="3"/>
  <c r="C48" i="4"/>
  <c r="F48" i="4" s="1"/>
  <c r="E5" i="3"/>
  <c r="C5" i="4"/>
  <c r="F5" i="4" s="1"/>
  <c r="E14" i="3"/>
  <c r="C14" i="4"/>
  <c r="F14" i="4" s="1"/>
  <c r="E34" i="3"/>
  <c r="C34" i="4"/>
  <c r="F34" i="4" s="1"/>
  <c r="E25" i="3"/>
  <c r="C25" i="4"/>
  <c r="F25" i="4" s="1"/>
  <c r="E42" i="3"/>
  <c r="C42" i="4"/>
  <c r="F42" i="4" s="1"/>
  <c r="E40" i="3"/>
  <c r="C40" i="4"/>
  <c r="F40" i="4" s="1"/>
  <c r="E27" i="3"/>
  <c r="C27" i="4"/>
  <c r="F27" i="4" s="1"/>
  <c r="E54" i="3"/>
  <c r="C53" i="4"/>
  <c r="F53" i="4" s="1"/>
  <c r="E41" i="3"/>
  <c r="C41" i="4"/>
  <c r="F41" i="4" s="1"/>
  <c r="E38" i="3"/>
  <c r="C38" i="4"/>
  <c r="F38" i="4" s="1"/>
  <c r="E47" i="3"/>
  <c r="C47" i="4"/>
  <c r="F47" i="4" s="1"/>
  <c r="E50" i="3"/>
  <c r="C50" i="4"/>
  <c r="F50" i="4" s="1"/>
  <c r="E29" i="3"/>
  <c r="C29" i="4"/>
  <c r="F29" i="4" s="1"/>
  <c r="E19" i="3"/>
  <c r="C19" i="4"/>
  <c r="F19" i="4" s="1"/>
  <c r="E55" i="3"/>
  <c r="C54" i="4"/>
  <c r="E3" i="3"/>
  <c r="C3" i="4"/>
  <c r="E9" i="3"/>
  <c r="C9" i="4"/>
  <c r="F9" i="4" s="1"/>
  <c r="E23" i="3"/>
  <c r="C23" i="4"/>
  <c r="F23" i="4" s="1"/>
  <c r="E43" i="3"/>
  <c r="C43" i="4"/>
  <c r="F43" i="4" s="1"/>
  <c r="E53" i="3"/>
  <c r="C52" i="4"/>
  <c r="F52" i="4" s="1"/>
  <c r="E46" i="3"/>
  <c r="C46" i="4"/>
  <c r="F46" i="4" s="1"/>
  <c r="E13" i="3"/>
  <c r="C13" i="4"/>
  <c r="F13" i="4" s="1"/>
  <c r="E16" i="3"/>
  <c r="C16" i="4"/>
  <c r="F16" i="4" s="1"/>
  <c r="C4" i="4"/>
  <c r="E44" i="3"/>
  <c r="C44" i="4"/>
  <c r="F44" i="4" s="1"/>
  <c r="E12" i="3"/>
  <c r="C12" i="4"/>
  <c r="F12" i="4" s="1"/>
  <c r="E26" i="3"/>
  <c r="C26" i="4"/>
  <c r="F26" i="4" s="1"/>
  <c r="E30" i="3"/>
  <c r="C30" i="4"/>
  <c r="F30" i="4" s="1"/>
  <c r="B41" i="6"/>
  <c r="C55" i="4" l="1"/>
  <c r="C41" i="6" s="1"/>
  <c r="F54" i="4"/>
  <c r="F3" i="4"/>
  <c r="K3" i="126" l="1"/>
  <c r="F3" i="126"/>
  <c r="D3" i="126"/>
  <c r="K25" i="126"/>
  <c r="F25" i="126"/>
  <c r="E25" i="126"/>
  <c r="D25" i="126"/>
  <c r="K20" i="126"/>
  <c r="F20" i="126"/>
  <c r="D20" i="126"/>
  <c r="K15" i="126"/>
  <c r="F15" i="126"/>
  <c r="F14" i="126"/>
  <c r="E15" i="126"/>
  <c r="E14" i="126"/>
  <c r="D15" i="126"/>
  <c r="D14" i="126"/>
  <c r="K21" i="126"/>
  <c r="F21" i="126"/>
  <c r="E21" i="126"/>
  <c r="D21" i="126"/>
  <c r="C21" i="126"/>
  <c r="C20" i="126"/>
  <c r="C3" i="126"/>
  <c r="C65" i="6" l="1"/>
  <c r="D65" i="6" s="1"/>
  <c r="B65" i="6"/>
  <c r="K47" i="126"/>
  <c r="K46" i="126"/>
  <c r="B77" i="6" l="1"/>
  <c r="B52" i="6"/>
  <c r="C31" i="6"/>
  <c r="B31" i="6"/>
  <c r="C52" i="6" l="1"/>
  <c r="H53" i="126"/>
  <c r="C77" i="6" l="1"/>
  <c r="K53" i="126" l="1"/>
  <c r="K51" i="126"/>
  <c r="F53" i="126"/>
  <c r="I53" i="126" s="1"/>
  <c r="F51" i="126"/>
  <c r="E53" i="126"/>
  <c r="E51" i="126"/>
  <c r="D53" i="126"/>
  <c r="D52" i="126"/>
  <c r="D51" i="126"/>
  <c r="C53" i="126"/>
  <c r="C52" i="126"/>
  <c r="C51" i="126"/>
  <c r="C50" i="126"/>
  <c r="C54" i="126"/>
  <c r="K49" i="126"/>
  <c r="F49" i="126"/>
  <c r="E49" i="126"/>
  <c r="D49" i="126"/>
  <c r="C49" i="126"/>
  <c r="K48" i="126"/>
  <c r="F48" i="126"/>
  <c r="E48" i="126"/>
  <c r="D48" i="126"/>
  <c r="C48" i="126"/>
  <c r="F47" i="126"/>
  <c r="E47" i="126"/>
  <c r="D47" i="126"/>
  <c r="C47" i="126"/>
  <c r="F46" i="126"/>
  <c r="E46" i="126"/>
  <c r="D46" i="126"/>
  <c r="C46" i="126"/>
  <c r="K45" i="126"/>
  <c r="F45" i="126"/>
  <c r="E45" i="126"/>
  <c r="D45" i="126"/>
  <c r="C45" i="126"/>
  <c r="K44" i="126"/>
  <c r="F44" i="126"/>
  <c r="E44" i="126"/>
  <c r="D44" i="126"/>
  <c r="C44" i="126"/>
  <c r="K43" i="126"/>
  <c r="F43" i="126"/>
  <c r="E43" i="126"/>
  <c r="D43" i="126"/>
  <c r="C43" i="126"/>
  <c r="K42" i="126"/>
  <c r="E42" i="126"/>
  <c r="D42" i="126"/>
  <c r="C42" i="126"/>
  <c r="E41" i="126"/>
  <c r="D41" i="126"/>
  <c r="C41" i="126"/>
  <c r="K40" i="126"/>
  <c r="F40" i="126"/>
  <c r="E40" i="126"/>
  <c r="D40" i="126"/>
  <c r="C40" i="126"/>
  <c r="K39" i="126"/>
  <c r="F39" i="126"/>
  <c r="E39" i="126"/>
  <c r="D39" i="126"/>
  <c r="C39" i="126"/>
  <c r="C38" i="126"/>
  <c r="K37" i="126"/>
  <c r="F37" i="126"/>
  <c r="E37" i="126"/>
  <c r="D37" i="126"/>
  <c r="C37" i="126"/>
  <c r="K36" i="126"/>
  <c r="E36" i="126"/>
  <c r="D36" i="126"/>
  <c r="C36" i="126"/>
  <c r="K35" i="126"/>
  <c r="F35" i="126"/>
  <c r="E35" i="126"/>
  <c r="D35" i="126"/>
  <c r="C35" i="126"/>
  <c r="K34" i="126"/>
  <c r="F34" i="126"/>
  <c r="E34" i="126"/>
  <c r="D34" i="126"/>
  <c r="C34" i="126"/>
  <c r="K33" i="126"/>
  <c r="F33" i="126"/>
  <c r="E33" i="126"/>
  <c r="D33" i="126"/>
  <c r="C33" i="126"/>
  <c r="K32" i="126"/>
  <c r="E32" i="126"/>
  <c r="C32" i="126"/>
  <c r="K30" i="126"/>
  <c r="E30" i="126"/>
  <c r="C30" i="126"/>
  <c r="K29" i="126"/>
  <c r="F29" i="126"/>
  <c r="E29" i="126"/>
  <c r="D29" i="126"/>
  <c r="C29" i="126"/>
  <c r="K28" i="126"/>
  <c r="F28" i="126"/>
  <c r="E28" i="126"/>
  <c r="D28" i="126"/>
  <c r="C28" i="126"/>
  <c r="K27" i="126"/>
  <c r="F27" i="126"/>
  <c r="E27" i="126"/>
  <c r="D27" i="126"/>
  <c r="C27" i="126"/>
  <c r="C25" i="126"/>
  <c r="K24" i="126"/>
  <c r="F24" i="126"/>
  <c r="E24" i="126"/>
  <c r="D24" i="126"/>
  <c r="C24" i="126"/>
  <c r="K23" i="126"/>
  <c r="F23" i="126"/>
  <c r="E23" i="126"/>
  <c r="D23" i="126"/>
  <c r="C23" i="126"/>
  <c r="K22" i="126"/>
  <c r="F22" i="126"/>
  <c r="E22" i="126"/>
  <c r="D22" i="126"/>
  <c r="C22" i="126"/>
  <c r="C19" i="126"/>
  <c r="K18" i="126"/>
  <c r="F18" i="126"/>
  <c r="E18" i="126"/>
  <c r="D18" i="126"/>
  <c r="C18" i="126"/>
  <c r="K17" i="126"/>
  <c r="E17" i="126"/>
  <c r="D17" i="126"/>
  <c r="C17" i="126"/>
  <c r="C16" i="126"/>
  <c r="C15" i="126"/>
  <c r="K14" i="126"/>
  <c r="C14" i="126"/>
  <c r="K13" i="126"/>
  <c r="F13" i="126"/>
  <c r="E13" i="126"/>
  <c r="D13" i="126"/>
  <c r="C13" i="126"/>
  <c r="K12" i="126"/>
  <c r="F12" i="126"/>
  <c r="E12" i="126"/>
  <c r="D12" i="126"/>
  <c r="C12" i="126"/>
  <c r="K10" i="126"/>
  <c r="F10" i="126"/>
  <c r="E10" i="126"/>
  <c r="D10" i="126"/>
  <c r="C10" i="126"/>
  <c r="K9" i="126"/>
  <c r="F9" i="126"/>
  <c r="E9" i="126"/>
  <c r="D9" i="126"/>
  <c r="C9" i="126"/>
  <c r="K8" i="126"/>
  <c r="F8" i="126"/>
  <c r="E8" i="126"/>
  <c r="D8" i="126"/>
  <c r="C8" i="126"/>
  <c r="K7" i="126"/>
  <c r="F7" i="126"/>
  <c r="E7" i="126"/>
  <c r="D7" i="126"/>
  <c r="C7" i="126"/>
  <c r="K6" i="126"/>
  <c r="F6" i="126"/>
  <c r="E6" i="126"/>
  <c r="C6" i="126"/>
  <c r="K5" i="126"/>
  <c r="F5" i="126"/>
  <c r="E5" i="126"/>
  <c r="D5" i="126"/>
  <c r="C5" i="126"/>
  <c r="C4" i="126"/>
  <c r="E3" i="126"/>
  <c r="G3" i="126" s="1"/>
  <c r="G29" i="126" l="1"/>
  <c r="G51" i="126"/>
  <c r="G53" i="126"/>
  <c r="G19" i="126"/>
  <c r="G27" i="126"/>
  <c r="G35" i="126"/>
  <c r="G43" i="126"/>
  <c r="G10" i="126"/>
  <c r="G7" i="126"/>
  <c r="G9" i="126"/>
  <c r="G45" i="126"/>
  <c r="G6" i="126"/>
  <c r="G18" i="126"/>
  <c r="G37" i="126"/>
  <c r="G15" i="126"/>
  <c r="G5" i="126"/>
  <c r="G23" i="126"/>
  <c r="G25" i="126"/>
  <c r="G33" i="126"/>
  <c r="G39" i="126"/>
  <c r="G47" i="126"/>
  <c r="G49" i="126"/>
  <c r="G13" i="126"/>
  <c r="G34" i="126"/>
  <c r="G14" i="126"/>
  <c r="G22" i="126"/>
  <c r="G46" i="126"/>
  <c r="G28" i="126"/>
  <c r="G40" i="126"/>
  <c r="G8" i="126"/>
  <c r="G12" i="126"/>
  <c r="G24" i="126"/>
  <c r="G44" i="126"/>
  <c r="G48" i="126"/>
  <c r="G21" i="126" l="1"/>
  <c r="G20" i="126" l="1"/>
  <c r="K50" i="126" l="1"/>
  <c r="E50" i="126"/>
  <c r="D50" i="126" l="1"/>
  <c r="F36" i="126" l="1"/>
  <c r="G36" i="126" l="1"/>
  <c r="F50" i="126"/>
  <c r="G50" i="126" l="1"/>
  <c r="E52" i="126" l="1"/>
  <c r="K52" i="126" l="1"/>
  <c r="F52" i="126" l="1"/>
  <c r="E54" i="126" l="1"/>
  <c r="K54" i="126"/>
  <c r="G52" i="126"/>
  <c r="K16" i="126" l="1"/>
  <c r="E16" i="126"/>
  <c r="D54" i="126"/>
  <c r="D16" i="126" l="1"/>
  <c r="F54" i="126" l="1"/>
  <c r="F16" i="126" l="1"/>
  <c r="G54" i="126"/>
  <c r="G16" i="126" l="1"/>
  <c r="F41" i="126" l="1"/>
  <c r="G41" i="126" l="1"/>
  <c r="C31" i="126" l="1"/>
  <c r="G31" i="126" l="1"/>
  <c r="K11" i="126" l="1"/>
  <c r="E11" i="126"/>
  <c r="C11" i="126"/>
  <c r="D11" i="126" l="1"/>
  <c r="F11" i="126" l="1"/>
  <c r="G11" i="126" l="1"/>
  <c r="K26" i="126" l="1"/>
  <c r="E26" i="126"/>
  <c r="D26" i="126"/>
  <c r="C26" i="126"/>
  <c r="C55" i="126" s="1"/>
  <c r="C57" i="126" l="1"/>
  <c r="F26" i="126" l="1"/>
  <c r="G26" i="126" l="1"/>
  <c r="F42" i="126" l="1"/>
  <c r="G42" i="126" l="1"/>
  <c r="K38" i="126" l="1"/>
  <c r="D38" i="126"/>
  <c r="F38" i="126" l="1"/>
  <c r="G38" i="126" l="1"/>
  <c r="F30" i="126"/>
  <c r="G30" i="126" l="1"/>
  <c r="F17" i="126"/>
  <c r="G17" i="126" l="1"/>
  <c r="D32" i="126" l="1"/>
  <c r="G93" i="60"/>
  <c r="I116" i="60" s="1"/>
  <c r="G122" i="60"/>
  <c r="M116" i="60" l="1"/>
  <c r="L116" i="60"/>
  <c r="K4" i="126"/>
  <c r="F32" i="126"/>
  <c r="E4" i="126"/>
  <c r="K55" i="126" l="1"/>
  <c r="K57" i="126"/>
  <c r="E55" i="126"/>
  <c r="B91" i="6" s="1"/>
  <c r="B67" i="6" s="1"/>
  <c r="E57" i="126"/>
  <c r="D4" i="126"/>
  <c r="D61" i="126" s="1"/>
  <c r="G32" i="126"/>
  <c r="B28" i="6"/>
  <c r="D57" i="126" l="1"/>
  <c r="D55" i="126"/>
  <c r="F4" i="126" l="1"/>
  <c r="D22" i="6"/>
  <c r="B64" i="6"/>
  <c r="B63" i="6"/>
  <c r="F57" i="126" l="1"/>
  <c r="F55" i="126"/>
  <c r="C91" i="6" s="1"/>
  <c r="C67" i="6" s="1"/>
  <c r="G4" i="126"/>
  <c r="B60" i="6"/>
  <c r="G55" i="126" l="1"/>
  <c r="B54" i="6"/>
  <c r="B79" i="6"/>
  <c r="G57" i="126"/>
  <c r="C64" i="6"/>
  <c r="C28" i="6"/>
  <c r="D28" i="6"/>
  <c r="E38" i="6"/>
  <c r="H5" i="126"/>
  <c r="I5" i="126" s="1"/>
  <c r="H6" i="126"/>
  <c r="I6" i="126" s="1"/>
  <c r="H7" i="126"/>
  <c r="I7" i="126" s="1"/>
  <c r="H8" i="126"/>
  <c r="I8" i="126" s="1"/>
  <c r="H9" i="126"/>
  <c r="I9" i="126" s="1"/>
  <c r="H10" i="126"/>
  <c r="I10" i="126" s="1"/>
  <c r="H11" i="126"/>
  <c r="I11" i="126" s="1"/>
  <c r="H12" i="126"/>
  <c r="I12" i="126" s="1"/>
  <c r="H13" i="126"/>
  <c r="I13" i="126" s="1"/>
  <c r="H14" i="126"/>
  <c r="I14" i="126" s="1"/>
  <c r="H15" i="126"/>
  <c r="I15" i="126" s="1"/>
  <c r="H16" i="126"/>
  <c r="I16" i="126" s="1"/>
  <c r="H17" i="126"/>
  <c r="I17" i="126" s="1"/>
  <c r="H18" i="126"/>
  <c r="I18" i="126" s="1"/>
  <c r="H19" i="126"/>
  <c r="I19" i="126" s="1"/>
  <c r="H20" i="126"/>
  <c r="I20" i="126" s="1"/>
  <c r="H21" i="126"/>
  <c r="I21" i="126" s="1"/>
  <c r="H22" i="126"/>
  <c r="I22" i="126" s="1"/>
  <c r="H23" i="126"/>
  <c r="I23" i="126" s="1"/>
  <c r="H24" i="126"/>
  <c r="I24" i="126" s="1"/>
  <c r="H25" i="126"/>
  <c r="I25" i="126" s="1"/>
  <c r="H26" i="126"/>
  <c r="I26" i="126" s="1"/>
  <c r="H27" i="126"/>
  <c r="I27" i="126" s="1"/>
  <c r="H28" i="126"/>
  <c r="I28" i="126" s="1"/>
  <c r="H29" i="126"/>
  <c r="I29" i="126" s="1"/>
  <c r="H30" i="126"/>
  <c r="I30" i="126" s="1"/>
  <c r="H31" i="126"/>
  <c r="I31" i="126" s="1"/>
  <c r="H32" i="126"/>
  <c r="I32" i="126" s="1"/>
  <c r="H33" i="126"/>
  <c r="I33" i="126" s="1"/>
  <c r="H34" i="126"/>
  <c r="I34" i="126" s="1"/>
  <c r="H35" i="126"/>
  <c r="I35" i="126" s="1"/>
  <c r="H36" i="126"/>
  <c r="I36" i="126" s="1"/>
  <c r="H37" i="126"/>
  <c r="I37" i="126" s="1"/>
  <c r="H38" i="126"/>
  <c r="I38" i="126" s="1"/>
  <c r="H39" i="126"/>
  <c r="I39" i="126" s="1"/>
  <c r="H40" i="126"/>
  <c r="I40" i="126" s="1"/>
  <c r="H41" i="126"/>
  <c r="I41" i="126" s="1"/>
  <c r="H43" i="126"/>
  <c r="I43" i="126" s="1"/>
  <c r="H42" i="126"/>
  <c r="I42" i="126" s="1"/>
  <c r="H44" i="126"/>
  <c r="I44" i="126" s="1"/>
  <c r="H49" i="126"/>
  <c r="I49" i="126" s="1"/>
  <c r="H54" i="126"/>
  <c r="I54" i="126" s="1"/>
  <c r="H46" i="126"/>
  <c r="I46" i="126" s="1"/>
  <c r="H48" i="126"/>
  <c r="I48" i="126" s="1"/>
  <c r="H47" i="126"/>
  <c r="I47" i="126" s="1"/>
  <c r="H52" i="126"/>
  <c r="I52" i="126" s="1"/>
  <c r="J52" i="126" l="1"/>
  <c r="H50" i="126"/>
  <c r="J54" i="126"/>
  <c r="H51" i="126"/>
  <c r="H45" i="126"/>
  <c r="J43" i="126"/>
  <c r="J34" i="126"/>
  <c r="J26" i="126"/>
  <c r="J14" i="126"/>
  <c r="J10" i="126"/>
  <c r="J41" i="126"/>
  <c r="J33" i="126"/>
  <c r="J25" i="126"/>
  <c r="J13" i="126"/>
  <c r="J42" i="126"/>
  <c r="J39" i="126"/>
  <c r="J35" i="126"/>
  <c r="J31" i="126"/>
  <c r="J27" i="126"/>
  <c r="J23" i="126"/>
  <c r="J19" i="126"/>
  <c r="J15" i="126"/>
  <c r="J11" i="126"/>
  <c r="J7" i="126"/>
  <c r="J38" i="126"/>
  <c r="J30" i="126"/>
  <c r="J22" i="126"/>
  <c r="J18" i="126"/>
  <c r="J6" i="126"/>
  <c r="J37" i="126"/>
  <c r="J29" i="126"/>
  <c r="J21" i="126"/>
  <c r="J17" i="126"/>
  <c r="J9" i="126"/>
  <c r="J5" i="126"/>
  <c r="J44" i="126"/>
  <c r="J40" i="126"/>
  <c r="J36" i="126"/>
  <c r="J32" i="126"/>
  <c r="J28" i="126"/>
  <c r="J24" i="126"/>
  <c r="J20" i="126"/>
  <c r="J16" i="126"/>
  <c r="J12" i="126"/>
  <c r="J8" i="126"/>
  <c r="B51" i="6"/>
  <c r="J53" i="126"/>
  <c r="H3" i="126"/>
  <c r="I3" i="126" s="1"/>
  <c r="J47" i="126"/>
  <c r="J49" i="126"/>
  <c r="J46" i="126"/>
  <c r="J48" i="126"/>
  <c r="B76" i="6"/>
  <c r="E28" i="6"/>
  <c r="I45" i="126" l="1"/>
  <c r="J45" i="126" s="1"/>
  <c r="I50" i="126"/>
  <c r="J50" i="126" s="1"/>
  <c r="I51" i="126"/>
  <c r="J51" i="126" s="1"/>
  <c r="D64" i="6"/>
  <c r="C76" i="6" s="1"/>
  <c r="J3" i="126"/>
  <c r="C51" i="6" l="1"/>
  <c r="M83" i="60"/>
  <c r="M99" i="60"/>
  <c r="M57" i="60"/>
  <c r="M103" i="60"/>
  <c r="M102" i="60"/>
  <c r="M100" i="60"/>
  <c r="M101" i="60"/>
  <c r="M19" i="60" l="1"/>
  <c r="M18" i="60"/>
  <c r="M17" i="60"/>
  <c r="M14" i="60"/>
  <c r="M13" i="60"/>
  <c r="M10" i="60"/>
  <c r="M35" i="60"/>
  <c r="M31" i="60"/>
  <c r="G38" i="60"/>
  <c r="M36" i="60"/>
  <c r="M49" i="60"/>
  <c r="M16" i="60"/>
  <c r="G24" i="60" l="1"/>
  <c r="B12" i="5"/>
  <c r="J104" i="60"/>
  <c r="J117" i="60" s="1"/>
  <c r="K104" i="60"/>
  <c r="K117" i="60" s="1"/>
  <c r="H104" i="60"/>
  <c r="H117" i="60" s="1"/>
  <c r="G104" i="60"/>
  <c r="G117" i="60" s="1"/>
  <c r="B11" i="5" s="1"/>
  <c r="K89" i="60"/>
  <c r="K115" i="60" s="1"/>
  <c r="G78" i="60"/>
  <c r="G114" i="60" s="1"/>
  <c r="B9" i="5" s="1"/>
  <c r="H60" i="60"/>
  <c r="H113" i="60" s="1"/>
  <c r="G60" i="60"/>
  <c r="G113" i="60" s="1"/>
  <c r="B8" i="5" s="1"/>
  <c r="H51" i="60"/>
  <c r="H112" i="60" s="1"/>
  <c r="G51" i="60"/>
  <c r="G112" i="60" s="1"/>
  <c r="B7" i="5" s="1"/>
  <c r="K111" i="60"/>
  <c r="J111" i="60"/>
  <c r="I111" i="60"/>
  <c r="H111" i="60"/>
  <c r="G111" i="60"/>
  <c r="B6" i="5" s="1"/>
  <c r="G118" i="60" l="1"/>
  <c r="B3" i="5"/>
  <c r="C12" i="5"/>
  <c r="K60" i="60"/>
  <c r="K113" i="60" s="1"/>
  <c r="K51" i="60"/>
  <c r="K112" i="60" s="1"/>
  <c r="C8" i="5"/>
  <c r="C7" i="5"/>
  <c r="C11" i="5"/>
  <c r="C6" i="5"/>
  <c r="G109" i="60"/>
  <c r="B4" i="5" s="1"/>
  <c r="G110" i="60"/>
  <c r="B5" i="5" s="1"/>
  <c r="J118" i="60"/>
  <c r="M111" i="60"/>
  <c r="L111" i="60"/>
  <c r="D6" i="5" s="1"/>
  <c r="F6" i="5" s="1"/>
  <c r="M104" i="60"/>
  <c r="L104" i="60"/>
  <c r="I104" i="60"/>
  <c r="I117" i="60" s="1"/>
  <c r="J60" i="60" l="1"/>
  <c r="J113" i="60" s="1"/>
  <c r="M117" i="60"/>
  <c r="L117" i="60"/>
  <c r="D11" i="5" s="1"/>
  <c r="F11" i="5" s="1"/>
  <c r="M12" i="60" l="1"/>
  <c r="K118" i="60" l="1"/>
  <c r="J38" i="60" l="1"/>
  <c r="J110" i="60" l="1"/>
  <c r="B22" i="6" l="1"/>
  <c r="C22" i="6"/>
  <c r="B23" i="6"/>
  <c r="C23" i="6"/>
  <c r="D23" i="6"/>
  <c r="B24" i="6"/>
  <c r="C24" i="6"/>
  <c r="D24" i="6"/>
  <c r="B25" i="6"/>
  <c r="C25" i="6"/>
  <c r="D25" i="6"/>
  <c r="B26" i="6"/>
  <c r="C26" i="6"/>
  <c r="D26" i="6"/>
  <c r="B27" i="6"/>
  <c r="C27" i="6"/>
  <c r="D27" i="6"/>
  <c r="E32" i="6"/>
  <c r="E33" i="6"/>
  <c r="E34" i="6"/>
  <c r="E35" i="6"/>
  <c r="E36" i="6"/>
  <c r="E37" i="6"/>
  <c r="B58" i="6"/>
  <c r="C58" i="6"/>
  <c r="B59" i="6"/>
  <c r="C59" i="6"/>
  <c r="C60" i="6"/>
  <c r="B61" i="6"/>
  <c r="C61" i="6"/>
  <c r="B62" i="6"/>
  <c r="C62" i="6"/>
  <c r="C63" i="6"/>
  <c r="B49" i="6" l="1"/>
  <c r="B48" i="6"/>
  <c r="B50" i="6"/>
  <c r="B45" i="6"/>
  <c r="E26" i="6"/>
  <c r="D62" i="6" s="1"/>
  <c r="E22" i="6"/>
  <c r="D58" i="6" s="1"/>
  <c r="B71" i="6"/>
  <c r="B73" i="6"/>
  <c r="B46" i="6"/>
  <c r="B75" i="6"/>
  <c r="B74" i="6"/>
  <c r="E27" i="6"/>
  <c r="D63" i="6" s="1"/>
  <c r="E23" i="6"/>
  <c r="D59" i="6" s="1"/>
  <c r="E24" i="6"/>
  <c r="E25" i="6"/>
  <c r="D61" i="6" s="1"/>
  <c r="B72" i="6"/>
  <c r="B70" i="6"/>
  <c r="B47" i="6"/>
  <c r="D60" i="6" l="1"/>
  <c r="C72" i="6" s="1"/>
  <c r="C75" i="6"/>
  <c r="C48" i="6"/>
  <c r="C73" i="6"/>
  <c r="C46" i="6"/>
  <c r="C71" i="6"/>
  <c r="C45" i="6"/>
  <c r="C70" i="6"/>
  <c r="C49" i="6"/>
  <c r="C74" i="6"/>
  <c r="H118" i="60"/>
  <c r="C50" i="6"/>
  <c r="C47" i="6" l="1"/>
  <c r="H38" i="60"/>
  <c r="H110" i="60" s="1"/>
  <c r="C5" i="5" s="1"/>
  <c r="H24" i="60"/>
  <c r="H109" i="60" s="1"/>
  <c r="C4" i="5" s="1"/>
  <c r="C3" i="5"/>
  <c r="M20" i="60" l="1"/>
  <c r="H89" i="60" l="1"/>
  <c r="H115" i="60" s="1"/>
  <c r="C10" i="5" s="1"/>
  <c r="M22" i="60"/>
  <c r="M21" i="60"/>
  <c r="K78" i="60"/>
  <c r="K114" i="60" s="1"/>
  <c r="D12" i="5"/>
  <c r="M76" i="60" l="1"/>
  <c r="F12" i="5"/>
  <c r="M75" i="60"/>
  <c r="M87" i="60"/>
  <c r="I118" i="60" l="1"/>
  <c r="K24" i="60"/>
  <c r="K109" i="60" s="1"/>
  <c r="H78" i="60"/>
  <c r="H114" i="60" s="1"/>
  <c r="H120" i="60" s="1"/>
  <c r="I24" i="60"/>
  <c r="I109" i="60" s="1"/>
  <c r="G89" i="60" l="1"/>
  <c r="G115" i="60" s="1"/>
  <c r="G120" i="60" s="1"/>
  <c r="M109" i="60"/>
  <c r="I51" i="60"/>
  <c r="I112" i="60" s="1"/>
  <c r="M112" i="60" s="1"/>
  <c r="K38" i="60"/>
  <c r="K110" i="60" s="1"/>
  <c r="K120" i="60" s="1"/>
  <c r="C9" i="5"/>
  <c r="M118" i="60"/>
  <c r="L118" i="60"/>
  <c r="D3" i="5" s="1"/>
  <c r="M58" i="60"/>
  <c r="I78" i="60"/>
  <c r="M34" i="60"/>
  <c r="J24" i="60"/>
  <c r="J109" i="60" s="1"/>
  <c r="L109" i="60" s="1"/>
  <c r="I38" i="60"/>
  <c r="I110" i="60" s="1"/>
  <c r="M33" i="60"/>
  <c r="I60" i="60"/>
  <c r="I113" i="60" s="1"/>
  <c r="M32" i="60"/>
  <c r="I89" i="60"/>
  <c r="I115" i="60" s="1"/>
  <c r="M56" i="60"/>
  <c r="I114" i="60" l="1"/>
  <c r="I120" i="60" s="1"/>
  <c r="B10" i="5"/>
  <c r="M115" i="60"/>
  <c r="D4" i="5"/>
  <c r="F4" i="5" s="1"/>
  <c r="J51" i="60"/>
  <c r="J112" i="60" s="1"/>
  <c r="L112" i="60" s="1"/>
  <c r="D7" i="5" s="1"/>
  <c r="F7" i="5" s="1"/>
  <c r="J78" i="60"/>
  <c r="J114" i="60" s="1"/>
  <c r="M110" i="60"/>
  <c r="L110" i="60"/>
  <c r="D5" i="5" s="1"/>
  <c r="M86" i="60"/>
  <c r="M74" i="60"/>
  <c r="J89" i="60"/>
  <c r="J115" i="60" s="1"/>
  <c r="L115" i="60" s="1"/>
  <c r="D10" i="5" s="1"/>
  <c r="M69" i="60"/>
  <c r="M67" i="60"/>
  <c r="M30" i="60"/>
  <c r="M48" i="60"/>
  <c r="M68" i="60"/>
  <c r="M113" i="60"/>
  <c r="L113" i="60"/>
  <c r="D8" i="5" s="1"/>
  <c r="M70" i="60"/>
  <c r="M29" i="60"/>
  <c r="M71" i="60"/>
  <c r="M73" i="60"/>
  <c r="M114" i="60" l="1"/>
  <c r="M120" i="60" s="1"/>
  <c r="G126" i="60" s="1"/>
  <c r="F3" i="5"/>
  <c r="L114" i="60"/>
  <c r="D9" i="5" s="1"/>
  <c r="F10" i="5"/>
  <c r="M84" i="60"/>
  <c r="J120" i="60"/>
  <c r="M15" i="60"/>
  <c r="L24" i="60"/>
  <c r="M24" i="60" s="1"/>
  <c r="L38" i="60"/>
  <c r="M38" i="60" s="1"/>
  <c r="M47" i="60"/>
  <c r="M51" i="60" s="1"/>
  <c r="L51" i="60"/>
  <c r="M55" i="60"/>
  <c r="M60" i="60" s="1"/>
  <c r="L60" i="60"/>
  <c r="F8" i="5"/>
  <c r="M85" i="60"/>
  <c r="M66" i="60"/>
  <c r="M78" i="60" s="1"/>
  <c r="L78" i="60"/>
  <c r="F9" i="5" l="1"/>
  <c r="L120" i="60"/>
  <c r="E12" i="5"/>
  <c r="E8" i="5"/>
  <c r="B9" i="6" s="1"/>
  <c r="E9" i="5"/>
  <c r="B8" i="6" s="1"/>
  <c r="E11" i="5"/>
  <c r="E5" i="5"/>
  <c r="B5" i="6" s="1"/>
  <c r="E4" i="5"/>
  <c r="B6" i="6" s="1"/>
  <c r="L89" i="60"/>
  <c r="M89" i="60"/>
  <c r="G124" i="60" l="1"/>
  <c r="E7" i="5"/>
  <c r="B10" i="6" s="1"/>
  <c r="E10" i="5"/>
  <c r="B11" i="6" s="1"/>
  <c r="E6" i="5"/>
  <c r="B4" i="6" s="1"/>
  <c r="E3" i="5"/>
  <c r="E13" i="5" s="1"/>
  <c r="B7" i="6" l="1"/>
  <c r="B12" i="6"/>
  <c r="E4" i="3"/>
  <c r="E56" i="3" s="1"/>
  <c r="F5" i="5" s="1"/>
  <c r="D4" i="4" l="1"/>
  <c r="G5" i="5"/>
  <c r="C5" i="6" s="1"/>
  <c r="D56" i="3"/>
  <c r="F4" i="4" l="1"/>
  <c r="D55" i="4"/>
  <c r="D41" i="6" s="1"/>
  <c r="G11" i="5"/>
  <c r="G9" i="5"/>
  <c r="C8" i="6" s="1"/>
  <c r="G6" i="5"/>
  <c r="C4" i="6" s="1"/>
  <c r="G3" i="5"/>
  <c r="G8" i="5"/>
  <c r="C9" i="6" s="1"/>
  <c r="G4" i="5"/>
  <c r="C6" i="6" s="1"/>
  <c r="G12" i="5"/>
  <c r="G10" i="5"/>
  <c r="C11" i="6" s="1"/>
  <c r="G7" i="5"/>
  <c r="C10" i="6" s="1"/>
  <c r="G13" i="5" l="1"/>
  <c r="D31" i="6"/>
  <c r="E31" i="6" s="1"/>
  <c r="D67" i="6" s="1"/>
  <c r="E41" i="6"/>
  <c r="F55" i="4"/>
  <c r="H4" i="126"/>
  <c r="I4" i="126" s="1"/>
  <c r="C7" i="6"/>
  <c r="C12" i="6" s="1"/>
  <c r="H55" i="126" l="1"/>
  <c r="C79" i="6"/>
  <c r="C54" i="6"/>
  <c r="I55" i="126" l="1"/>
  <c r="J55" i="126" s="1"/>
  <c r="J4" i="126"/>
  <c r="I57" i="126" s="1"/>
</calcChain>
</file>

<file path=xl/comments1.xml><?xml version="1.0" encoding="utf-8"?>
<comments xmlns="http://schemas.openxmlformats.org/spreadsheetml/2006/main">
  <authors>
    <author>Lucas McCormley</author>
    <author>Paul Gauthier</author>
    <author>Gauthier Jr Paul</author>
  </authors>
  <commentList>
    <comment ref="I21" authorId="0" shapeId="0">
      <text>
        <r>
          <rPr>
            <b/>
            <sz val="9"/>
            <color rgb="FF000000"/>
            <rFont val="Tahoma"/>
            <family val="2"/>
          </rPr>
          <t>Lucas McCormley:</t>
        </r>
        <r>
          <rPr>
            <sz val="9"/>
            <color rgb="FF000000"/>
            <rFont val="Tahoma"/>
            <family val="2"/>
          </rPr>
          <t xml:space="preserve">
+146505 plug removed</t>
        </r>
      </text>
    </comment>
    <comment ref="K68" authorId="1" shapeId="0">
      <text>
        <r>
          <rPr>
            <b/>
            <sz val="9"/>
            <color rgb="FF000000"/>
            <rFont val="Tahoma"/>
            <family val="2"/>
          </rPr>
          <t>Paul Gauthier:</t>
        </r>
        <r>
          <rPr>
            <sz val="9"/>
            <color rgb="FF000000"/>
            <rFont val="Tahoma"/>
            <family val="2"/>
          </rPr>
          <t xml:space="preserve">
added 0.0001 to turnoff conditional formating</t>
        </r>
      </text>
    </comment>
    <comment ref="H86" authorId="2" shapeId="0">
      <text>
        <r>
          <rPr>
            <b/>
            <sz val="9"/>
            <color rgb="FF000000"/>
            <rFont val="Tahoma"/>
            <family val="2"/>
          </rPr>
          <t>Gauthier Jr Paul:</t>
        </r>
        <r>
          <rPr>
            <sz val="9"/>
            <color rgb="FF000000"/>
            <rFont val="Tahoma"/>
            <family val="2"/>
          </rPr>
          <t xml:space="preserve">
FY16 Note: $988K for "Sidewalk et al" improvements approved as an entry into CBR by William Wang and Anne Langley during group conversation on 11/4
-Update 11.07.2016, per conversation with Bonnie Hatami, Sr. Acctant at Baltimore (Hopkins), it was suggested that we use the depreciated value as a basis for conservatism.  We could also recognize the full expense on a cash/cost basis; however, this path is fraught with questions Year to Year.  Additionally, we could also record a % of the expense as it relates to the completion of the project at that time; however, using this approach would require further documentation which would be challenging to acquire at this point.
-SH Finance used a straight-lined depreciation method to account for the expense; 20 years useful life for Land Improvements. about $50K/year
-Update 11.21.2016- Per Sunil Vasudevan from a conversation he had with Marty Basso, we should not include the sidewalks expense.</t>
        </r>
      </text>
    </comment>
    <comment ref="I86" authorId="2" shapeId="0">
      <text>
        <r>
          <rPr>
            <b/>
            <sz val="9"/>
            <color rgb="FF000000"/>
            <rFont val="Tahoma"/>
            <family val="2"/>
          </rPr>
          <t>Gauthier Jr Paul:</t>
        </r>
        <r>
          <rPr>
            <sz val="9"/>
            <color rgb="FF000000"/>
            <rFont val="Tahoma"/>
            <family val="2"/>
          </rPr>
          <t xml:space="preserve">
It has been determined that applying indirect cost to a contracted service, such as sidewalk improvements, is inappropriate and does not fit with the usage definition found within the report guidelines and standards definitions set by the HSCRC.</t>
        </r>
      </text>
    </comment>
    <comment ref="F102" authorId="0" shapeId="0">
      <text>
        <r>
          <rPr>
            <b/>
            <sz val="9"/>
            <color rgb="FF000000"/>
            <rFont val="Tahoma"/>
            <family val="2"/>
          </rPr>
          <t>Lucas McCormley:</t>
        </r>
        <r>
          <rPr>
            <sz val="9"/>
            <color rgb="FF000000"/>
            <rFont val="Tahoma"/>
            <family val="2"/>
          </rPr>
          <t xml:space="preserve">
Includes Finance's estimate of 0.1 FTE.</t>
        </r>
      </text>
    </comment>
    <comment ref="H102" authorId="0" shapeId="0">
      <text>
        <r>
          <rPr>
            <b/>
            <sz val="9"/>
            <color rgb="FF000000"/>
            <rFont val="Tahoma"/>
            <family val="2"/>
          </rPr>
          <t>Lucas McCormley:</t>
        </r>
        <r>
          <rPr>
            <sz val="9"/>
            <color rgb="FF000000"/>
            <rFont val="Tahoma"/>
            <family val="2"/>
          </rPr>
          <t xml:space="preserve">
Assumed Finance time of 0.1 FTE estimate, which is the same as last year.</t>
        </r>
      </text>
    </comment>
  </commentList>
</comments>
</file>

<file path=xl/sharedStrings.xml><?xml version="1.0" encoding="utf-8"?>
<sst xmlns="http://schemas.openxmlformats.org/spreadsheetml/2006/main" count="15026" uniqueCount="909">
  <si>
    <t>GENERAL INFORMATION</t>
  </si>
  <si>
    <t>Contact Person:</t>
  </si>
  <si>
    <t>Contact Number:</t>
  </si>
  <si>
    <t>HSCRC Hospital ID #:</t>
  </si>
  <si>
    <t># of Employees:</t>
  </si>
  <si>
    <t>Screenings</t>
  </si>
  <si>
    <t>Support Groups</t>
  </si>
  <si>
    <t>TOTAL</t>
  </si>
  <si>
    <t>COMMUNITY BENEFIT ACTIVITES</t>
  </si>
  <si>
    <t># OF STAFF HOURS</t>
  </si>
  <si>
    <t>Scholarships/Funding for Professional Education</t>
  </si>
  <si>
    <t>Other Health Professionals</t>
  </si>
  <si>
    <t>RESEARCH</t>
  </si>
  <si>
    <t>In-Kind Donations</t>
  </si>
  <si>
    <t>Economic Development</t>
  </si>
  <si>
    <t>FINANCIAL DATA</t>
  </si>
  <si>
    <t>OPERATING REVENUE</t>
  </si>
  <si>
    <t>Net Patient Service Revenue</t>
  </si>
  <si>
    <t>Other Revenue</t>
  </si>
  <si>
    <t>Total Revenue</t>
  </si>
  <si>
    <t>NET REVENUE (LOSS) FROM OPERATIONS</t>
  </si>
  <si>
    <t>NON-OPERATING GAINS (LOSSES)</t>
  </si>
  <si>
    <t>NET REVENUE (LOSS)</t>
  </si>
  <si>
    <t>FOUNDATION COMMUNITY BENEFIT</t>
  </si>
  <si>
    <t>Community Services</t>
  </si>
  <si>
    <t>Community Building</t>
  </si>
  <si>
    <t>TOTAL HOSPITAL COMMUNITY BENEFIT</t>
  </si>
  <si>
    <t>TOTAL FOUNDATION COMMUNITY BENEFIT</t>
  </si>
  <si>
    <t>% OF OPERATING EXPENSES</t>
  </si>
  <si>
    <t>DIRECT COST($)</t>
  </si>
  <si>
    <t>INDIRECT COST($)</t>
  </si>
  <si>
    <t>Physicians/Medical Students</t>
  </si>
  <si>
    <t>Contact Email:</t>
  </si>
  <si>
    <t>OFFSETTING REVENUE($)</t>
  </si>
  <si>
    <t>NET COMMUNITY BENEFIT</t>
  </si>
  <si>
    <t>INDIRECT COST RATIO</t>
  </si>
  <si>
    <t>TOTAL OPERATING EXPENSES</t>
  </si>
  <si>
    <t># OF ENCOUNTERS</t>
  </si>
  <si>
    <t>MISSION DRIVEN HEALTH SERVICES (please list)</t>
  </si>
  <si>
    <t>CHARITY CARE (report total only)</t>
  </si>
  <si>
    <t>Hospital Name:</t>
  </si>
  <si>
    <t>COMMUNITY HEALTH SERVICES</t>
  </si>
  <si>
    <t>Community Health Education</t>
  </si>
  <si>
    <t>Self-Help</t>
  </si>
  <si>
    <t>Community-Based Clinical Services</t>
  </si>
  <si>
    <t>One-Time/Occasionally Held Clinics</t>
  </si>
  <si>
    <t>Free Clinics</t>
  </si>
  <si>
    <t>Mobile Units</t>
  </si>
  <si>
    <t>Health Care Support Services</t>
  </si>
  <si>
    <t>HEALTH PROFESSIONS EDUCATION</t>
  </si>
  <si>
    <t>Nurses/Nursing Students</t>
  </si>
  <si>
    <t>C10</t>
  </si>
  <si>
    <t>Clinical Research</t>
  </si>
  <si>
    <t>Community Health Research</t>
  </si>
  <si>
    <t>Cash Donations</t>
  </si>
  <si>
    <t>Grants</t>
  </si>
  <si>
    <t>Cost of Fund Raising for Community Programs</t>
  </si>
  <si>
    <t>COMMUNITY BUILDING ACTIVITIES</t>
  </si>
  <si>
    <t>Environmental Improvements</t>
  </si>
  <si>
    <t>Leadership Development/Training for Community Members</t>
  </si>
  <si>
    <t>Coalition Building</t>
  </si>
  <si>
    <t>Community Benefit Operations</t>
  </si>
  <si>
    <t>Community health/health assets assessments</t>
  </si>
  <si>
    <t>COMMUNITY BENEFIT OPERATIONS</t>
  </si>
  <si>
    <t>Community Health Services</t>
  </si>
  <si>
    <t>Health Professions Education</t>
  </si>
  <si>
    <t>Mission Driven Health Care Services</t>
  </si>
  <si>
    <t>Research</t>
  </si>
  <si>
    <t>Financial Contributions</t>
  </si>
  <si>
    <t>Community Building Activities</t>
  </si>
  <si>
    <t>Charity Care</t>
  </si>
  <si>
    <t>Foundation Funded Community Benefit</t>
  </si>
  <si>
    <t>% of NET REVENUE</t>
  </si>
  <si>
    <t>N/A</t>
  </si>
  <si>
    <t>A00.</t>
  </si>
  <si>
    <t>A10</t>
  </si>
  <si>
    <t>A11</t>
  </si>
  <si>
    <t>A12</t>
  </si>
  <si>
    <t>A20</t>
  </si>
  <si>
    <t>A21</t>
  </si>
  <si>
    <t>A22</t>
  </si>
  <si>
    <t>A23</t>
  </si>
  <si>
    <t>A24</t>
  </si>
  <si>
    <t>A30</t>
  </si>
  <si>
    <t>A40</t>
  </si>
  <si>
    <t xml:space="preserve"> </t>
  </si>
  <si>
    <t>B00</t>
  </si>
  <si>
    <t>B10</t>
  </si>
  <si>
    <t>B20</t>
  </si>
  <si>
    <t>B30</t>
  </si>
  <si>
    <t>B40</t>
  </si>
  <si>
    <t>B50</t>
  </si>
  <si>
    <t>C00</t>
  </si>
  <si>
    <t>C20</t>
  </si>
  <si>
    <t>C30</t>
  </si>
  <si>
    <t>C40</t>
  </si>
  <si>
    <t>C50</t>
  </si>
  <si>
    <t>C60</t>
  </si>
  <si>
    <t>C70</t>
  </si>
  <si>
    <t>C80</t>
  </si>
  <si>
    <t>C90</t>
  </si>
  <si>
    <t>C91</t>
  </si>
  <si>
    <t>D00</t>
  </si>
  <si>
    <t>D10</t>
  </si>
  <si>
    <t>D20</t>
  </si>
  <si>
    <t>E00</t>
  </si>
  <si>
    <t>Cash and In-Kind Contributions</t>
  </si>
  <si>
    <t>E10</t>
  </si>
  <si>
    <t>E20</t>
  </si>
  <si>
    <t>E30</t>
  </si>
  <si>
    <t>E40</t>
  </si>
  <si>
    <t>F00</t>
  </si>
  <si>
    <t>F10</t>
  </si>
  <si>
    <t>Physical Improvements and Housing</t>
  </si>
  <si>
    <t>F20</t>
  </si>
  <si>
    <t>F30</t>
  </si>
  <si>
    <t>Community Support</t>
  </si>
  <si>
    <t>F40</t>
  </si>
  <si>
    <t>F50</t>
  </si>
  <si>
    <t>F60</t>
  </si>
  <si>
    <t>F70</t>
  </si>
  <si>
    <t>Advocacy for Community Health Improvements</t>
  </si>
  <si>
    <t>F80</t>
  </si>
  <si>
    <t>Workforce Development</t>
  </si>
  <si>
    <t>F90</t>
  </si>
  <si>
    <t>F91</t>
  </si>
  <si>
    <t>F92</t>
  </si>
  <si>
    <t>G31</t>
  </si>
  <si>
    <t>G30</t>
  </si>
  <si>
    <t>G32</t>
  </si>
  <si>
    <t>G00</t>
  </si>
  <si>
    <t>G10</t>
  </si>
  <si>
    <t>G20</t>
  </si>
  <si>
    <t>A41</t>
  </si>
  <si>
    <t>A42</t>
  </si>
  <si>
    <t>A43</t>
  </si>
  <si>
    <t>A44</t>
  </si>
  <si>
    <t>A99</t>
  </si>
  <si>
    <t>Total Community Health Services</t>
  </si>
  <si>
    <t>B51</t>
  </si>
  <si>
    <t>B52</t>
  </si>
  <si>
    <t>B53</t>
  </si>
  <si>
    <t>B99</t>
  </si>
  <si>
    <t>Total Health Professions Education</t>
  </si>
  <si>
    <t>C99</t>
  </si>
  <si>
    <t>Total Mission Driven Health Services</t>
  </si>
  <si>
    <t>D99</t>
  </si>
  <si>
    <t>Total Research</t>
  </si>
  <si>
    <t>E99</t>
  </si>
  <si>
    <t>Total Cash and In-Kind Contributions</t>
  </si>
  <si>
    <t>F99</t>
  </si>
  <si>
    <t>Total Community Building Activities</t>
  </si>
  <si>
    <t>Assigned Staff</t>
  </si>
  <si>
    <t>G99</t>
  </si>
  <si>
    <t>Total Community Benefit Operations</t>
  </si>
  <si>
    <t>H99</t>
  </si>
  <si>
    <t>H00</t>
  </si>
  <si>
    <t>J00</t>
  </si>
  <si>
    <t>J10</t>
  </si>
  <si>
    <t>J20</t>
  </si>
  <si>
    <t>J30</t>
  </si>
  <si>
    <t>J31</t>
  </si>
  <si>
    <t>J32</t>
  </si>
  <si>
    <t>J99</t>
  </si>
  <si>
    <t>Total Charity Care</t>
  </si>
  <si>
    <t>K99</t>
  </si>
  <si>
    <t>K00</t>
  </si>
  <si>
    <t>S99</t>
  </si>
  <si>
    <t>U99</t>
  </si>
  <si>
    <t>V99</t>
  </si>
  <si>
    <t>I00</t>
  </si>
  <si>
    <t>I10</t>
  </si>
  <si>
    <t>I20</t>
  </si>
  <si>
    <t>I30</t>
  </si>
  <si>
    <t>I40</t>
  </si>
  <si>
    <t>I50</t>
  </si>
  <si>
    <t>I60</t>
  </si>
  <si>
    <t>I70</t>
  </si>
  <si>
    <t>D30</t>
  </si>
  <si>
    <t>D31</t>
  </si>
  <si>
    <t>D32</t>
  </si>
  <si>
    <t>UNREIMBURSED MEDICAID COST</t>
  </si>
  <si>
    <t>Medicaid Costs</t>
  </si>
  <si>
    <t>Medicaid Assessments</t>
  </si>
  <si>
    <t>T00</t>
  </si>
  <si>
    <t>T99</t>
  </si>
  <si>
    <t>Medicaid Assesments</t>
  </si>
  <si>
    <t>Raquel Samuels</t>
  </si>
  <si>
    <t>301-315-3283</t>
  </si>
  <si>
    <t>rsamuels@adventisthealthcare.com</t>
  </si>
  <si>
    <t>Hospital Based Physicians</t>
  </si>
  <si>
    <t>Non-Residential House Staff and Hospitalists</t>
  </si>
  <si>
    <t>Coverage of ED On Call</t>
  </si>
  <si>
    <t>Physician Provision of Financial Assistance</t>
  </si>
  <si>
    <t>Recruitment of Physicians to Meet Community Needs</t>
  </si>
  <si>
    <t>Fundraising support</t>
  </si>
  <si>
    <t>Immunizations</t>
  </si>
  <si>
    <t>Meritus Medical Center</t>
  </si>
  <si>
    <t>Frederick Memorial</t>
  </si>
  <si>
    <t>St. Agnes</t>
  </si>
  <si>
    <t>Bon Secours</t>
  </si>
  <si>
    <t>GBMC</t>
  </si>
  <si>
    <t>McCready</t>
  </si>
  <si>
    <t>Atlantic General</t>
  </si>
  <si>
    <t>Total</t>
  </si>
  <si>
    <t>Hospital</t>
  </si>
  <si>
    <t>Hospital Name</t>
  </si>
  <si>
    <t>Levindale</t>
  </si>
  <si>
    <t>Sheppard Pratt</t>
  </si>
  <si>
    <t>DME</t>
  </si>
  <si>
    <t>Community Benefit Category</t>
  </si>
  <si>
    <t>Number of Staff Hours</t>
  </si>
  <si>
    <t>Number of Encounters</t>
  </si>
  <si>
    <t>Net Community Benefit Expense</t>
  </si>
  <si>
    <t>Percent of Total CB Expenditures</t>
  </si>
  <si>
    <t>Net Community Benefit Expense Less: Rate Support</t>
  </si>
  <si>
    <t>Percent of Total CB Expenditures w/o Rate Support</t>
  </si>
  <si>
    <t>Unreimbursed Medicaid Cost</t>
  </si>
  <si>
    <t>Health Professions Education *</t>
  </si>
  <si>
    <t>Mission Driven Health Services</t>
  </si>
  <si>
    <t>Foundation</t>
  </si>
  <si>
    <t>% of Operating Expense</t>
  </si>
  <si>
    <t>Fiscal Year</t>
  </si>
  <si>
    <t>Net Community Benefit</t>
  </si>
  <si>
    <t>Offsetting Revenue</t>
  </si>
  <si>
    <t>Total Operating Expenses</t>
  </si>
  <si>
    <t>CB Expense Less Rate Support</t>
  </si>
  <si>
    <t>CB Expense</t>
  </si>
  <si>
    <t>NSP (1)</t>
  </si>
  <si>
    <t>Category</t>
  </si>
  <si>
    <t>Total Hospital Operating Expense</t>
  </si>
  <si>
    <t>Total CB as % of Total Operating Expense</t>
  </si>
  <si>
    <t>Total Net CB(minus charity Care, DME, NSPI in Rates) as % of Operating Expense</t>
  </si>
  <si>
    <t>CB Reported Charity Care</t>
  </si>
  <si>
    <t>Totals</t>
  </si>
  <si>
    <t>Adventist Behavioral Health Rockville</t>
  </si>
  <si>
    <t>UMMC</t>
  </si>
  <si>
    <t>Dimensions Prince Georges Hospital Center</t>
  </si>
  <si>
    <t>Holy Cross Hospital</t>
  </si>
  <si>
    <t>UM Harford Memorial</t>
  </si>
  <si>
    <t>Mercy Medical Center</t>
  </si>
  <si>
    <t>Johns Hopkins Hospital</t>
  </si>
  <si>
    <t>UM Shore Medical Dorchester</t>
  </si>
  <si>
    <t>LifeBridge Sinai</t>
  </si>
  <si>
    <t>MedStar Franklin Square</t>
  </si>
  <si>
    <t>Adventist Washington Adventist</t>
  </si>
  <si>
    <t>Garrett County Hospital</t>
  </si>
  <si>
    <t>MedStar Montgomery General</t>
  </si>
  <si>
    <t>Peninsula Regional</t>
  </si>
  <si>
    <t>Suburban Hospital</t>
  </si>
  <si>
    <t>Anne Arundel Medical Center</t>
  </si>
  <si>
    <t>MedStar Union Memorial</t>
  </si>
  <si>
    <t>Western Maryland Health System</t>
  </si>
  <si>
    <t>MedStar St. Mary’s Hospital</t>
  </si>
  <si>
    <t>Johns Hopkins Bayview Medical Center</t>
  </si>
  <si>
    <t>UM Shore Medical Chestertown</t>
  </si>
  <si>
    <t>Union Hospital of Cecil County</t>
  </si>
  <si>
    <t>Carroll Hospital Center</t>
  </si>
  <si>
    <t>MedStar Harbor Hospital</t>
  </si>
  <si>
    <t>UM Charles Regional Medical Center</t>
  </si>
  <si>
    <t>UM Shore Medical Easton</t>
  </si>
  <si>
    <t>UM Midtown</t>
  </si>
  <si>
    <t>Calvert Hospital</t>
  </si>
  <si>
    <t>Lifebridge Northwest Hospital</t>
  </si>
  <si>
    <t>UM Baltimore Washington</t>
  </si>
  <si>
    <t>Howard County Hospital</t>
  </si>
  <si>
    <t>UM Upper Chesapeake</t>
  </si>
  <si>
    <t>Doctors Community</t>
  </si>
  <si>
    <t>Dimensions Laurel Regional Hospital</t>
  </si>
  <si>
    <t>Fort Washington Medical Center</t>
  </si>
  <si>
    <t>MedStar Southern Maryland</t>
  </si>
  <si>
    <t>UM St. Joseph</t>
  </si>
  <si>
    <t>Lifebridge Levindale</t>
  </si>
  <si>
    <t>UM Rehabilitation and Ortho Institute</t>
  </si>
  <si>
    <t>MedStar Good Samaritan</t>
  </si>
  <si>
    <t>Adventist Rehab of Maryland</t>
  </si>
  <si>
    <t>Adventist Behavioral Health at Eastern Shore</t>
  </si>
  <si>
    <t>Mt. Washington Pediatrics</t>
  </si>
  <si>
    <t>Adventist Shady Grove Hospital</t>
  </si>
  <si>
    <t>Other</t>
  </si>
  <si>
    <t xml:space="preserve">Washington Adventist Hospital </t>
  </si>
  <si>
    <t>Bob Reilly</t>
  </si>
  <si>
    <t>443-481-1308</t>
  </si>
  <si>
    <t>breilly@aahs.org</t>
  </si>
  <si>
    <t>Pharmacy Assistance Program</t>
  </si>
  <si>
    <t>Pathways</t>
  </si>
  <si>
    <t>Anne Arundel Diagnostics</t>
  </si>
  <si>
    <t>Hospice</t>
  </si>
  <si>
    <t>ED Call Coverage</t>
  </si>
  <si>
    <t>C92</t>
  </si>
  <si>
    <t>My Chart Electronic Records</t>
  </si>
  <si>
    <t>Patient Family Centered Care Initiative</t>
  </si>
  <si>
    <t>Atlantic General Hospital</t>
  </si>
  <si>
    <t>Bruce Todd</t>
  </si>
  <si>
    <t>410-641-9095</t>
  </si>
  <si>
    <t>mtodd@atlanticgeneral.org</t>
  </si>
  <si>
    <t>410-362-4487</t>
  </si>
  <si>
    <t>Community Health Improvement</t>
  </si>
  <si>
    <t>B1</t>
  </si>
  <si>
    <t>B2</t>
  </si>
  <si>
    <t>B3</t>
  </si>
  <si>
    <t>B4</t>
  </si>
  <si>
    <t>Transportation</t>
  </si>
  <si>
    <t>D1</t>
  </si>
  <si>
    <t>D2</t>
  </si>
  <si>
    <t>E1</t>
  </si>
  <si>
    <t>E2</t>
  </si>
  <si>
    <t>E3</t>
  </si>
  <si>
    <t>E4</t>
  </si>
  <si>
    <t>F1</t>
  </si>
  <si>
    <t>F2</t>
  </si>
  <si>
    <t>F3</t>
  </si>
  <si>
    <t>F4</t>
  </si>
  <si>
    <t>F5</t>
  </si>
  <si>
    <t>F6</t>
  </si>
  <si>
    <t>F7</t>
  </si>
  <si>
    <t>F8</t>
  </si>
  <si>
    <t>G1</t>
  </si>
  <si>
    <t>G2</t>
  </si>
  <si>
    <t>J1</t>
  </si>
  <si>
    <t>J2</t>
  </si>
  <si>
    <t>Margaret Fowler</t>
  </si>
  <si>
    <t>21-0033</t>
  </si>
  <si>
    <t>Selena Brewer</t>
  </si>
  <si>
    <t>410-871-7251</t>
  </si>
  <si>
    <t>sbrewer@CarrollHospitalCenter.org</t>
  </si>
  <si>
    <t>Interpreter Services</t>
  </si>
  <si>
    <t>Forensic Nurse Examiner Program</t>
  </si>
  <si>
    <t>Job Shadow</t>
  </si>
  <si>
    <t>Access Carroll - free medical practice</t>
  </si>
  <si>
    <t>Physician Support</t>
  </si>
  <si>
    <t>Physician Recruitment</t>
  </si>
  <si>
    <t>21-0051</t>
  </si>
  <si>
    <t>301-552-8601</t>
  </si>
  <si>
    <t>HANNAH JACOBS</t>
  </si>
  <si>
    <t>240-566-3320</t>
  </si>
  <si>
    <t>HJACOBS@FMH.ORG</t>
  </si>
  <si>
    <t>SARAH TROTTIER</t>
  </si>
  <si>
    <t>301-533-4257</t>
  </si>
  <si>
    <t>strottier@gcmh.com</t>
  </si>
  <si>
    <t>Senior Services Geriatric Nurse Practitioner</t>
  </si>
  <si>
    <t>Administration of Charity Care</t>
  </si>
  <si>
    <t>301-754-7149</t>
  </si>
  <si>
    <t>mcbrik@holycrosshealth.org</t>
  </si>
  <si>
    <t>Howard County General Hospital</t>
  </si>
  <si>
    <t>21-0048</t>
  </si>
  <si>
    <t>Fran Moll</t>
  </si>
  <si>
    <t>443-997-0627</t>
  </si>
  <si>
    <t>fmoll1@jhmi.edu</t>
  </si>
  <si>
    <t>0029</t>
  </si>
  <si>
    <t>Patricia Carroll or Kim Moeller</t>
  </si>
  <si>
    <t>410-550-0289 or 443-997-0639</t>
  </si>
  <si>
    <t>pcarroll@jhmi.edu or kmoelle@jhmi.edu</t>
  </si>
  <si>
    <t xml:space="preserve">Trauma on-call </t>
  </si>
  <si>
    <t>Emergency Medicine on-call</t>
  </si>
  <si>
    <t>Teaching Community Education</t>
  </si>
  <si>
    <t>Health Education &amp; Social Services</t>
  </si>
  <si>
    <t>Other On-call Coverage</t>
  </si>
  <si>
    <t>Health Leads</t>
  </si>
  <si>
    <t>Cancer Registry</t>
  </si>
  <si>
    <t>The Johns Hopkins Hospital</t>
  </si>
  <si>
    <t>0009</t>
  </si>
  <si>
    <t>Sharon Tiebert-Maddox</t>
  </si>
  <si>
    <t>443-287-9900</t>
  </si>
  <si>
    <t>tiebert@jhu.edu</t>
  </si>
  <si>
    <t>Communiity Health Services - Other</t>
  </si>
  <si>
    <t>Health Professions  Education - Other</t>
  </si>
  <si>
    <t>Broadway Center IOP/OP Grant</t>
  </si>
  <si>
    <t>Wilson House</t>
  </si>
  <si>
    <t>Eating Disorders Day Hospital Supportive Housing</t>
  </si>
  <si>
    <t>Schizophrenia Day Hospital Housing</t>
  </si>
  <si>
    <t>Supportive Housing for Male Substance Abuse Patients</t>
  </si>
  <si>
    <t>Pain Treatment Day Hospital Housing</t>
  </si>
  <si>
    <t>Mission Driven - Other</t>
  </si>
  <si>
    <t>Community Building Activities - Other</t>
  </si>
  <si>
    <t>Office Expense</t>
  </si>
  <si>
    <t>Laurel Regional Hospital</t>
  </si>
  <si>
    <t>michael.jacobs@dimensionshealth.org</t>
  </si>
  <si>
    <t>Anesthesia services to the community</t>
  </si>
  <si>
    <t>OB/GYN services to the community</t>
  </si>
  <si>
    <t>Emergency services to the community</t>
  </si>
  <si>
    <t>Psychiatric services to the community</t>
  </si>
  <si>
    <t>Julie Sessa</t>
  </si>
  <si>
    <t>410-601-7238</t>
  </si>
  <si>
    <t>jsessa@lifebridgehealth.org</t>
  </si>
  <si>
    <t>SNFists</t>
  </si>
  <si>
    <t>Emergency and Trauma Services</t>
  </si>
  <si>
    <t>Hospital Outpatient Services</t>
  </si>
  <si>
    <t>Women's and Children's Services</t>
  </si>
  <si>
    <t>Other Resources</t>
  </si>
  <si>
    <t>G3</t>
  </si>
  <si>
    <t>D3</t>
  </si>
  <si>
    <t>F9</t>
  </si>
  <si>
    <t>G4</t>
  </si>
  <si>
    <t>G5</t>
  </si>
  <si>
    <t>Subsidized Continuing Care</t>
  </si>
  <si>
    <t>Renal Dialysis Services</t>
  </si>
  <si>
    <t>#0008</t>
  </si>
  <si>
    <t>Justin Deibel</t>
  </si>
  <si>
    <t>jdeibel@mdmercy.com</t>
  </si>
  <si>
    <t>Physician Charity Care</t>
  </si>
  <si>
    <t>Healthcare for the Homeless</t>
  </si>
  <si>
    <t>The Medication Assistance Center</t>
  </si>
  <si>
    <t>Hospital Owned Psychiatric Practice</t>
  </si>
  <si>
    <t>Mt. Washington Pediatric Hospital</t>
  </si>
  <si>
    <t>Melissa Beasley</t>
  </si>
  <si>
    <t>mstokes@mwph.org</t>
  </si>
  <si>
    <t>Weigh Smart Childhood Obesity Program</t>
  </si>
  <si>
    <t>Anesthesia</t>
  </si>
  <si>
    <t>Hospitalists</t>
  </si>
  <si>
    <t>Rita Mecca</t>
  </si>
  <si>
    <t>rita.mecca@peninsula.org</t>
  </si>
  <si>
    <t>Peninsula Partners</t>
  </si>
  <si>
    <t>Trauma On-Call</t>
  </si>
  <si>
    <t>21-0003</t>
  </si>
  <si>
    <t>Intensive Care services to the community</t>
  </si>
  <si>
    <t>Cardiology services to the community</t>
  </si>
  <si>
    <t>West Baltimore Care (Health Enterprise Zone)</t>
  </si>
  <si>
    <t>Morrell Park</t>
  </si>
  <si>
    <t>Community Care Center</t>
  </si>
  <si>
    <t>Physician Emergency Department Indigent Care Subsidies</t>
  </si>
  <si>
    <t>Bonnie B. Katz</t>
  </si>
  <si>
    <t>410-938-3154</t>
  </si>
  <si>
    <t>Telepsychiatry</t>
  </si>
  <si>
    <t>Physician Subsidies</t>
  </si>
  <si>
    <t>Therapy Referral Service</t>
  </si>
  <si>
    <t>Crisis Walk In Clinic</t>
  </si>
  <si>
    <t xml:space="preserve">Shore Regional Health Easton </t>
  </si>
  <si>
    <t xml:space="preserve">410 822 1000 </t>
  </si>
  <si>
    <t>Shore Wellness Partners</t>
  </si>
  <si>
    <t>Physician Recruitment Professional Services Development</t>
  </si>
  <si>
    <t>Physician On Call Coverage</t>
  </si>
  <si>
    <t xml:space="preserve">Analysis of CBR </t>
  </si>
  <si>
    <t>LESS:</t>
  </si>
  <si>
    <t>Adjusted TOTAL HOSPITAL COMMUNITY BENEFIT</t>
  </si>
  <si>
    <t>DGH Anesthesia Subsidy</t>
  </si>
  <si>
    <t>DGH Emergency Room Subsidy</t>
  </si>
  <si>
    <t>SCF: INPATIENT PHYSICIANS DGH CONT: HOSPITALIST</t>
  </si>
  <si>
    <t>SCF: INPATIENT PSYCH PHYSICIANS DGH CONT</t>
  </si>
  <si>
    <t>Shore Regional Health Chester River</t>
  </si>
  <si>
    <t>Hospitalist Program</t>
  </si>
  <si>
    <t>Emergency Physician Coverage</t>
  </si>
  <si>
    <t>Physician On Call</t>
  </si>
  <si>
    <t>Anesthesiolgy</t>
  </si>
  <si>
    <t>Sinai Hospital</t>
  </si>
  <si>
    <t>Primary Care</t>
  </si>
  <si>
    <t>Radiology</t>
  </si>
  <si>
    <t>Grant Writing</t>
  </si>
  <si>
    <t>21-0022</t>
  </si>
  <si>
    <t>Monique Sanfuentes</t>
  </si>
  <si>
    <t>301-896-3572</t>
  </si>
  <si>
    <t>Social and Environment Improvement Act</t>
  </si>
  <si>
    <t>Readmissions Prevention Program</t>
  </si>
  <si>
    <t>Heartwell Program</t>
  </si>
  <si>
    <t>Community Health/Health Assets Assessments</t>
  </si>
  <si>
    <t>Other - Community Support</t>
  </si>
  <si>
    <t>University of Maryland Baltimore Washington Medical Center</t>
  </si>
  <si>
    <t>Physician Subsidy</t>
  </si>
  <si>
    <t>0038</t>
  </si>
  <si>
    <t>University of Maryland St. Joseph Medical Center</t>
  </si>
  <si>
    <t>21-0007</t>
  </si>
  <si>
    <t>Specialty Care</t>
  </si>
  <si>
    <t>Emergency Dept</t>
  </si>
  <si>
    <t>Mental Health</t>
  </si>
  <si>
    <t>Women's Health Associates</t>
  </si>
  <si>
    <t>OB/GYN</t>
  </si>
  <si>
    <t>Lab</t>
  </si>
  <si>
    <t>Non-Resident House Staff</t>
  </si>
  <si>
    <t>UNIVERSITY OF MARYLAND MEDICAL CENTER</t>
  </si>
  <si>
    <t>0002, 8992, 8994</t>
  </si>
  <si>
    <t>ALICIA CUNNINGHAM</t>
  </si>
  <si>
    <t>410-328-1380</t>
  </si>
  <si>
    <t>ACUNNINGHAM@UMM.EDU</t>
  </si>
  <si>
    <t>UNIVERSITY CARE COMMUNITY CLINICS/UCARE</t>
  </si>
  <si>
    <t>COMMUNITY OUTPATIENT PSYCHIATRIC CLINICS</t>
  </si>
  <si>
    <t>Wheelchair Basketball Clinic</t>
  </si>
  <si>
    <t>Palliative Care</t>
  </si>
  <si>
    <t>240-964-8032</t>
  </si>
  <si>
    <t>Psychiatric Physician Practice</t>
  </si>
  <si>
    <t>Obstetric Physician Practice</t>
  </si>
  <si>
    <t>Primary Care Physician Practices</t>
  </si>
  <si>
    <t>Outpatient Dialysis and Peritoneal Dialysis</t>
  </si>
  <si>
    <t>Center for Clinical Resources</t>
  </si>
  <si>
    <t>Net Community Benefit W/Indirect Cost</t>
  </si>
  <si>
    <t>Net Community Benefit W/O Indirect Cost</t>
  </si>
  <si>
    <t>Direct Cost ($)</t>
  </si>
  <si>
    <t>Indirect Cost ($)</t>
  </si>
  <si>
    <t>B.</t>
  </si>
  <si>
    <t>C.</t>
  </si>
  <si>
    <t>MISSION DRIVEN HEALTH SERVICES</t>
  </si>
  <si>
    <t>D.</t>
  </si>
  <si>
    <t>E.</t>
  </si>
  <si>
    <t>F.</t>
  </si>
  <si>
    <t>Physical Improvements/Housing</t>
  </si>
  <si>
    <t>Support System Enhancements</t>
  </si>
  <si>
    <t>Community Health Improvement Advocacy</t>
  </si>
  <si>
    <t>Workforce Enhancement</t>
  </si>
  <si>
    <t>F11</t>
  </si>
  <si>
    <t>G.</t>
  </si>
  <si>
    <t>Dedicated Staff</t>
  </si>
  <si>
    <t>H.</t>
  </si>
  <si>
    <t>J.</t>
  </si>
  <si>
    <t>K</t>
  </si>
  <si>
    <t>A</t>
  </si>
  <si>
    <t>B</t>
  </si>
  <si>
    <t>C</t>
  </si>
  <si>
    <t>D</t>
  </si>
  <si>
    <t>E</t>
  </si>
  <si>
    <t>F</t>
  </si>
  <si>
    <t>G</t>
  </si>
  <si>
    <t>H</t>
  </si>
  <si>
    <t>J</t>
  </si>
  <si>
    <t>TOTAL OPERATING EXPENSE</t>
  </si>
  <si>
    <t>% OF OPERATING EXPENSES W/IC</t>
  </si>
  <si>
    <t>% OF OPERATING EXPENSES W/O IC</t>
  </si>
  <si>
    <t>J3</t>
  </si>
  <si>
    <t>J4</t>
  </si>
  <si>
    <t>J5</t>
  </si>
  <si>
    <t>*Contains both UMMC and Shock Trauma</t>
  </si>
  <si>
    <t>Total Rate Support</t>
  </si>
  <si>
    <t>Total operating Expense</t>
  </si>
  <si>
    <t>* Rate supported expenditures</t>
  </si>
  <si>
    <t>Ft. Washington</t>
  </si>
  <si>
    <t>Net Benefit less rate support</t>
  </si>
  <si>
    <t>Adventist Washington Adventist*</t>
  </si>
  <si>
    <t>Shady Grove*</t>
  </si>
  <si>
    <t>Adventist Rehab of Maryland*</t>
  </si>
  <si>
    <t>Adventist Behavioral Health Rockville*</t>
  </si>
  <si>
    <t>Charts based on All Hospitals</t>
  </si>
  <si>
    <t>allen.twigg@meritushealth.com</t>
  </si>
  <si>
    <t>301-790-8263</t>
  </si>
  <si>
    <t>Mid-Level Providers</t>
  </si>
  <si>
    <t>410-337-1602</t>
  </si>
  <si>
    <t>Paul Nicholson</t>
  </si>
  <si>
    <t>Blood Drives</t>
  </si>
  <si>
    <t>Dental Education</t>
  </si>
  <si>
    <t>CURT OHLER</t>
  </si>
  <si>
    <t>443 643-3346</t>
  </si>
  <si>
    <t>UMD Harford Memorial Hospital Anesthesiology Physician subsidies</t>
  </si>
  <si>
    <t>UNIVERSITY OF MARYLAND UPPER CHESAPEAKE MEDICAL CENTER</t>
  </si>
  <si>
    <t>410-578-5064</t>
  </si>
  <si>
    <t>Social and Environmental Improvement Activities</t>
  </si>
  <si>
    <t>Saint Agnes</t>
  </si>
  <si>
    <t>Mitch Lomax</t>
  </si>
  <si>
    <t>Kimberly Thomas</t>
  </si>
  <si>
    <t>MedStar Franklin Square Medical Center</t>
  </si>
  <si>
    <t>GARRETT REGIONAL MEDICAL CENTER</t>
  </si>
  <si>
    <t xml:space="preserve">MedStar Montgomery Medical Center </t>
  </si>
  <si>
    <t>Peninsula Regional Medical Center</t>
  </si>
  <si>
    <t>Population Health</t>
  </si>
  <si>
    <t>C93</t>
  </si>
  <si>
    <t>AAMC Subsidized Health Services</t>
  </si>
  <si>
    <t>MedStar Union Memorial Hospital</t>
  </si>
  <si>
    <t>Women and Children</t>
  </si>
  <si>
    <t>Behavioral Health</t>
  </si>
  <si>
    <t>ACHI and CBISA</t>
  </si>
  <si>
    <t>(443) 674-1290</t>
  </si>
  <si>
    <t>Carroll Hospital</t>
  </si>
  <si>
    <t>Behavorial Health Services</t>
  </si>
  <si>
    <t>Healthy Families Howard County</t>
  </si>
  <si>
    <t>Agewell Grant</t>
  </si>
  <si>
    <t>Pastoral Counseling</t>
  </si>
  <si>
    <t>MedStar Good Samaritan Hospital</t>
  </si>
  <si>
    <t>Physician/Coverage Subsidy - Hospitalists and Primary care</t>
  </si>
  <si>
    <t>Levindale Hebrew and Geriatric Center and Hospital</t>
  </si>
  <si>
    <t>Enrollment for Entitlements</t>
  </si>
  <si>
    <t>Free Transportation for Clinical Services</t>
  </si>
  <si>
    <t>Free Discharge Medications</t>
  </si>
  <si>
    <t>Professional Education</t>
  </si>
  <si>
    <t>Crisis Referral Outpatient Program</t>
  </si>
  <si>
    <t>Holy Cross Germantown Hospital</t>
  </si>
  <si>
    <t>Prince George's Hospital Center</t>
  </si>
  <si>
    <t>Michael Jacobs</t>
  </si>
  <si>
    <t>Physicians on call</t>
  </si>
  <si>
    <t>Clinics services to the community</t>
  </si>
  <si>
    <t>Trauma services to the community</t>
  </si>
  <si>
    <t>Other services to the community</t>
  </si>
  <si>
    <t>Imaging services to the community</t>
  </si>
  <si>
    <t>Behavioral health services to the community</t>
  </si>
  <si>
    <t>C96</t>
  </si>
  <si>
    <t>Hospital Based Physicians (includes Hospitalist, intensivists, cardiac surgeons)</t>
  </si>
  <si>
    <t>Adventist HealthCare: Shady Grove Medical Center</t>
  </si>
  <si>
    <t>Adventist HealthCare: Behavioral Health and Wellness - Rockville</t>
  </si>
  <si>
    <t>Holy Cross Germantown</t>
  </si>
  <si>
    <t>NSP I</t>
  </si>
  <si>
    <t>Charity Care*</t>
  </si>
  <si>
    <t>All Hospitals</t>
  </si>
  <si>
    <t>FY 2016 Data Collection Sheet</t>
  </si>
  <si>
    <t>Hospitalist Subsidy</t>
  </si>
  <si>
    <t>Community benefit analytics</t>
  </si>
  <si>
    <t>Prescription Pharmacy Programs</t>
  </si>
  <si>
    <t>Safety Net Clinics</t>
  </si>
  <si>
    <t>21-00005</t>
  </si>
  <si>
    <t>PHYSICIAN HOSPITALIST</t>
  </si>
  <si>
    <t>PHYSICIAN ED/SURGEON CALL</t>
  </si>
  <si>
    <t>PHYSICIAN ANESTHESIA CALL</t>
  </si>
  <si>
    <t>PHYSICIAN INTENSIVIST</t>
  </si>
  <si>
    <t>PHYSICIAN INTERVENTIONAL CARDIOLOGY</t>
  </si>
  <si>
    <t>PRENATAL OB CENTER</t>
  </si>
  <si>
    <t>PHYSICIAN DEBT FORGIVENESS</t>
  </si>
  <si>
    <t>UMD Harford Memorial Hospital Emergency Department Physician subsidies</t>
  </si>
  <si>
    <t>OB Coverage</t>
  </si>
  <si>
    <t>Psych Coverage</t>
  </si>
  <si>
    <t>Dental Clinic</t>
  </si>
  <si>
    <t>SBIRT Program</t>
  </si>
  <si>
    <t>Teaching Support - Community Ed @ JHCP Locations</t>
  </si>
  <si>
    <t>Social Work Services @ JHCP Locations</t>
  </si>
  <si>
    <t>Shroe Regional Health Dorchester</t>
  </si>
  <si>
    <t>Shore Well Partners</t>
  </si>
  <si>
    <t>21-0011</t>
  </si>
  <si>
    <t>667-234-2926</t>
  </si>
  <si>
    <t>Hospital-based Physician Specialty Subsidies</t>
  </si>
  <si>
    <t>House Staff/Coverage Subsidies</t>
  </si>
  <si>
    <t>Primary Care Clinic on campus in West Baltimore</t>
  </si>
  <si>
    <t>Beth Kelly</t>
  </si>
  <si>
    <t>410-933-2815</t>
  </si>
  <si>
    <t>Beth.E.Kelly@medstar.net</t>
  </si>
  <si>
    <t>21-0017</t>
  </si>
  <si>
    <t>410-546-6400 ext 4894</t>
  </si>
  <si>
    <t>C12</t>
  </si>
  <si>
    <t>C15</t>
  </si>
  <si>
    <t>Wagner Wellness Van</t>
  </si>
  <si>
    <t>C85</t>
  </si>
  <si>
    <t>Weight Loss and Wellness Center</t>
  </si>
  <si>
    <t>Other Research</t>
  </si>
  <si>
    <t>Hospitalists &amp; Primary Care</t>
  </si>
  <si>
    <t>C5</t>
  </si>
  <si>
    <t>C6</t>
  </si>
  <si>
    <t>Amber Ruble</t>
  </si>
  <si>
    <t xml:space="preserve">Kathleen McGrath </t>
  </si>
  <si>
    <t>Shore Family Practice - Chestertown</t>
  </si>
  <si>
    <t>Shore Family Practice - Galena</t>
  </si>
  <si>
    <t>Jean-Marie Kelly</t>
  </si>
  <si>
    <t>jkelly@uhcc.com</t>
  </si>
  <si>
    <t>University of Maryland Charles Regional Medical Center</t>
  </si>
  <si>
    <t>Jermaine Page</t>
  </si>
  <si>
    <t>301-609-4498</t>
  </si>
  <si>
    <t>jermaine.page@umm.edu</t>
  </si>
  <si>
    <t>UNIVERSITY  OF MARYLAND  MEDICAL CENTER MIDTOWN CAMPUS</t>
  </si>
  <si>
    <t>410 414-4573</t>
  </si>
  <si>
    <t>Anesthesia Subsidy</t>
  </si>
  <si>
    <t>S.A.F.E Program</t>
  </si>
  <si>
    <t>Coverage of Emergency Department On-Call</t>
  </si>
  <si>
    <t>Non-Resident House Staff and Physicians</t>
  </si>
  <si>
    <t>Subsidized Outpatient Physician Practices to Meet Community Need</t>
  </si>
  <si>
    <t>Greater Baltimore Medical Center</t>
  </si>
  <si>
    <t xml:space="preserve">ER SAFE Program </t>
  </si>
  <si>
    <t>Womens Services OB Clinic</t>
  </si>
  <si>
    <t>McCready Health</t>
  </si>
  <si>
    <t>UMD UPPER CHESAPEAKE MEDICAL CENTER ANESTHESIOLOGY PHYSICIAN SUBSIDIES</t>
  </si>
  <si>
    <t>Social and Environmental Improvement Act</t>
  </si>
  <si>
    <t xml:space="preserve">Other  </t>
  </si>
  <si>
    <t>University of Maryland Rehabilitation &amp; Orthopaedic Institute</t>
  </si>
  <si>
    <t>Fundraising Support</t>
  </si>
  <si>
    <t>Adventist HealthCare: Rehabilitation</t>
  </si>
  <si>
    <t>Transitional Aftercare Program</t>
  </si>
  <si>
    <t xml:space="preserve">Charity Care </t>
  </si>
  <si>
    <t>2 &amp; 8992</t>
  </si>
  <si>
    <t>UMMC &amp; Shock Trauma</t>
  </si>
  <si>
    <t>Meritus</t>
  </si>
  <si>
    <t>Prince George Hospital</t>
  </si>
  <si>
    <t>Holy Cross</t>
  </si>
  <si>
    <t>Frederick</t>
  </si>
  <si>
    <t>UM-Harford Memorial</t>
  </si>
  <si>
    <t>Mercy Med. Cntr</t>
  </si>
  <si>
    <t>Johns Hopkins</t>
  </si>
  <si>
    <t>UM Dorchester</t>
  </si>
  <si>
    <t>St Agnes</t>
  </si>
  <si>
    <t>Sinai</t>
  </si>
  <si>
    <t>Medstar Franklin Sq</t>
  </si>
  <si>
    <t>*16</t>
  </si>
  <si>
    <t>Washington Adventist</t>
  </si>
  <si>
    <t>Garrett County</t>
  </si>
  <si>
    <t>Medstar Montgomery General</t>
  </si>
  <si>
    <t>Peninsula General</t>
  </si>
  <si>
    <t>Suburban</t>
  </si>
  <si>
    <t>Anne Arundel</t>
  </si>
  <si>
    <t>Medstar Union Memorial</t>
  </si>
  <si>
    <t>Western Maryland</t>
  </si>
  <si>
    <t>Medstar St Marys</t>
  </si>
  <si>
    <t>JH Bayview</t>
  </si>
  <si>
    <t>UM Chestertown</t>
  </si>
  <si>
    <t>Union Hospital of Cecil Co</t>
  </si>
  <si>
    <t>Medstar Harbor</t>
  </si>
  <si>
    <t>UM Charles Regional</t>
  </si>
  <si>
    <t>UM Easton</t>
  </si>
  <si>
    <t>UMMC Midtown</t>
  </si>
  <si>
    <t>Calvert</t>
  </si>
  <si>
    <t>LifeBridge Northwest</t>
  </si>
  <si>
    <t>UM Baltimore Washington Med Ctr</t>
  </si>
  <si>
    <t>JH Howard County</t>
  </si>
  <si>
    <t>UCH-Upper Chesapeake</t>
  </si>
  <si>
    <t>Laurel Regional</t>
  </si>
  <si>
    <t>*60</t>
  </si>
  <si>
    <t>FT. Washignton</t>
  </si>
  <si>
    <t>Medstar Southern MD</t>
  </si>
  <si>
    <t>UM Rehab &amp; Ortho Inst</t>
  </si>
  <si>
    <t>*5050</t>
  </si>
  <si>
    <t>Shady Grove</t>
  </si>
  <si>
    <t>% of Operating Expense less Rate Support</t>
  </si>
  <si>
    <t>FY 2017 Data Collection Sheet</t>
  </si>
  <si>
    <t>Allen Twigg</t>
  </si>
  <si>
    <t>Community Health (CHEW, Diabetes Education, Safe Kids Program)</t>
  </si>
  <si>
    <t>Level III Trauma Program</t>
  </si>
  <si>
    <t>Hospice Voluntary Write-offs (Hospice of Washington County)</t>
  </si>
  <si>
    <t>On-Call Fees for Emergency Specialists</t>
  </si>
  <si>
    <t>MMC School Nursing/ Wellness</t>
  </si>
  <si>
    <t>Hospital Owned Endocrinology Practice</t>
  </si>
  <si>
    <t>301-618-3615</t>
  </si>
  <si>
    <t>Kim McBride</t>
  </si>
  <si>
    <t>Clinics for Underinsured and Uninsured</t>
  </si>
  <si>
    <t>Faith Community/Parish Nursing</t>
  </si>
  <si>
    <t>Enrollment Assistance</t>
  </si>
  <si>
    <t>Subsidized Continuting Care</t>
  </si>
  <si>
    <t>FREDERICK MEMORIAL HOSPITAL, INC</t>
  </si>
  <si>
    <t>1831</t>
  </si>
  <si>
    <t>PHYSICIAN OB CALL/HOSPITALIST</t>
  </si>
  <si>
    <t>Mercy Health Services, Inc.</t>
  </si>
  <si>
    <t>3,482</t>
  </si>
  <si>
    <t>410-653-2905</t>
  </si>
  <si>
    <t>Charity Perscriptions</t>
  </si>
  <si>
    <t>Family Violence Program</t>
  </si>
  <si>
    <t>Bmore fit/Child Support Review</t>
  </si>
  <si>
    <t>HCAM/ED Linkage and Referral Initiative</t>
  </si>
  <si>
    <t>Baby Basics-Prenatal Health</t>
  </si>
  <si>
    <t>ED Physician</t>
  </si>
  <si>
    <t>PA Charity Support</t>
  </si>
  <si>
    <t>Forensic Nurse Examiner</t>
  </si>
  <si>
    <t>Inpatient Detox</t>
  </si>
  <si>
    <t>Community Workforce Boards</t>
  </si>
  <si>
    <t>FY 2017 COMMUNITY BENEFIT INVENTORY SPREADSHEET</t>
  </si>
  <si>
    <t>CB Community Services @ JHCP Locations</t>
  </si>
  <si>
    <t>Kathleen McGrath</t>
  </si>
  <si>
    <t>kfmcgrath@umm.edu</t>
  </si>
  <si>
    <t xml:space="preserve">Bridge Clinic, Beh. Health Outpatient / </t>
  </si>
  <si>
    <t>mlomax@ascension.org</t>
  </si>
  <si>
    <t>Health Care Access Maryland Care Management Program</t>
  </si>
  <si>
    <t>ER Subsidy</t>
  </si>
  <si>
    <t>Radiology Subsidy</t>
  </si>
  <si>
    <t>NICU Subsidy</t>
  </si>
  <si>
    <t>Bon Secours Baltimore Health System</t>
  </si>
  <si>
    <t>Kimberly_Thomas2@bshsi.org</t>
  </si>
  <si>
    <t>Other  - Baby to Remember</t>
  </si>
  <si>
    <t>Other - Hospitalists</t>
  </si>
  <si>
    <t>Hospital Outpatient Services - Family Health Services</t>
  </si>
  <si>
    <t>Indegent Drug Program</t>
  </si>
  <si>
    <t xml:space="preserve">Hospitalist &amp; Primary Care </t>
  </si>
  <si>
    <t xml:space="preserve">Hospice &amp; Continuing Care </t>
  </si>
  <si>
    <t xml:space="preserve">Psych &amp; Behavioral Health </t>
  </si>
  <si>
    <t>Pediatric Specialities</t>
  </si>
  <si>
    <t>Primary Care Office - Salisbury Family Medicine</t>
  </si>
  <si>
    <t>C75</t>
  </si>
  <si>
    <t>CV Surgery</t>
  </si>
  <si>
    <t>Partial Hospitalization Program (PHP)</t>
  </si>
  <si>
    <t>Pulmonology</t>
  </si>
  <si>
    <t>Neurosurgery</t>
  </si>
  <si>
    <t>msanfuentes@jhmi.edu</t>
  </si>
  <si>
    <t>Trauma On Call Coverage (ER)</t>
  </si>
  <si>
    <t>ENT On Call (ER)</t>
  </si>
  <si>
    <t>OB/GYN On Call (ER)</t>
  </si>
  <si>
    <t>Behav. Health On Call (ER)</t>
  </si>
  <si>
    <t>Urology On Call (ER)</t>
  </si>
  <si>
    <t>Cardiology On Call (ER)</t>
  </si>
  <si>
    <t>C82</t>
  </si>
  <si>
    <t>Gastroenterology (ER)</t>
  </si>
  <si>
    <t>Anesthesiology On Call (ER)</t>
  </si>
  <si>
    <t>C94</t>
  </si>
  <si>
    <t>Emergency Room Coverage (ER)</t>
  </si>
  <si>
    <t>INDIRECT COST RATIO (Category A / F / G Only)</t>
  </si>
  <si>
    <t>INDIRECT COST RATIO (Category C and E-40 ONLY)</t>
  </si>
  <si>
    <t>Community Clinics</t>
  </si>
  <si>
    <t>Kent Island Urgent Care</t>
  </si>
  <si>
    <t>Physician Recruiting</t>
  </si>
  <si>
    <t>ED Physician Uncompensated Care</t>
  </si>
  <si>
    <t>Physician Community Service</t>
  </si>
  <si>
    <t>Senior Leadership</t>
  </si>
  <si>
    <t>aruble!@wmhs.com</t>
  </si>
  <si>
    <t>Prescripton Medication</t>
  </si>
  <si>
    <t>Organizationally Owned Urgent Care Centers- Frostburg and Hunt Club</t>
  </si>
  <si>
    <t>Mobile Clinical Resources</t>
  </si>
  <si>
    <t>MedStar St Mary's Hospital</t>
  </si>
  <si>
    <t>emergency and trauma</t>
  </si>
  <si>
    <t>hospital outpatient services</t>
  </si>
  <si>
    <t>women's and children's services</t>
  </si>
  <si>
    <t>behavioral health</t>
  </si>
  <si>
    <t>other</t>
  </si>
  <si>
    <t>Funding</t>
  </si>
  <si>
    <t>JHCP Community Services</t>
  </si>
  <si>
    <t>The Access Partnership (TAP)</t>
  </si>
  <si>
    <t xml:space="preserve">kfmcgrath@umm.edu </t>
  </si>
  <si>
    <t>Subsidized Continuing Care / AntiThrombosis Clinic</t>
  </si>
  <si>
    <t xml:space="preserve">Social &amp; Environmental Improvements </t>
  </si>
  <si>
    <t>SPACC / AntiThrombosis - ClinicS</t>
  </si>
  <si>
    <t>SPECIALTY SHORE OB/GYN</t>
  </si>
  <si>
    <t>SPECIALTY SHORE SURGICAL PRACTICE</t>
  </si>
  <si>
    <t>SPECIALTY SHORE NEUROLOGY/NEUROSURGERY</t>
  </si>
  <si>
    <t>Telehealth Services Behavorial Health / Palliittive Care</t>
  </si>
  <si>
    <t>Craig Fleschman</t>
  </si>
  <si>
    <t>410-328-1092</t>
  </si>
  <si>
    <t xml:space="preserve">cfleisch@umm.edu </t>
  </si>
  <si>
    <t>Red Cross Blood Drive</t>
  </si>
  <si>
    <t>Calvert Health System</t>
  </si>
  <si>
    <t xml:space="preserve">Margaret.Fowler@calverthealthmed.org </t>
  </si>
  <si>
    <t xml:space="preserve">Student Job Shadowing </t>
  </si>
  <si>
    <t>Urgent Care Service Centers</t>
  </si>
  <si>
    <t>Health Care Clinic Services</t>
  </si>
  <si>
    <t>Transitional Care Unit (SNF) Services</t>
  </si>
  <si>
    <t>Hospital Emergency &amp; Behavioral Health Services</t>
  </si>
  <si>
    <t>Acute Care &amp; Pediatric Hospitalist Program</t>
  </si>
  <si>
    <t>Intensive Care Unit Call Coverage</t>
  </si>
  <si>
    <t>Other Ancillary Call Coverage Services</t>
  </si>
  <si>
    <t>Physician Subsidies Fulfilling Health Care Need</t>
  </si>
  <si>
    <t>Outpatient Physical and Occupational Therapy</t>
  </si>
  <si>
    <t>Northwest Hospital Center, Inc.</t>
  </si>
  <si>
    <t>Anesthessia Subsidy</t>
  </si>
  <si>
    <t>Laurie Fetterman</t>
  </si>
  <si>
    <t>410-787-4491</t>
  </si>
  <si>
    <t>Laurie.Fetterman@umm.edu</t>
  </si>
  <si>
    <t>Hospital Based Physicians - Anesthesia Subsidy</t>
  </si>
  <si>
    <t>Meghan Chan</t>
  </si>
  <si>
    <t>443-849-2405</t>
  </si>
  <si>
    <t>mchan@gbmc.org</t>
  </si>
  <si>
    <t>Child Life Specialists Program</t>
  </si>
  <si>
    <t>Oncology Survivorship Program</t>
  </si>
  <si>
    <t>Physician services</t>
  </si>
  <si>
    <t>Ellen Driscoll</t>
  </si>
  <si>
    <t>410-968-9225</t>
  </si>
  <si>
    <t>edriscoll@mccreadyhealth.org</t>
  </si>
  <si>
    <t>Smith Island Healthcare Initiative</t>
  </si>
  <si>
    <t>IRC Cardiac Registry</t>
  </si>
  <si>
    <t>cohler@uchs.org</t>
  </si>
  <si>
    <t>UMD UPPER CHESAPEAKE MEDICAL CENTER EMERGENCY DEPT PHYSICIAN SUBSIDIES</t>
  </si>
  <si>
    <t xml:space="preserve">Doctors Community Hospital </t>
  </si>
  <si>
    <t>Mary P. Dudley</t>
  </si>
  <si>
    <t xml:space="preserve">Mdudley@DCHweb.org </t>
  </si>
  <si>
    <t>Loaned Instructor</t>
  </si>
  <si>
    <t xml:space="preserve">HCI contract </t>
  </si>
  <si>
    <t>Fort Washington Medical Center Inc</t>
  </si>
  <si>
    <t>Nicole Jordan</t>
  </si>
  <si>
    <t>301-686-9010</t>
  </si>
  <si>
    <t>njordan@nexushealth.org</t>
  </si>
  <si>
    <t>HIV &amp; Hepatitis-C Free Testing Program-Grant  Sponsored</t>
  </si>
  <si>
    <t>tjasessa@aol.com</t>
  </si>
  <si>
    <t>Safe</t>
  </si>
  <si>
    <t>Paliative Care</t>
  </si>
  <si>
    <t>Diabetes</t>
  </si>
  <si>
    <t>Physcians Losses</t>
  </si>
  <si>
    <t xml:space="preserve">MedStar Southern Maryland Hospital Center </t>
  </si>
  <si>
    <t>Women &amp; Children</t>
  </si>
  <si>
    <t xml:space="preserve">Other </t>
  </si>
  <si>
    <t>Other resources</t>
  </si>
  <si>
    <t xml:space="preserve">paulnicholson@umm.edu </t>
  </si>
  <si>
    <t>Cynthia A. Kelleher</t>
  </si>
  <si>
    <t>410-448-6447</t>
  </si>
  <si>
    <t>ckelleher@umm.edu</t>
  </si>
  <si>
    <t xml:space="preserve">BIAM </t>
  </si>
  <si>
    <t>Adapted Golf Program</t>
  </si>
  <si>
    <t>Adapted Sports Festival</t>
  </si>
  <si>
    <t>Wheelchair Rugby</t>
  </si>
  <si>
    <t>Think First, Brain and Spinal Cord Injury Prevention</t>
  </si>
  <si>
    <t>Sheppard Pratt Health System, Inc.</t>
  </si>
  <si>
    <t>Bkatz@sheppardpratt.org</t>
  </si>
  <si>
    <t>Smoking  Cessation Program</t>
  </si>
  <si>
    <t>Positive Behavioral Interventions</t>
  </si>
  <si>
    <t>Life Space Crisis Intervention Program</t>
  </si>
  <si>
    <t xml:space="preserve">Harford Co. Mobile Crisis Stabilization </t>
  </si>
  <si>
    <t>Behavioral Observation Service</t>
  </si>
  <si>
    <t>Behavioral Health Integrated Care</t>
  </si>
  <si>
    <t xml:space="preserve">UNIVERSITY OF MARYLAND HARFORD MEMORIAL HOSPITAL </t>
  </si>
  <si>
    <t>UMD Harford Memorial Hospital Behavior Health Unit Physician subsidies</t>
  </si>
  <si>
    <t>C97/C98</t>
  </si>
  <si>
    <t>General Surgery/Ortho and Spine Surgery</t>
  </si>
  <si>
    <t>C91/C93</t>
  </si>
  <si>
    <t>Ophthalmology On Call (ER)/Vascular On Call (ER)</t>
  </si>
  <si>
    <t>C60/C70</t>
  </si>
  <si>
    <t>Medical Oncology/Palliative Care</t>
  </si>
  <si>
    <t>C40/C50</t>
  </si>
  <si>
    <t>Physician Subsidies Hospitalists/Physician Subsidies Recruitment</t>
  </si>
  <si>
    <t>C80/C81</t>
  </si>
  <si>
    <t>Transitions Services/Endocrinology</t>
  </si>
  <si>
    <t>HC-Germantown</t>
  </si>
  <si>
    <t>Table I FY2017 All Hospitals Community Benefit Expenditures</t>
  </si>
  <si>
    <t>2 and 8992</t>
  </si>
  <si>
    <t>UMMC and MEIMS</t>
  </si>
  <si>
    <t>FY 2017 Amount in Rates for Charity Care, DME, and NSPI*</t>
  </si>
  <si>
    <t>Attachment III - Aggregated Hospital CBR Data FY2017 - Including Specialty Hospitals</t>
  </si>
  <si>
    <t>FY2008 - FY2017 - Rate Support - for all hospitals</t>
  </si>
  <si>
    <t>FY2008-FY2017 - Net expense with &amp; without rate support</t>
  </si>
  <si>
    <t>Hospital Number</t>
  </si>
  <si>
    <t>Hospital ID</t>
  </si>
  <si>
    <t>SPECIALTY SHORE PULMONARY CARE/Cardiology</t>
  </si>
  <si>
    <t>SPECIALTY SHORE ENDOCRINOLOGY &amp; Wound Center &amp; Easton Family Medicine</t>
  </si>
  <si>
    <t xml:space="preserve">MHE ER &amp; Anesthesia Physician Subsidy </t>
  </si>
  <si>
    <t>SMCE HOSPITALIST &amp; Infusion Clinic Lupron</t>
  </si>
  <si>
    <t>FY 2017 Rate Support for Direct Medical Education and the Nurse Support Program</t>
  </si>
  <si>
    <t>FY 2017 Rate Support for Charity Care</t>
  </si>
  <si>
    <t>Direct Medical Education (DME)</t>
  </si>
  <si>
    <t>Nurse Support Program I (NSPI)</t>
  </si>
  <si>
    <t>Total Rate Support for Education</t>
  </si>
  <si>
    <t>FY 2017 Community Benefit Analysis, by Hospital</t>
  </si>
  <si>
    <t>Number of Employees</t>
  </si>
  <si>
    <t xml:space="preserve">Total Staff Hours for CB Operations </t>
  </si>
  <si>
    <t>Total Community Benefit Expense</t>
  </si>
  <si>
    <t xml:space="preserve">Total Net CB minus Charity Care, DME, NSPI in Rates </t>
  </si>
  <si>
    <t>UM  Prince Georges Hospital Center</t>
  </si>
  <si>
    <t>UM Laurel Regional Hospital</t>
  </si>
  <si>
    <t xml:space="preserve"> Charity Care *</t>
  </si>
  <si>
    <t xml:space="preserve">Net Community Benefit </t>
  </si>
  <si>
    <t xml:space="preserve"> * The Adventist Hospital System has requested and received permission to report their Community Benefit activities on a CY Basis.  This allows them to more acurately reflect their true activities during the Community Benefit Cycle.  The numbers listed in the 'FY 2017 Amount in Rates for Charity Care, DME, and NSPI' Column as well as the Medicaid Deficit Assessments  rom the Inventory spreadsheets reflect the Commission's activities for FY17 and therefore will be different from the numbers reported by the Adventist Hospitals.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</si>
</sst>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lt;=9999999]###\-####;\(###\)\ ###\-####"/>
    <numFmt numFmtId="166" formatCode="_(* #,##0_);_(* \(#,##0\);_(* &quot;-&quot;??_);_(@_)"/>
    <numFmt numFmtId="167" formatCode="&quot;$&quot;#,##0"/>
    <numFmt numFmtId="168" formatCode="_(&quot;$&quot;* #,##0_);_(&quot;$&quot;* \(#,##0\);_(&quot;$&quot;* &quot;-&quot;??_);_(@_)"/>
    <numFmt numFmtId="169" formatCode="0.0%"/>
    <numFmt numFmtId="170" formatCode="0.000%"/>
    <numFmt numFmtId="171" formatCode="#,##0.000"/>
    <numFmt numFmtId="172" formatCode="_(&quot;$&quot;* #,##0.000_);_(&quot;$&quot;* \(#,##0.000\);_(&quot;$&quot;* &quot;-&quot;??_);_(@_)"/>
  </numFmts>
  <fonts count="8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b/>
      <sz val="12"/>
      <name val="Arial"/>
      <family val="2"/>
    </font>
    <font>
      <b/>
      <i/>
      <sz val="9"/>
      <name val="Arial"/>
      <family val="2"/>
    </font>
    <font>
      <sz val="9"/>
      <name val="Arial"/>
      <family val="2"/>
    </font>
    <font>
      <b/>
      <sz val="11"/>
      <color theme="1"/>
      <name val="Calibri"/>
      <family val="2"/>
      <scheme val="minor"/>
    </font>
    <font>
      <sz val="12"/>
      <name val="Arial"/>
      <family val="2"/>
    </font>
    <font>
      <sz val="12"/>
      <name val="Times New Roman"/>
      <family val="1"/>
    </font>
    <font>
      <sz val="10"/>
      <name val="System"/>
      <family val="2"/>
    </font>
    <font>
      <b/>
      <sz val="18"/>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i/>
      <u val="double"/>
      <sz val="14"/>
      <color theme="1"/>
      <name val="Calibri"/>
      <family val="2"/>
      <scheme val="minor"/>
    </font>
    <font>
      <b/>
      <i/>
      <sz val="14"/>
      <color theme="1"/>
      <name val="Calibri"/>
      <family val="2"/>
      <scheme val="minor"/>
    </font>
    <font>
      <b/>
      <i/>
      <u val="singleAccounting"/>
      <sz val="11"/>
      <color theme="1"/>
      <name val="Calibri"/>
      <family val="2"/>
      <scheme val="minor"/>
    </font>
    <font>
      <u val="singleAccounting"/>
      <sz val="11"/>
      <color theme="1"/>
      <name val="Calibri"/>
      <family val="2"/>
      <scheme val="minor"/>
    </font>
    <font>
      <b/>
      <i/>
      <u val="doubleAccounting"/>
      <sz val="11"/>
      <color theme="1"/>
      <name val="Calibri"/>
      <family val="2"/>
      <scheme val="minor"/>
    </font>
    <font>
      <b/>
      <i/>
      <sz val="11"/>
      <color theme="1"/>
      <name val="Calibri"/>
      <family val="2"/>
      <scheme val="minor"/>
    </font>
    <font>
      <i/>
      <sz val="11"/>
      <color theme="1"/>
      <name val="Calibri"/>
      <family val="2"/>
      <scheme val="minor"/>
    </font>
    <font>
      <b/>
      <u/>
      <sz val="14"/>
      <color theme="1"/>
      <name val="Calibri"/>
      <family val="2"/>
      <scheme val="minor"/>
    </font>
    <font>
      <b/>
      <i/>
      <sz val="12"/>
      <name val="Arial"/>
      <family val="2"/>
    </font>
    <font>
      <sz val="10"/>
      <name val="Arial"/>
      <family val="2"/>
    </font>
    <font>
      <sz val="12"/>
      <name val="Times New Roman"/>
      <family val="1"/>
    </font>
    <font>
      <u/>
      <sz val="11"/>
      <color theme="10"/>
      <name val="Calibri"/>
      <family val="2"/>
      <scheme val="minor"/>
    </font>
    <font>
      <sz val="11"/>
      <color theme="1"/>
      <name val="Cambria"/>
      <family val="1"/>
      <scheme val="major"/>
    </font>
    <font>
      <b/>
      <u/>
      <sz val="10"/>
      <name val="Arial"/>
      <family val="2"/>
    </font>
    <font>
      <sz val="10"/>
      <color indexed="12"/>
      <name val="Arial"/>
      <family val="2"/>
    </font>
    <font>
      <b/>
      <sz val="10"/>
      <color indexed="12"/>
      <name val="Arial"/>
      <family val="2"/>
    </font>
    <font>
      <u/>
      <sz val="10"/>
      <color theme="10"/>
      <name val="Arial"/>
      <family val="2"/>
    </font>
    <font>
      <b/>
      <sz val="16"/>
      <name val="Arial"/>
      <family val="2"/>
    </font>
    <font>
      <b/>
      <sz val="8"/>
      <name val="Arial"/>
      <family val="2"/>
    </font>
    <font>
      <b/>
      <i/>
      <sz val="11"/>
      <color rgb="FFFF0000"/>
      <name val="Calibri"/>
      <family val="2"/>
      <scheme val="minor"/>
    </font>
    <font>
      <sz val="11"/>
      <name val="Calibri"/>
      <family val="2"/>
      <scheme val="minor"/>
    </font>
    <font>
      <u/>
      <sz val="11"/>
      <color theme="10"/>
      <name val="Calibri"/>
      <family val="2"/>
    </font>
    <font>
      <sz val="10"/>
      <color rgb="FF000000"/>
      <name val="Arial"/>
      <family val="2"/>
    </font>
    <font>
      <sz val="10"/>
      <name val="Arial"/>
      <family val="2"/>
    </font>
    <font>
      <b/>
      <sz val="10"/>
      <color rgb="FFFF0000"/>
      <name val="Arial"/>
      <family val="2"/>
    </font>
    <font>
      <u/>
      <sz val="8.8000000000000007"/>
      <color theme="10"/>
      <name val="Calibri"/>
      <family val="2"/>
    </font>
    <font>
      <u/>
      <sz val="11"/>
      <color indexed="8"/>
      <name val="Calibri"/>
      <family val="2"/>
    </font>
    <font>
      <sz val="11"/>
      <color indexed="8"/>
      <name val="Calibri"/>
      <family val="2"/>
    </font>
    <font>
      <sz val="10"/>
      <color rgb="FF000000"/>
      <name val="Arial"/>
      <family val="2"/>
    </font>
    <font>
      <sz val="11"/>
      <color theme="1"/>
      <name val="Arial"/>
      <family val="2"/>
    </font>
    <font>
      <sz val="12"/>
      <color theme="1"/>
      <name val="Arial"/>
      <family val="2"/>
    </font>
    <font>
      <sz val="10"/>
      <color indexed="8"/>
      <name val="Arial"/>
      <family val="2"/>
    </font>
    <font>
      <sz val="11"/>
      <color rgb="FF000000"/>
      <name val="Calibri"/>
      <family val="2"/>
    </font>
    <font>
      <sz val="10"/>
      <color rgb="FFFF0000"/>
      <name val="Arial"/>
      <family val="2"/>
    </font>
    <font>
      <b/>
      <sz val="9"/>
      <color rgb="FF000000"/>
      <name val="Tahoma"/>
      <family val="2"/>
    </font>
    <font>
      <sz val="9"/>
      <color rgb="FF000000"/>
      <name val="Tahoma"/>
      <family val="2"/>
    </font>
    <font>
      <sz val="10"/>
      <name val="Arial"/>
      <family val="2"/>
    </font>
    <font>
      <b/>
      <sz val="11"/>
      <name val="Calibri"/>
      <family val="2"/>
      <scheme val="minor"/>
    </font>
    <font>
      <b/>
      <sz val="11"/>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rgb="FFFFFF00"/>
        <bgColor rgb="FF000000"/>
      </patternFill>
    </fill>
    <fill>
      <patternFill patternType="solid">
        <fgColor rgb="FFFFFFFF"/>
        <bgColor rgb="FF000000"/>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1"/>
        <bgColor indexed="64"/>
      </patternFill>
    </fill>
    <fill>
      <patternFill patternType="solid">
        <fgColor rgb="FFFFCC00"/>
        <bgColor rgb="FF000000"/>
      </patternFill>
    </fill>
    <fill>
      <patternFill patternType="solid">
        <fgColor rgb="FFFFC000"/>
        <bgColor rgb="FF000000"/>
      </patternFill>
    </fill>
    <fill>
      <patternFill patternType="solid">
        <fgColor rgb="FFD8D8D8"/>
        <bgColor rgb="FF000000"/>
      </patternFill>
    </fill>
    <fill>
      <patternFill patternType="solid">
        <fgColor rgb="FFB8CCE4"/>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17">
    <xf numFmtId="0" fontId="0" fillId="0" borderId="0"/>
    <xf numFmtId="9" fontId="29" fillId="0" borderId="0" applyFont="0" applyFill="0" applyBorder="0" applyAlignment="0" applyProtection="0"/>
    <xf numFmtId="0" fontId="29" fillId="0" borderId="0"/>
    <xf numFmtId="0" fontId="28" fillId="0" borderId="0"/>
    <xf numFmtId="0" fontId="37" fillId="0" borderId="0"/>
    <xf numFmtId="43" fontId="28" fillId="0" borderId="0" applyFont="0" applyFill="0" applyBorder="0" applyAlignment="0" applyProtection="0"/>
    <xf numFmtId="9" fontId="28" fillId="0" borderId="0" applyFont="0" applyFill="0" applyBorder="0" applyAlignment="0" applyProtection="0"/>
    <xf numFmtId="0" fontId="39" fillId="0" borderId="0"/>
    <xf numFmtId="44" fontId="28" fillId="0" borderId="0" applyFont="0" applyFill="0" applyBorder="0" applyAlignment="0" applyProtection="0"/>
    <xf numFmtId="0" fontId="27" fillId="0" borderId="0"/>
    <xf numFmtId="0" fontId="27" fillId="0" borderId="0"/>
    <xf numFmtId="9" fontId="53" fillId="0" borderId="0" applyFont="0" applyFill="0" applyBorder="0" applyAlignment="0" applyProtection="0"/>
    <xf numFmtId="0" fontId="26" fillId="0" borderId="0"/>
    <xf numFmtId="0" fontId="54" fillId="0" borderId="0"/>
    <xf numFmtId="43" fontId="38" fillId="0" borderId="0" applyFont="0" applyFill="0" applyBorder="0" applyAlignment="0" applyProtection="0"/>
    <xf numFmtId="9" fontId="29" fillId="0" borderId="0" applyFont="0" applyFill="0" applyBorder="0" applyAlignment="0" applyProtection="0"/>
    <xf numFmtId="0" fontId="55" fillId="0" borderId="0" applyNumberFormat="0" applyFill="0" applyBorder="0" applyAlignment="0" applyProtection="0"/>
    <xf numFmtId="0" fontId="25" fillId="0" borderId="0"/>
    <xf numFmtId="43" fontId="53" fillId="0" borderId="0" applyFont="0" applyFill="0" applyBorder="0" applyAlignment="0" applyProtection="0"/>
    <xf numFmtId="44" fontId="53" fillId="0" borderId="0" applyFont="0" applyFill="0" applyBorder="0" applyAlignment="0" applyProtection="0"/>
    <xf numFmtId="0" fontId="24" fillId="0" borderId="0"/>
    <xf numFmtId="0" fontId="60" fillId="0" borderId="0" applyNumberFormat="0" applyFill="0" applyBorder="0" applyAlignment="0" applyProtection="0"/>
    <xf numFmtId="0" fontId="29" fillId="0" borderId="0"/>
    <xf numFmtId="44" fontId="24" fillId="0" borderId="0" applyFont="0" applyFill="0" applyBorder="0" applyAlignment="0" applyProtection="0"/>
    <xf numFmtId="9" fontId="29"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3" fillId="0" borderId="0"/>
    <xf numFmtId="44" fontId="23" fillId="0" borderId="0" applyFont="0" applyFill="0" applyBorder="0" applyAlignment="0" applyProtection="0"/>
    <xf numFmtId="0" fontId="37" fillId="0" borderId="0"/>
    <xf numFmtId="0" fontId="18" fillId="0" borderId="0"/>
    <xf numFmtId="9" fontId="18" fillId="0" borderId="0" applyFont="0" applyFill="0" applyBorder="0" applyAlignment="0" applyProtection="0"/>
    <xf numFmtId="44" fontId="18" fillId="0" borderId="0" applyFont="0" applyFill="0" applyBorder="0" applyAlignment="0" applyProtection="0"/>
    <xf numFmtId="44" fontId="29" fillId="0" borderId="0" applyFont="0" applyFill="0" applyBorder="0" applyAlignment="0" applyProtection="0"/>
    <xf numFmtId="0" fontId="65" fillId="0" borderId="0" applyNumberFormat="0" applyFill="0" applyBorder="0" applyAlignment="0" applyProtection="0">
      <alignment vertical="top"/>
      <protection locked="0"/>
    </xf>
    <xf numFmtId="43" fontId="18" fillId="0" borderId="0" applyFont="0" applyFill="0" applyBorder="0" applyAlignment="0" applyProtection="0"/>
    <xf numFmtId="0" fontId="66" fillId="0" borderId="0"/>
    <xf numFmtId="43" fontId="66" fillId="0" borderId="0" applyFont="0" applyFill="0" applyBorder="0" applyAlignment="0" applyProtection="0"/>
    <xf numFmtId="43" fontId="29" fillId="0" borderId="0" applyFont="0" applyFill="0" applyBorder="0" applyAlignment="0" applyProtection="0"/>
    <xf numFmtId="44" fontId="67" fillId="0" borderId="0" applyFont="0" applyFill="0" applyBorder="0" applyAlignment="0" applyProtection="0"/>
    <xf numFmtId="9" fontId="67" fillId="0" borderId="0" applyFont="0" applyFill="0" applyBorder="0" applyAlignment="0" applyProtection="0"/>
    <xf numFmtId="43" fontId="67" fillId="0" borderId="0" applyFont="0" applyFill="0" applyBorder="0" applyAlignment="0" applyProtection="0"/>
    <xf numFmtId="0" fontId="17" fillId="0" borderId="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6" fillId="0" borderId="0"/>
    <xf numFmtId="9" fontId="16" fillId="0" borderId="0" applyFont="0" applyFill="0" applyBorder="0" applyAlignment="0" applyProtection="0"/>
    <xf numFmtId="0" fontId="14" fillId="0" borderId="0"/>
    <xf numFmtId="44" fontId="14"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0" fontId="69" fillId="0" borderId="0" applyNumberFormat="0" applyFill="0" applyBorder="0" applyAlignment="0" applyProtection="0">
      <alignment vertical="top"/>
      <protection locked="0"/>
    </xf>
    <xf numFmtId="44" fontId="29" fillId="0" borderId="0" applyFont="0" applyFill="0" applyBorder="0" applyAlignment="0" applyProtection="0"/>
    <xf numFmtId="43" fontId="29" fillId="0" borderId="0" applyFont="0" applyFill="0" applyBorder="0" applyAlignment="0" applyProtection="0"/>
    <xf numFmtId="0" fontId="72" fillId="0" borderId="0"/>
    <xf numFmtId="44"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75" fillId="0" borderId="0">
      <alignment vertical="top"/>
    </xf>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7" fillId="0" borderId="0"/>
    <xf numFmtId="0" fontId="80" fillId="0" borderId="0"/>
    <xf numFmtId="9" fontId="2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38" fillId="0" borderId="0"/>
    <xf numFmtId="0" fontId="7" fillId="0" borderId="0"/>
    <xf numFmtId="43" fontId="29" fillId="0" borderId="0" applyFont="0" applyFill="0" applyBorder="0" applyAlignment="0" applyProtection="0"/>
    <xf numFmtId="44" fontId="29"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66"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1634">
    <xf numFmtId="0" fontId="0" fillId="0" borderId="0" xfId="0"/>
    <xf numFmtId="0" fontId="30" fillId="0" borderId="0" xfId="0" applyFont="1" applyAlignment="1">
      <alignment horizontal="right"/>
    </xf>
    <xf numFmtId="0" fontId="0" fillId="0" borderId="0" xfId="0" applyAlignment="1">
      <alignment horizontal="left"/>
    </xf>
    <xf numFmtId="0" fontId="0" fillId="0" borderId="0" xfId="0" applyBorder="1"/>
    <xf numFmtId="0" fontId="28" fillId="0" borderId="0" xfId="3"/>
    <xf numFmtId="0" fontId="28" fillId="0" borderId="0" xfId="3" applyBorder="1"/>
    <xf numFmtId="0" fontId="36" fillId="0" borderId="0" xfId="3" applyFont="1"/>
    <xf numFmtId="0" fontId="28" fillId="0" borderId="0" xfId="3" applyFill="1"/>
    <xf numFmtId="5" fontId="28" fillId="0" borderId="0" xfId="3" applyNumberFormat="1"/>
    <xf numFmtId="0" fontId="28" fillId="0" borderId="0" xfId="3" applyAlignment="1">
      <alignment wrapText="1"/>
    </xf>
    <xf numFmtId="5" fontId="36" fillId="0" borderId="0" xfId="3" applyNumberFormat="1" applyFont="1"/>
    <xf numFmtId="9" fontId="0" fillId="0" borderId="0" xfId="6" applyFont="1"/>
    <xf numFmtId="0" fontId="28" fillId="0" borderId="2" xfId="3" applyBorder="1"/>
    <xf numFmtId="3" fontId="28" fillId="0" borderId="2" xfId="3" applyNumberFormat="1" applyBorder="1" applyAlignment="1">
      <alignment horizontal="right"/>
    </xf>
    <xf numFmtId="37" fontId="36" fillId="0" borderId="2" xfId="3" applyNumberFormat="1" applyFont="1" applyBorder="1" applyAlignment="1">
      <alignment horizontal="right"/>
    </xf>
    <xf numFmtId="37" fontId="36" fillId="0" borderId="2" xfId="3" applyNumberFormat="1" applyFont="1" applyBorder="1"/>
    <xf numFmtId="167" fontId="36" fillId="0" borderId="2" xfId="3" applyNumberFormat="1" applyFont="1" applyBorder="1"/>
    <xf numFmtId="10" fontId="36" fillId="0" borderId="2" xfId="6" applyNumberFormat="1" applyFont="1" applyBorder="1" applyAlignment="1">
      <alignment horizontal="right"/>
    </xf>
    <xf numFmtId="167" fontId="28" fillId="0" borderId="0" xfId="3" applyNumberFormat="1"/>
    <xf numFmtId="0" fontId="36" fillId="0" borderId="0" xfId="3" applyFont="1" applyAlignment="1">
      <alignment horizontal="right"/>
    </xf>
    <xf numFmtId="0" fontId="36" fillId="0" borderId="0" xfId="3" applyFont="1" applyAlignment="1"/>
    <xf numFmtId="167" fontId="36" fillId="0" borderId="0" xfId="3" applyNumberFormat="1" applyFont="1" applyAlignment="1"/>
    <xf numFmtId="9" fontId="36" fillId="0" borderId="0" xfId="6" applyFont="1"/>
    <xf numFmtId="167" fontId="36" fillId="0" borderId="0" xfId="8" applyNumberFormat="1" applyFont="1"/>
    <xf numFmtId="0" fontId="28" fillId="0" borderId="0" xfId="3" applyAlignment="1">
      <alignment horizontal="right"/>
    </xf>
    <xf numFmtId="37" fontId="28" fillId="0" borderId="0" xfId="3" applyNumberFormat="1"/>
    <xf numFmtId="167" fontId="0" fillId="0" borderId="0" xfId="8" applyNumberFormat="1" applyFont="1"/>
    <xf numFmtId="0" fontId="29" fillId="0" borderId="0" xfId="2" applyAlignment="1">
      <alignment horizontal="left"/>
    </xf>
    <xf numFmtId="0" fontId="29" fillId="0" borderId="0" xfId="2"/>
    <xf numFmtId="0" fontId="29" fillId="0" borderId="0" xfId="2" applyBorder="1"/>
    <xf numFmtId="0" fontId="37" fillId="0" borderId="0" xfId="2" applyFont="1" applyAlignment="1">
      <alignment horizontal="left"/>
    </xf>
    <xf numFmtId="0" fontId="37" fillId="0" borderId="0" xfId="2" applyFont="1"/>
    <xf numFmtId="49" fontId="32" fillId="2" borderId="4" xfId="0" applyNumberFormat="1" applyFont="1" applyFill="1" applyBorder="1" applyAlignment="1" applyProtection="1">
      <protection locked="0"/>
    </xf>
    <xf numFmtId="49" fontId="32" fillId="2" borderId="5" xfId="0" applyNumberFormat="1" applyFont="1" applyFill="1" applyBorder="1" applyAlignment="1" applyProtection="1">
      <protection locked="0"/>
    </xf>
    <xf numFmtId="49" fontId="32" fillId="2" borderId="6" xfId="0" applyNumberFormat="1" applyFont="1" applyFill="1" applyBorder="1" applyAlignment="1" applyProtection="1">
      <protection locked="0"/>
    </xf>
    <xf numFmtId="0" fontId="58" fillId="0" borderId="0" xfId="0" applyFont="1" applyAlignment="1">
      <alignment horizontal="left"/>
    </xf>
    <xf numFmtId="0" fontId="29" fillId="0" borderId="0" xfId="20" applyFont="1" applyFill="1" applyBorder="1"/>
    <xf numFmtId="0" fontId="30" fillId="0" borderId="0" xfId="20" applyFont="1" applyFill="1" applyBorder="1" applyAlignment="1">
      <alignment horizontal="center"/>
    </xf>
    <xf numFmtId="0" fontId="30" fillId="0" borderId="0" xfId="20" applyFont="1" applyFill="1" applyBorder="1" applyAlignment="1">
      <alignment horizontal="left"/>
    </xf>
    <xf numFmtId="0" fontId="29" fillId="0" borderId="0" xfId="20" applyFont="1" applyFill="1" applyBorder="1" applyAlignment="1">
      <alignment horizontal="left"/>
    </xf>
    <xf numFmtId="0" fontId="29" fillId="0" borderId="0" xfId="20" applyFont="1" applyFill="1" applyBorder="1" applyAlignment="1">
      <alignment horizontal="center"/>
    </xf>
    <xf numFmtId="0" fontId="30" fillId="0" borderId="0" xfId="20" applyFont="1" applyFill="1" applyBorder="1" applyAlignment="1">
      <alignment horizontal="center" wrapText="1"/>
    </xf>
    <xf numFmtId="164" fontId="30" fillId="0" borderId="0" xfId="20" applyNumberFormat="1" applyFont="1" applyFill="1" applyBorder="1" applyAlignment="1">
      <alignment horizontal="center" wrapText="1"/>
    </xf>
    <xf numFmtId="0" fontId="30" fillId="0" borderId="0" xfId="20" applyFont="1" applyFill="1" applyBorder="1" applyAlignment="1"/>
    <xf numFmtId="0" fontId="30" fillId="0" borderId="0" xfId="20" applyFont="1" applyFill="1" applyBorder="1"/>
    <xf numFmtId="3" fontId="29" fillId="0" borderId="0" xfId="20" applyNumberFormat="1" applyFont="1" applyFill="1" applyBorder="1"/>
    <xf numFmtId="3" fontId="30" fillId="6" borderId="2" xfId="20" applyNumberFormat="1" applyFont="1" applyFill="1" applyBorder="1"/>
    <xf numFmtId="7" fontId="30" fillId="0" borderId="0" xfId="20" applyNumberFormat="1" applyFont="1" applyFill="1" applyBorder="1" applyAlignment="1">
      <alignment horizontal="center" wrapText="1"/>
    </xf>
    <xf numFmtId="164" fontId="29" fillId="0" borderId="0" xfId="20" applyNumberFormat="1" applyFont="1" applyFill="1" applyBorder="1"/>
    <xf numFmtId="7" fontId="29" fillId="0" borderId="0" xfId="20" applyNumberFormat="1" applyFont="1" applyFill="1" applyBorder="1"/>
    <xf numFmtId="0" fontId="30" fillId="0" borderId="0" xfId="20" applyFont="1" applyFill="1" applyBorder="1" applyAlignment="1">
      <alignment horizontal="right"/>
    </xf>
    <xf numFmtId="3" fontId="29" fillId="0" borderId="2" xfId="20" applyNumberFormat="1" applyFont="1" applyFill="1" applyBorder="1" applyProtection="1">
      <protection locked="0"/>
    </xf>
    <xf numFmtId="3" fontId="29" fillId="0" borderId="2" xfId="20" applyNumberFormat="1" applyFont="1" applyFill="1" applyBorder="1"/>
    <xf numFmtId="167" fontId="30" fillId="6" borderId="2" xfId="20" applyNumberFormat="1" applyFont="1" applyFill="1" applyBorder="1"/>
    <xf numFmtId="3" fontId="30" fillId="0" borderId="0" xfId="20" applyNumberFormat="1" applyFont="1" applyFill="1" applyBorder="1"/>
    <xf numFmtId="167" fontId="30" fillId="0" borderId="0" xfId="20" applyNumberFormat="1" applyFont="1" applyFill="1" applyBorder="1"/>
    <xf numFmtId="167" fontId="29" fillId="7" borderId="0" xfId="20" applyNumberFormat="1" applyFont="1" applyFill="1" applyBorder="1"/>
    <xf numFmtId="167" fontId="29" fillId="0" borderId="0" xfId="20" applyNumberFormat="1" applyFont="1" applyFill="1" applyBorder="1"/>
    <xf numFmtId="0" fontId="29" fillId="0" borderId="0" xfId="20" applyFont="1" applyFill="1" applyBorder="1" applyAlignment="1"/>
    <xf numFmtId="0" fontId="29" fillId="0" borderId="14" xfId="20" applyFont="1" applyFill="1" applyBorder="1" applyAlignment="1"/>
    <xf numFmtId="0" fontId="30" fillId="0" borderId="0" xfId="20" applyFont="1" applyFill="1" applyBorder="1" applyAlignment="1">
      <alignment wrapText="1"/>
    </xf>
    <xf numFmtId="3" fontId="30" fillId="0" borderId="12" xfId="20" applyNumberFormat="1" applyFont="1" applyFill="1" applyBorder="1"/>
    <xf numFmtId="3" fontId="29" fillId="0" borderId="12" xfId="20" applyNumberFormat="1" applyFont="1" applyFill="1" applyBorder="1"/>
    <xf numFmtId="3" fontId="30" fillId="6" borderId="2" xfId="20" applyNumberFormat="1" applyFont="1" applyFill="1" applyBorder="1" applyProtection="1"/>
    <xf numFmtId="3" fontId="30" fillId="0" borderId="0" xfId="20" applyNumberFormat="1" applyFont="1" applyFill="1" applyBorder="1" applyProtection="1">
      <protection locked="0"/>
    </xf>
    <xf numFmtId="49" fontId="33" fillId="0" borderId="0" xfId="20" applyNumberFormat="1" applyFont="1" applyFill="1" applyBorder="1" applyAlignment="1">
      <alignment horizontal="left"/>
    </xf>
    <xf numFmtId="0" fontId="62" fillId="0" borderId="0" xfId="20" applyFont="1" applyFill="1" applyBorder="1" applyAlignment="1">
      <alignment horizontal="center" wrapText="1"/>
    </xf>
    <xf numFmtId="49" fontId="29" fillId="7" borderId="0" xfId="20" applyNumberFormat="1" applyFont="1" applyFill="1" applyBorder="1" applyAlignment="1" applyProtection="1">
      <protection locked="0"/>
    </xf>
    <xf numFmtId="3" fontId="29" fillId="0" borderId="2" xfId="20" applyNumberFormat="1" applyFont="1" applyFill="1" applyBorder="1" applyProtection="1"/>
    <xf numFmtId="3" fontId="29" fillId="0" borderId="12" xfId="20" applyNumberFormat="1" applyFont="1" applyFill="1" applyBorder="1" applyProtection="1"/>
    <xf numFmtId="3" fontId="30" fillId="6" borderId="9" xfId="20" applyNumberFormat="1" applyFont="1" applyFill="1" applyBorder="1"/>
    <xf numFmtId="0" fontId="30" fillId="0" borderId="14" xfId="20" applyFont="1" applyFill="1" applyBorder="1" applyAlignment="1"/>
    <xf numFmtId="3" fontId="29" fillId="0" borderId="10" xfId="20" applyNumberFormat="1" applyFont="1" applyFill="1" applyBorder="1" applyProtection="1"/>
    <xf numFmtId="0" fontId="29" fillId="0" borderId="0" xfId="20" applyFont="1" applyFill="1" applyBorder="1" applyProtection="1"/>
    <xf numFmtId="3" fontId="29" fillId="0" borderId="12" xfId="20" applyNumberFormat="1" applyFont="1" applyFill="1" applyBorder="1" applyProtection="1">
      <protection locked="0"/>
    </xf>
    <xf numFmtId="3" fontId="30" fillId="0" borderId="0" xfId="20" applyNumberFormat="1" applyFont="1" applyFill="1" applyBorder="1" applyProtection="1"/>
    <xf numFmtId="167" fontId="30" fillId="0" borderId="0" xfId="20" applyNumberFormat="1" applyFont="1" applyFill="1" applyBorder="1" applyProtection="1"/>
    <xf numFmtId="0" fontId="29" fillId="0" borderId="12" xfId="20" applyFont="1" applyFill="1" applyBorder="1"/>
    <xf numFmtId="164" fontId="30" fillId="0" borderId="0" xfId="20" applyNumberFormat="1" applyFont="1" applyFill="1" applyBorder="1"/>
    <xf numFmtId="10" fontId="30" fillId="0" borderId="0" xfId="24" applyNumberFormat="1" applyFont="1" applyFill="1" applyBorder="1" applyProtection="1"/>
    <xf numFmtId="10" fontId="30" fillId="6" borderId="2" xfId="20" applyNumberFormat="1" applyFont="1" applyFill="1" applyBorder="1"/>
    <xf numFmtId="166" fontId="29" fillId="0" borderId="0" xfId="25" applyNumberFormat="1" applyFont="1" applyFill="1" applyBorder="1"/>
    <xf numFmtId="10" fontId="30" fillId="0" borderId="0" xfId="20" applyNumberFormat="1" applyFont="1" applyFill="1" applyBorder="1"/>
    <xf numFmtId="10" fontId="29" fillId="0" borderId="0" xfId="26" applyNumberFormat="1" applyFont="1" applyFill="1" applyBorder="1"/>
    <xf numFmtId="168" fontId="30" fillId="6" borderId="2" xfId="19" applyNumberFormat="1" applyFont="1" applyFill="1" applyBorder="1"/>
    <xf numFmtId="49" fontId="29" fillId="0" borderId="14" xfId="20" applyNumberFormat="1" applyFont="1" applyFill="1" applyBorder="1" applyAlignment="1" applyProtection="1">
      <protection locked="0"/>
    </xf>
    <xf numFmtId="3" fontId="0" fillId="0" borderId="0" xfId="0" applyNumberFormat="1" applyFill="1" applyBorder="1" applyProtection="1">
      <protection locked="0"/>
    </xf>
    <xf numFmtId="168" fontId="30" fillId="6" borderId="9" xfId="19" applyNumberFormat="1" applyFont="1" applyFill="1" applyBorder="1"/>
    <xf numFmtId="168" fontId="30" fillId="6" borderId="2" xfId="19" applyNumberFormat="1" applyFont="1" applyFill="1" applyBorder="1" applyProtection="1"/>
    <xf numFmtId="3" fontId="30" fillId="0" borderId="2" xfId="20" applyNumberFormat="1" applyFont="1" applyFill="1" applyBorder="1"/>
    <xf numFmtId="0" fontId="30" fillId="0" borderId="0" xfId="0" applyFont="1" applyFill="1" applyAlignment="1">
      <alignment horizontal="right"/>
    </xf>
    <xf numFmtId="49" fontId="32" fillId="0" borderId="0" xfId="0" applyNumberFormat="1" applyFont="1" applyFill="1" applyBorder="1" applyAlignment="1" applyProtection="1">
      <protection locked="0"/>
    </xf>
    <xf numFmtId="168" fontId="30" fillId="0" borderId="2" xfId="19" applyNumberFormat="1" applyFont="1" applyFill="1" applyBorder="1"/>
    <xf numFmtId="0" fontId="21" fillId="0" borderId="0" xfId="3" applyFont="1" applyFill="1"/>
    <xf numFmtId="0" fontId="28" fillId="0" borderId="0" xfId="3" applyBorder="1" applyAlignment="1">
      <alignment horizontal="right"/>
    </xf>
    <xf numFmtId="167" fontId="28" fillId="0" borderId="0" xfId="3" applyNumberFormat="1" applyBorder="1"/>
    <xf numFmtId="5" fontId="28" fillId="0" borderId="0" xfId="3" applyNumberFormat="1" applyBorder="1"/>
    <xf numFmtId="9" fontId="0" fillId="0" borderId="0" xfId="6" applyFont="1" applyBorder="1"/>
    <xf numFmtId="0" fontId="18" fillId="0" borderId="0" xfId="30"/>
    <xf numFmtId="0" fontId="30" fillId="0" borderId="0" xfId="30" applyFont="1"/>
    <xf numFmtId="0" fontId="18" fillId="0" borderId="0" xfId="30" applyAlignment="1">
      <alignment horizontal="left"/>
    </xf>
    <xf numFmtId="0" fontId="18" fillId="0" borderId="0" xfId="30" applyBorder="1"/>
    <xf numFmtId="0" fontId="18" fillId="0" borderId="0" xfId="30" applyFill="1"/>
    <xf numFmtId="0" fontId="43" fillId="0" borderId="0" xfId="30" applyFont="1" applyAlignment="1">
      <alignment horizontal="left"/>
    </xf>
    <xf numFmtId="0" fontId="43" fillId="0" borderId="0" xfId="30" applyFont="1"/>
    <xf numFmtId="0" fontId="43" fillId="0" borderId="0" xfId="30" applyFont="1" applyFill="1"/>
    <xf numFmtId="0" fontId="43" fillId="0" borderId="0" xfId="30" applyFont="1" applyBorder="1"/>
    <xf numFmtId="3" fontId="43" fillId="0" borderId="0" xfId="30" applyNumberFormat="1" applyFont="1"/>
    <xf numFmtId="3" fontId="18" fillId="0" borderId="0" xfId="30" applyNumberFormat="1"/>
    <xf numFmtId="166" fontId="0" fillId="0" borderId="0" xfId="35" applyNumberFormat="1" applyFont="1"/>
    <xf numFmtId="0" fontId="66" fillId="0" borderId="0" xfId="36"/>
    <xf numFmtId="168" fontId="0" fillId="0" borderId="0" xfId="33" applyNumberFormat="1" applyFont="1"/>
    <xf numFmtId="0" fontId="57" fillId="0" borderId="0" xfId="2" applyFont="1"/>
    <xf numFmtId="166" fontId="30" fillId="0" borderId="2" xfId="38" applyNumberFormat="1" applyFont="1" applyBorder="1"/>
    <xf numFmtId="3" fontId="30" fillId="0" borderId="2" xfId="2" applyNumberFormat="1" applyFont="1" applyBorder="1"/>
    <xf numFmtId="166" fontId="30" fillId="0" borderId="2" xfId="2" applyNumberFormat="1" applyFont="1" applyBorder="1"/>
    <xf numFmtId="0" fontId="30" fillId="0" borderId="2" xfId="2" applyFont="1" applyBorder="1"/>
    <xf numFmtId="168" fontId="30" fillId="0" borderId="2" xfId="33" applyNumberFormat="1" applyFont="1" applyBorder="1"/>
    <xf numFmtId="164" fontId="30" fillId="0" borderId="2" xfId="2" applyNumberFormat="1" applyFont="1" applyBorder="1"/>
    <xf numFmtId="3" fontId="30" fillId="0" borderId="0" xfId="2" applyNumberFormat="1" applyFont="1" applyBorder="1"/>
    <xf numFmtId="10" fontId="30" fillId="2" borderId="2" xfId="1" applyNumberFormat="1" applyFont="1" applyFill="1" applyBorder="1" applyProtection="1"/>
    <xf numFmtId="168" fontId="0" fillId="0" borderId="0" xfId="39" applyNumberFormat="1" applyFont="1"/>
    <xf numFmtId="166" fontId="0" fillId="0" borderId="0" xfId="38" applyNumberFormat="1" applyFont="1"/>
    <xf numFmtId="10" fontId="28" fillId="0" borderId="2" xfId="3" applyNumberFormat="1" applyBorder="1" applyAlignment="1">
      <alignment horizontal="right"/>
    </xf>
    <xf numFmtId="0" fontId="17" fillId="0" borderId="0" xfId="42"/>
    <xf numFmtId="0" fontId="17" fillId="0" borderId="0" xfId="42" applyBorder="1"/>
    <xf numFmtId="3" fontId="17" fillId="0" borderId="2" xfId="42" applyNumberFormat="1" applyBorder="1" applyAlignment="1">
      <alignment horizontal="right"/>
    </xf>
    <xf numFmtId="0" fontId="36" fillId="0" borderId="0" xfId="42" applyFont="1"/>
    <xf numFmtId="0" fontId="28" fillId="8" borderId="0" xfId="3" applyFill="1"/>
    <xf numFmtId="3" fontId="28" fillId="8" borderId="2" xfId="3" applyNumberFormat="1" applyFill="1" applyBorder="1" applyAlignment="1">
      <alignment horizontal="right"/>
    </xf>
    <xf numFmtId="10" fontId="28" fillId="8" borderId="2" xfId="3" applyNumberFormat="1" applyFill="1" applyBorder="1" applyAlignment="1">
      <alignment horizontal="right"/>
    </xf>
    <xf numFmtId="3" fontId="30" fillId="5" borderId="9" xfId="20" applyNumberFormat="1" applyFont="1" applyFill="1" applyBorder="1"/>
    <xf numFmtId="168" fontId="30" fillId="5" borderId="9" xfId="19" applyNumberFormat="1" applyFont="1" applyFill="1" applyBorder="1"/>
    <xf numFmtId="168" fontId="30" fillId="5" borderId="2" xfId="19" applyNumberFormat="1" applyFont="1" applyFill="1" applyBorder="1"/>
    <xf numFmtId="3" fontId="28" fillId="0" borderId="2" xfId="3" applyNumberFormat="1" applyFill="1" applyBorder="1" applyAlignment="1">
      <alignment horizontal="right"/>
    </xf>
    <xf numFmtId="10" fontId="28" fillId="0" borderId="2" xfId="3" applyNumberFormat="1" applyFill="1" applyBorder="1" applyAlignment="1">
      <alignment horizontal="right"/>
    </xf>
    <xf numFmtId="169" fontId="28" fillId="0" borderId="0" xfId="3" applyNumberFormat="1"/>
    <xf numFmtId="0" fontId="15" fillId="0" borderId="0" xfId="3" applyFont="1" applyAlignment="1"/>
    <xf numFmtId="0" fontId="28" fillId="0" borderId="0" xfId="3" applyAlignment="1"/>
    <xf numFmtId="167" fontId="28" fillId="0" borderId="0" xfId="3" applyNumberFormat="1" applyAlignment="1"/>
    <xf numFmtId="5" fontId="28" fillId="0" borderId="0" xfId="3" applyNumberFormat="1" applyAlignment="1"/>
    <xf numFmtId="167" fontId="0" fillId="0" borderId="0" xfId="8" applyNumberFormat="1" applyFont="1" applyAlignment="1"/>
    <xf numFmtId="0" fontId="13" fillId="0" borderId="2" xfId="3" applyFont="1" applyBorder="1"/>
    <xf numFmtId="10" fontId="36" fillId="0" borderId="2" xfId="3" applyNumberFormat="1" applyFont="1" applyBorder="1"/>
    <xf numFmtId="0" fontId="0" fillId="0" borderId="0" xfId="0"/>
    <xf numFmtId="0" fontId="30" fillId="0" borderId="0" xfId="0" applyFont="1"/>
    <xf numFmtId="0" fontId="0" fillId="0" borderId="0" xfId="0"/>
    <xf numFmtId="0" fontId="30" fillId="0" borderId="0" xfId="0" applyFont="1"/>
    <xf numFmtId="167" fontId="0" fillId="2" borderId="2" xfId="0" applyNumberFormat="1" applyFill="1" applyBorder="1" applyProtection="1">
      <protection locked="0"/>
    </xf>
    <xf numFmtId="0" fontId="0" fillId="0" borderId="0" xfId="0"/>
    <xf numFmtId="0" fontId="30" fillId="0" borderId="0" xfId="0" applyFont="1"/>
    <xf numFmtId="0" fontId="0" fillId="0" borderId="0" xfId="0"/>
    <xf numFmtId="0" fontId="30" fillId="0" borderId="0" xfId="0" applyFont="1"/>
    <xf numFmtId="0" fontId="0" fillId="0" borderId="0" xfId="0"/>
    <xf numFmtId="0" fontId="30" fillId="0" borderId="0" xfId="0" applyFont="1"/>
    <xf numFmtId="0" fontId="0" fillId="0" borderId="0" xfId="0"/>
    <xf numFmtId="0" fontId="30" fillId="0" borderId="0" xfId="0" applyFont="1"/>
    <xf numFmtId="0" fontId="12" fillId="0" borderId="0" xfId="52"/>
    <xf numFmtId="0" fontId="30" fillId="0" borderId="0" xfId="52" applyFont="1"/>
    <xf numFmtId="3" fontId="12" fillId="2" borderId="2" xfId="52" applyNumberFormat="1" applyFill="1" applyBorder="1" applyProtection="1">
      <protection locked="0"/>
    </xf>
    <xf numFmtId="164" fontId="12" fillId="2" borderId="2" xfId="52" applyNumberFormat="1" applyFill="1" applyBorder="1" applyProtection="1">
      <protection locked="0"/>
    </xf>
    <xf numFmtId="164" fontId="12" fillId="2" borderId="4" xfId="52" applyNumberFormat="1" applyFill="1" applyBorder="1" applyProtection="1">
      <protection locked="0"/>
    </xf>
    <xf numFmtId="164" fontId="12" fillId="2" borderId="2" xfId="52" applyNumberFormat="1" applyFill="1" applyBorder="1"/>
    <xf numFmtId="3" fontId="29" fillId="2" borderId="2" xfId="52" applyNumberFormat="1" applyFont="1" applyFill="1" applyBorder="1" applyProtection="1">
      <protection locked="0"/>
    </xf>
    <xf numFmtId="164" fontId="12" fillId="0" borderId="2" xfId="52" applyNumberFormat="1" applyFill="1" applyBorder="1"/>
    <xf numFmtId="3" fontId="12" fillId="2" borderId="2" xfId="52" applyNumberFormat="1" applyFill="1" applyBorder="1"/>
    <xf numFmtId="3" fontId="12" fillId="0" borderId="3" xfId="52" applyNumberFormat="1" applyFill="1" applyBorder="1"/>
    <xf numFmtId="164" fontId="12" fillId="0" borderId="3" xfId="52" applyNumberFormat="1" applyFill="1" applyBorder="1"/>
    <xf numFmtId="164" fontId="12" fillId="3" borderId="11" xfId="52" applyNumberFormat="1" applyFill="1" applyBorder="1"/>
    <xf numFmtId="3" fontId="12" fillId="5" borderId="2" xfId="52" applyNumberFormat="1" applyFill="1" applyBorder="1" applyProtection="1">
      <protection locked="0"/>
    </xf>
    <xf numFmtId="164" fontId="12" fillId="5" borderId="2" xfId="52" applyNumberFormat="1" applyFill="1" applyBorder="1" applyProtection="1"/>
    <xf numFmtId="1" fontId="12" fillId="2" borderId="2" xfId="52" applyNumberFormat="1" applyFill="1" applyBorder="1"/>
    <xf numFmtId="0" fontId="12" fillId="0" borderId="3" xfId="52" applyBorder="1"/>
    <xf numFmtId="164" fontId="12" fillId="3" borderId="4" xfId="52" applyNumberFormat="1" applyFill="1" applyBorder="1" applyProtection="1"/>
    <xf numFmtId="0" fontId="12" fillId="0" borderId="12" xfId="52" applyBorder="1"/>
    <xf numFmtId="0" fontId="12" fillId="2" borderId="2" xfId="52" applyFill="1" applyBorder="1" applyProtection="1">
      <protection locked="0"/>
    </xf>
    <xf numFmtId="3" fontId="12" fillId="2" borderId="9" xfId="52" applyNumberFormat="1" applyFill="1" applyBorder="1" applyProtection="1">
      <protection locked="0"/>
    </xf>
    <xf numFmtId="164" fontId="12" fillId="2" borderId="9" xfId="52" applyNumberFormat="1" applyFill="1" applyBorder="1" applyProtection="1">
      <protection locked="0"/>
    </xf>
    <xf numFmtId="49" fontId="12" fillId="2" borderId="8" xfId="52" applyNumberFormat="1" applyFill="1" applyBorder="1" applyAlignment="1" applyProtection="1">
      <protection locked="0"/>
    </xf>
    <xf numFmtId="0" fontId="12" fillId="2" borderId="2" xfId="52" applyFill="1" applyBorder="1" applyProtection="1"/>
    <xf numFmtId="164" fontId="12" fillId="2" borderId="4" xfId="52" applyNumberFormat="1" applyFill="1" applyBorder="1" applyProtection="1"/>
    <xf numFmtId="164" fontId="12" fillId="2" borderId="2" xfId="52" applyNumberFormat="1" applyFill="1" applyBorder="1" applyProtection="1"/>
    <xf numFmtId="164" fontId="12" fillId="3" borderId="2" xfId="52" applyNumberFormat="1" applyFill="1" applyBorder="1"/>
    <xf numFmtId="3" fontId="12" fillId="2" borderId="10" xfId="52" applyNumberFormat="1" applyFill="1" applyBorder="1" applyProtection="1">
      <protection locked="0"/>
    </xf>
    <xf numFmtId="164" fontId="12" fillId="2" borderId="10" xfId="52" applyNumberFormat="1" applyFill="1" applyBorder="1" applyProtection="1">
      <protection locked="0"/>
    </xf>
    <xf numFmtId="0" fontId="12" fillId="0" borderId="1" xfId="52" applyBorder="1" applyAlignment="1">
      <alignment horizontal="left"/>
    </xf>
    <xf numFmtId="0" fontId="12" fillId="0" borderId="1" xfId="52" applyBorder="1"/>
    <xf numFmtId="10" fontId="12" fillId="2" borderId="2" xfId="52" applyNumberFormat="1" applyFill="1" applyBorder="1" applyProtection="1">
      <protection locked="0"/>
    </xf>
    <xf numFmtId="3" fontId="12" fillId="2" borderId="9" xfId="52" applyNumberFormat="1" applyFill="1" applyBorder="1"/>
    <xf numFmtId="3" fontId="12" fillId="3" borderId="9" xfId="52" applyNumberFormat="1" applyFill="1" applyBorder="1"/>
    <xf numFmtId="164" fontId="12" fillId="3" borderId="9" xfId="52" applyNumberFormat="1" applyFill="1" applyBorder="1"/>
    <xf numFmtId="3" fontId="12" fillId="2" borderId="13" xfId="52" applyNumberFormat="1" applyFill="1" applyBorder="1"/>
    <xf numFmtId="10" fontId="12" fillId="2" borderId="2" xfId="53" applyNumberFormat="1" applyFont="1" applyFill="1" applyBorder="1" applyProtection="1"/>
    <xf numFmtId="166" fontId="12" fillId="2" borderId="9" xfId="50" applyNumberFormat="1" applyFont="1" applyFill="1" applyBorder="1"/>
    <xf numFmtId="0" fontId="12" fillId="0" borderId="0" xfId="52"/>
    <xf numFmtId="0" fontId="30" fillId="0" borderId="0" xfId="2" applyFont="1"/>
    <xf numFmtId="164" fontId="29" fillId="2" borderId="2" xfId="2" applyNumberFormat="1" applyFill="1" applyBorder="1" applyProtection="1">
      <protection locked="0"/>
    </xf>
    <xf numFmtId="164" fontId="29" fillId="2" borderId="2" xfId="2" applyNumberFormat="1" applyFill="1" applyBorder="1"/>
    <xf numFmtId="164" fontId="29" fillId="0" borderId="2" xfId="2" applyNumberFormat="1" applyFill="1" applyBorder="1"/>
    <xf numFmtId="164" fontId="29" fillId="0" borderId="3" xfId="2" applyNumberFormat="1" applyFill="1" applyBorder="1"/>
    <xf numFmtId="164" fontId="29" fillId="3" borderId="11" xfId="2" applyNumberFormat="1" applyFill="1" applyBorder="1"/>
    <xf numFmtId="164" fontId="29" fillId="5" borderId="2" xfId="2" applyNumberFormat="1" applyFill="1" applyBorder="1" applyProtection="1"/>
    <xf numFmtId="164" fontId="29" fillId="3" borderId="4" xfId="2" applyNumberFormat="1" applyFill="1" applyBorder="1" applyProtection="1"/>
    <xf numFmtId="164" fontId="29" fillId="2" borderId="2" xfId="2" applyNumberFormat="1" applyFill="1" applyBorder="1" applyProtection="1"/>
    <xf numFmtId="164" fontId="29" fillId="2" borderId="4" xfId="2" applyNumberFormat="1" applyFill="1" applyBorder="1" applyProtection="1"/>
    <xf numFmtId="164" fontId="29" fillId="3" borderId="2" xfId="2" applyNumberFormat="1" applyFill="1" applyBorder="1"/>
    <xf numFmtId="3" fontId="29" fillId="2" borderId="2" xfId="2" applyNumberFormat="1" applyFill="1" applyBorder="1" applyProtection="1"/>
    <xf numFmtId="0" fontId="29" fillId="0" borderId="1" xfId="2" applyBorder="1" applyAlignment="1">
      <alignment horizontal="left"/>
    </xf>
    <xf numFmtId="7" fontId="29" fillId="2" borderId="2" xfId="2" applyNumberFormat="1" applyFill="1" applyBorder="1" applyProtection="1">
      <protection locked="0"/>
    </xf>
    <xf numFmtId="164" fontId="29" fillId="2" borderId="4" xfId="2" applyNumberFormat="1" applyFill="1" applyBorder="1" applyProtection="1">
      <protection locked="0"/>
    </xf>
    <xf numFmtId="164" fontId="29" fillId="3" borderId="9" xfId="2" applyNumberFormat="1" applyFill="1" applyBorder="1"/>
    <xf numFmtId="167" fontId="29" fillId="2" borderId="9" xfId="2" applyNumberFormat="1" applyFill="1" applyBorder="1"/>
    <xf numFmtId="10" fontId="12" fillId="2" borderId="2" xfId="15" applyNumberFormat="1" applyFont="1" applyFill="1" applyBorder="1" applyProtection="1"/>
    <xf numFmtId="168" fontId="29" fillId="0" borderId="0" xfId="33" applyNumberFormat="1" applyFont="1"/>
    <xf numFmtId="168" fontId="30" fillId="0" borderId="0" xfId="33" applyNumberFormat="1" applyFont="1" applyAlignment="1">
      <alignment horizontal="center" wrapText="1"/>
    </xf>
    <xf numFmtId="0" fontId="59" fillId="0" borderId="0" xfId="2" applyFont="1" applyAlignment="1">
      <alignment horizontal="left"/>
    </xf>
    <xf numFmtId="0" fontId="59" fillId="0" borderId="0" xfId="2" applyFont="1" applyAlignment="1">
      <alignment horizontal="right"/>
    </xf>
    <xf numFmtId="3" fontId="29" fillId="2" borderId="2" xfId="2" applyNumberFormat="1" applyFill="1" applyBorder="1" applyProtection="1">
      <protection locked="0"/>
    </xf>
    <xf numFmtId="168" fontId="29" fillId="2" borderId="2" xfId="33" applyNumberFormat="1" applyFont="1" applyFill="1" applyBorder="1" applyProtection="1">
      <protection locked="0"/>
    </xf>
    <xf numFmtId="168" fontId="29" fillId="2" borderId="4" xfId="33" applyNumberFormat="1" applyFont="1" applyFill="1" applyBorder="1" applyProtection="1">
      <protection locked="0"/>
    </xf>
    <xf numFmtId="168" fontId="29" fillId="2" borderId="2" xfId="33" applyNumberFormat="1" applyFont="1" applyFill="1" applyBorder="1"/>
    <xf numFmtId="3" fontId="29" fillId="2" borderId="2" xfId="2" applyNumberFormat="1" applyFont="1" applyFill="1" applyBorder="1" applyProtection="1">
      <protection locked="0"/>
    </xf>
    <xf numFmtId="168" fontId="29" fillId="0" borderId="2" xfId="33" applyNumberFormat="1" applyFont="1" applyFill="1" applyBorder="1"/>
    <xf numFmtId="3" fontId="29" fillId="2" borderId="2" xfId="2" applyNumberFormat="1" applyFill="1" applyBorder="1"/>
    <xf numFmtId="3" fontId="29" fillId="0" borderId="3" xfId="2" applyNumberFormat="1" applyFill="1" applyBorder="1"/>
    <xf numFmtId="168" fontId="29" fillId="0" borderId="3" xfId="33" applyNumberFormat="1" applyFont="1" applyFill="1" applyBorder="1"/>
    <xf numFmtId="168" fontId="29" fillId="3" borderId="11" xfId="33" applyNumberFormat="1" applyFont="1" applyFill="1" applyBorder="1"/>
    <xf numFmtId="168" fontId="29" fillId="2" borderId="2" xfId="33" applyNumberFormat="1" applyFont="1" applyFill="1" applyBorder="1" applyProtection="1"/>
    <xf numFmtId="1" fontId="29" fillId="2" borderId="2" xfId="2" applyNumberFormat="1" applyFill="1" applyBorder="1"/>
    <xf numFmtId="0" fontId="29" fillId="0" borderId="3" xfId="2" applyBorder="1"/>
    <xf numFmtId="168" fontId="29" fillId="0" borderId="3" xfId="33" applyNumberFormat="1" applyFont="1" applyBorder="1"/>
    <xf numFmtId="168" fontId="29" fillId="3" borderId="4" xfId="33" applyNumberFormat="1" applyFont="1" applyFill="1" applyBorder="1" applyProtection="1"/>
    <xf numFmtId="0" fontId="29" fillId="0" borderId="12" xfId="2" applyBorder="1"/>
    <xf numFmtId="168" fontId="29" fillId="0" borderId="12" xfId="33" applyNumberFormat="1" applyFont="1" applyBorder="1"/>
    <xf numFmtId="168" fontId="30" fillId="0" borderId="0" xfId="33" applyNumberFormat="1" applyFont="1" applyBorder="1" applyAlignment="1">
      <alignment horizontal="center" wrapText="1"/>
    </xf>
    <xf numFmtId="168" fontId="29" fillId="3" borderId="0" xfId="33" applyNumberFormat="1" applyFont="1" applyFill="1" applyBorder="1"/>
    <xf numFmtId="168" fontId="29" fillId="3" borderId="0" xfId="33" applyNumberFormat="1" applyFont="1" applyFill="1" applyBorder="1" applyProtection="1"/>
    <xf numFmtId="0" fontId="29" fillId="2" borderId="2" xfId="2" applyFill="1" applyBorder="1" applyProtection="1">
      <protection locked="0"/>
    </xf>
    <xf numFmtId="3" fontId="29" fillId="2" borderId="9" xfId="2" applyNumberFormat="1" applyFill="1" applyBorder="1" applyProtection="1">
      <protection locked="0"/>
    </xf>
    <xf numFmtId="168" fontId="29" fillId="2" borderId="9" xfId="33" applyNumberFormat="1" applyFont="1" applyFill="1" applyBorder="1" applyProtection="1">
      <protection locked="0"/>
    </xf>
    <xf numFmtId="49" fontId="29" fillId="2" borderId="8" xfId="2" applyNumberFormat="1" applyFill="1" applyBorder="1" applyAlignment="1" applyProtection="1">
      <protection locked="0"/>
    </xf>
    <xf numFmtId="168" fontId="29" fillId="3" borderId="0" xfId="33" applyNumberFormat="1" applyFont="1" applyFill="1" applyBorder="1" applyProtection="1">
      <protection locked="0"/>
    </xf>
    <xf numFmtId="0" fontId="29" fillId="2" borderId="2" xfId="2" applyFill="1" applyBorder="1" applyProtection="1"/>
    <xf numFmtId="168" fontId="29" fillId="2" borderId="4" xfId="33" applyNumberFormat="1" applyFont="1" applyFill="1" applyBorder="1" applyProtection="1"/>
    <xf numFmtId="168" fontId="29" fillId="3" borderId="2" xfId="33" applyNumberFormat="1" applyFont="1" applyFill="1" applyBorder="1"/>
    <xf numFmtId="3" fontId="29" fillId="2" borderId="10" xfId="2" applyNumberFormat="1" applyFill="1" applyBorder="1" applyProtection="1">
      <protection locked="0"/>
    </xf>
    <xf numFmtId="0" fontId="58" fillId="0" borderId="1" xfId="2" applyFont="1" applyBorder="1" applyAlignment="1">
      <alignment horizontal="left"/>
    </xf>
    <xf numFmtId="0" fontId="30" fillId="0" borderId="1" xfId="2" applyFont="1" applyBorder="1"/>
    <xf numFmtId="0" fontId="29" fillId="0" borderId="1" xfId="2" applyBorder="1"/>
    <xf numFmtId="167" fontId="29" fillId="2" borderId="2" xfId="2" applyNumberFormat="1" applyFill="1" applyBorder="1" applyProtection="1">
      <protection locked="0"/>
    </xf>
    <xf numFmtId="10" fontId="29" fillId="2" borderId="2" xfId="2" applyNumberFormat="1" applyFill="1" applyBorder="1" applyProtection="1">
      <protection locked="0"/>
    </xf>
    <xf numFmtId="167" fontId="29" fillId="2" borderId="2" xfId="2" applyNumberFormat="1" applyFill="1" applyBorder="1" applyProtection="1"/>
    <xf numFmtId="0" fontId="58" fillId="0" borderId="0" xfId="2" applyFont="1"/>
    <xf numFmtId="3" fontId="29" fillId="2" borderId="9" xfId="2" applyNumberFormat="1" applyFill="1" applyBorder="1"/>
    <xf numFmtId="168" fontId="29" fillId="2" borderId="9" xfId="33" applyNumberFormat="1" applyFont="1" applyFill="1" applyBorder="1"/>
    <xf numFmtId="3" fontId="29" fillId="3" borderId="9" xfId="2" applyNumberFormat="1" applyFill="1" applyBorder="1"/>
    <xf numFmtId="168" fontId="29" fillId="3" borderId="9" xfId="33" applyNumberFormat="1" applyFont="1" applyFill="1" applyBorder="1"/>
    <xf numFmtId="3" fontId="29" fillId="2" borderId="13" xfId="2" applyNumberFormat="1" applyFill="1" applyBorder="1"/>
    <xf numFmtId="168" fontId="29" fillId="2" borderId="13" xfId="33" applyNumberFormat="1" applyFont="1" applyFill="1" applyBorder="1"/>
    <xf numFmtId="10" fontId="29" fillId="2" borderId="2" xfId="1" applyNumberFormat="1" applyFont="1" applyFill="1" applyBorder="1" applyProtection="1"/>
    <xf numFmtId="0" fontId="0" fillId="0" borderId="0" xfId="0"/>
    <xf numFmtId="0" fontId="30" fillId="0" borderId="0" xfId="0" applyFont="1"/>
    <xf numFmtId="0" fontId="0" fillId="0" borderId="0" xfId="0"/>
    <xf numFmtId="0" fontId="30" fillId="0" borderId="0" xfId="0" applyFont="1"/>
    <xf numFmtId="0" fontId="0" fillId="0" borderId="0" xfId="0"/>
    <xf numFmtId="0" fontId="30" fillId="0" borderId="0" xfId="0" applyFont="1"/>
    <xf numFmtId="0" fontId="12" fillId="0" borderId="0" xfId="52"/>
    <xf numFmtId="0" fontId="30" fillId="0" borderId="0" xfId="52" applyFont="1"/>
    <xf numFmtId="0" fontId="30" fillId="0" borderId="1" xfId="52" applyFont="1" applyBorder="1"/>
    <xf numFmtId="3" fontId="43" fillId="0" borderId="0" xfId="52" applyNumberFormat="1" applyFont="1"/>
    <xf numFmtId="0" fontId="0" fillId="0" borderId="0" xfId="0"/>
    <xf numFmtId="0" fontId="0" fillId="0" borderId="0" xfId="0"/>
    <xf numFmtId="0" fontId="30" fillId="0" borderId="0" xfId="0" applyFont="1"/>
    <xf numFmtId="0" fontId="30" fillId="0" borderId="0" xfId="0" applyFont="1"/>
    <xf numFmtId="0" fontId="0" fillId="0" borderId="0" xfId="0"/>
    <xf numFmtId="0" fontId="30" fillId="0" borderId="0" xfId="0" applyFont="1"/>
    <xf numFmtId="164" fontId="0" fillId="3" borderId="4" xfId="0" applyNumberFormat="1" applyFill="1" applyBorder="1" applyProtection="1"/>
    <xf numFmtId="0" fontId="0" fillId="0" borderId="0" xfId="0"/>
    <xf numFmtId="0" fontId="0" fillId="0" borderId="0" xfId="0" applyBorder="1"/>
    <xf numFmtId="0" fontId="0" fillId="0" borderId="1" xfId="0" applyBorder="1" applyAlignment="1">
      <alignment horizontal="left"/>
    </xf>
    <xf numFmtId="0" fontId="30"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3" borderId="11" xfId="0" applyNumberFormat="1" applyFill="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9" fillId="2" borderId="2" xfId="0" applyNumberFormat="1" applyFont="1" applyFill="1" applyBorder="1" applyProtection="1">
      <protection locked="0"/>
    </xf>
    <xf numFmtId="164" fontId="0" fillId="2" borderId="4" xfId="0" applyNumberFormat="1" applyFill="1" applyBorder="1" applyProtection="1"/>
    <xf numFmtId="10" fontId="0" fillId="2" borderId="2" xfId="1" applyNumberFormat="1" applyFont="1" applyFill="1" applyBorder="1" applyProtection="1"/>
    <xf numFmtId="0" fontId="0" fillId="0" borderId="0" xfId="0"/>
    <xf numFmtId="0" fontId="29" fillId="0" borderId="0" xfId="0" applyFont="1"/>
    <xf numFmtId="0" fontId="30" fillId="0" borderId="0" xfId="0" applyFont="1"/>
    <xf numFmtId="0" fontId="0" fillId="0" borderId="0" xfId="0" applyBorder="1"/>
    <xf numFmtId="164" fontId="0" fillId="0" borderId="2" xfId="0" applyNumberFormat="1" applyFill="1" applyBorder="1"/>
    <xf numFmtId="0" fontId="29" fillId="0" borderId="0" xfId="0" applyFont="1" applyFill="1" applyBorder="1"/>
    <xf numFmtId="164" fontId="0" fillId="0" borderId="0" xfId="0" applyNumberFormat="1"/>
    <xf numFmtId="164" fontId="68" fillId="0" borderId="0" xfId="0" applyNumberFormat="1" applyFont="1"/>
    <xf numFmtId="164" fontId="29" fillId="0" borderId="0" xfId="0" applyNumberFormat="1" applyFont="1"/>
    <xf numFmtId="166" fontId="30" fillId="0" borderId="0" xfId="38" applyNumberFormat="1" applyFont="1"/>
    <xf numFmtId="166" fontId="0" fillId="0" borderId="0" xfId="38" applyNumberFormat="1" applyFont="1"/>
    <xf numFmtId="167" fontId="29" fillId="0" borderId="0" xfId="0" applyNumberFormat="1" applyFont="1"/>
    <xf numFmtId="166" fontId="0" fillId="0" borderId="0" xfId="38" applyNumberFormat="1" applyFont="1" applyFill="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12" fillId="0" borderId="0" xfId="52"/>
    <xf numFmtId="0" fontId="30" fillId="0" borderId="0" xfId="52" applyFont="1"/>
    <xf numFmtId="0" fontId="30" fillId="0" borderId="0" xfId="52" applyFont="1" applyAlignment="1">
      <alignment horizontal="right"/>
    </xf>
    <xf numFmtId="0" fontId="31" fillId="0" borderId="0" xfId="52" applyFont="1" applyFill="1" applyBorder="1" applyAlignment="1">
      <alignment horizontal="left"/>
    </xf>
    <xf numFmtId="0" fontId="30" fillId="0" borderId="0" xfId="52" applyFont="1" applyAlignment="1">
      <alignment horizontal="center" wrapText="1"/>
    </xf>
    <xf numFmtId="0" fontId="30" fillId="0" borderId="0" xfId="52" applyFont="1" applyAlignment="1">
      <alignment horizontal="left"/>
    </xf>
    <xf numFmtId="0" fontId="29" fillId="0" borderId="0" xfId="52" applyFont="1"/>
    <xf numFmtId="164" fontId="12" fillId="2" borderId="18" xfId="52" applyNumberFormat="1" applyFill="1" applyBorder="1" applyProtection="1">
      <protection locked="0"/>
    </xf>
    <xf numFmtId="164" fontId="12" fillId="2" borderId="16" xfId="52" applyNumberFormat="1" applyFill="1" applyBorder="1"/>
    <xf numFmtId="3" fontId="29" fillId="2" borderId="16" xfId="52" applyNumberFormat="1" applyFont="1" applyFill="1" applyBorder="1" applyProtection="1">
      <protection locked="0"/>
    </xf>
    <xf numFmtId="164" fontId="12" fillId="0" borderId="16" xfId="52" applyNumberFormat="1" applyFill="1" applyBorder="1"/>
    <xf numFmtId="3" fontId="12" fillId="2" borderId="16" xfId="52" applyNumberFormat="1" applyFill="1" applyBorder="1"/>
    <xf numFmtId="3" fontId="12" fillId="0" borderId="17" xfId="52" applyNumberFormat="1" applyFill="1" applyBorder="1"/>
    <xf numFmtId="164" fontId="12" fillId="0" borderId="17" xfId="52" applyNumberFormat="1" applyFill="1" applyBorder="1"/>
    <xf numFmtId="164" fontId="12" fillId="3" borderId="25" xfId="52" applyNumberFormat="1" applyFill="1" applyBorder="1"/>
    <xf numFmtId="0" fontId="29" fillId="0" borderId="0" xfId="52" applyFont="1" applyBorder="1"/>
    <xf numFmtId="0" fontId="12" fillId="0" borderId="0" xfId="52" applyBorder="1"/>
    <xf numFmtId="3" fontId="12" fillId="5" borderId="16" xfId="52" applyNumberFormat="1" applyFill="1" applyBorder="1" applyProtection="1">
      <protection locked="0"/>
    </xf>
    <xf numFmtId="164" fontId="12" fillId="5" borderId="18" xfId="52" applyNumberFormat="1" applyFill="1" applyBorder="1" applyProtection="1">
      <protection locked="0"/>
    </xf>
    <xf numFmtId="164" fontId="12" fillId="5" borderId="16" xfId="52" applyNumberFormat="1" applyFill="1" applyBorder="1" applyProtection="1"/>
    <xf numFmtId="1" fontId="12" fillId="2" borderId="16" xfId="52" applyNumberFormat="1" applyFill="1" applyBorder="1"/>
    <xf numFmtId="0" fontId="12" fillId="0" borderId="17" xfId="52" applyBorder="1"/>
    <xf numFmtId="164" fontId="12" fillId="3" borderId="18" xfId="52" applyNumberFormat="1" applyFill="1" applyBorder="1" applyProtection="1"/>
    <xf numFmtId="0" fontId="12" fillId="0" borderId="26" xfId="52" applyBorder="1"/>
    <xf numFmtId="0" fontId="30" fillId="0" borderId="0" xfId="52" applyFont="1" applyBorder="1" applyAlignment="1">
      <alignment horizontal="center" wrapText="1"/>
    </xf>
    <xf numFmtId="0" fontId="12" fillId="3" borderId="0" xfId="52" applyFill="1" applyBorder="1"/>
    <xf numFmtId="164" fontId="12" fillId="3" borderId="0" xfId="52" applyNumberFormat="1" applyFill="1" applyBorder="1" applyProtection="1"/>
    <xf numFmtId="164" fontId="12" fillId="3" borderId="0" xfId="52" applyNumberFormat="1" applyFill="1" applyBorder="1"/>
    <xf numFmtId="0" fontId="12" fillId="2" borderId="16" xfId="52" applyFill="1" applyBorder="1" applyProtection="1">
      <protection locked="0"/>
    </xf>
    <xf numFmtId="3" fontId="12" fillId="2" borderId="23" xfId="52" applyNumberFormat="1" applyFill="1" applyBorder="1" applyProtection="1">
      <protection locked="0"/>
    </xf>
    <xf numFmtId="164" fontId="12" fillId="2" borderId="23" xfId="52" applyNumberFormat="1" applyFill="1" applyBorder="1" applyProtection="1">
      <protection locked="0"/>
    </xf>
    <xf numFmtId="49" fontId="12" fillId="2" borderId="21" xfId="52" applyNumberFormat="1" applyFill="1" applyBorder="1" applyAlignment="1" applyProtection="1">
      <protection locked="0"/>
    </xf>
    <xf numFmtId="49" fontId="12" fillId="2" borderId="15" xfId="52" applyNumberFormat="1" applyFill="1" applyBorder="1" applyAlignment="1" applyProtection="1">
      <protection locked="0"/>
    </xf>
    <xf numFmtId="49" fontId="12" fillId="2" borderId="22" xfId="52" applyNumberFormat="1" applyFill="1" applyBorder="1" applyAlignment="1" applyProtection="1">
      <protection locked="0"/>
    </xf>
    <xf numFmtId="3" fontId="12" fillId="3" borderId="0" xfId="52" applyNumberFormat="1" applyFill="1" applyBorder="1" applyProtection="1">
      <protection locked="0"/>
    </xf>
    <xf numFmtId="164" fontId="12" fillId="3" borderId="0" xfId="52" applyNumberFormat="1" applyFill="1" applyBorder="1" applyProtection="1">
      <protection locked="0"/>
    </xf>
    <xf numFmtId="0" fontId="12" fillId="2" borderId="16" xfId="52" applyFill="1" applyBorder="1" applyProtection="1"/>
    <xf numFmtId="164" fontId="12" fillId="2" borderId="16" xfId="52" applyNumberFormat="1" applyFill="1" applyBorder="1" applyProtection="1"/>
    <xf numFmtId="164" fontId="12" fillId="3" borderId="16" xfId="52" applyNumberFormat="1" applyFill="1" applyBorder="1"/>
    <xf numFmtId="3" fontId="12" fillId="2" borderId="24" xfId="52" applyNumberFormat="1" applyFill="1" applyBorder="1" applyProtection="1">
      <protection locked="0"/>
    </xf>
    <xf numFmtId="164" fontId="12" fillId="2" borderId="24" xfId="52" applyNumberFormat="1" applyFill="1" applyBorder="1" applyProtection="1">
      <protection locked="0"/>
    </xf>
    <xf numFmtId="0" fontId="30" fillId="0" borderId="0" xfId="52" applyFont="1" applyBorder="1"/>
    <xf numFmtId="0" fontId="12" fillId="0" borderId="15" xfId="52" applyBorder="1" applyAlignment="1">
      <alignment horizontal="left"/>
    </xf>
    <xf numFmtId="0" fontId="30" fillId="0" borderId="15" xfId="52" applyFont="1" applyBorder="1"/>
    <xf numFmtId="0" fontId="12" fillId="0" borderId="15" xfId="52" applyBorder="1"/>
    <xf numFmtId="0" fontId="12" fillId="0" borderId="0" xfId="52" applyFill="1" applyBorder="1"/>
    <xf numFmtId="10" fontId="12" fillId="2" borderId="16" xfId="52" applyNumberFormat="1" applyFill="1" applyBorder="1" applyProtection="1">
      <protection locked="0"/>
    </xf>
    <xf numFmtId="3" fontId="12" fillId="2" borderId="23" xfId="52" applyNumberFormat="1" applyFill="1" applyBorder="1"/>
    <xf numFmtId="3" fontId="12" fillId="3" borderId="23" xfId="52" applyNumberFormat="1" applyFill="1" applyBorder="1"/>
    <xf numFmtId="3" fontId="12" fillId="2" borderId="27" xfId="52" applyNumberFormat="1" applyFill="1" applyBorder="1"/>
    <xf numFmtId="10" fontId="12" fillId="2" borderId="16" xfId="53" applyNumberFormat="1" applyFont="1" applyFill="1" applyBorder="1" applyProtection="1"/>
    <xf numFmtId="166" fontId="12" fillId="0" borderId="0" xfId="50" applyNumberFormat="1" applyFont="1" applyBorder="1"/>
    <xf numFmtId="167" fontId="12" fillId="2" borderId="16" xfId="52" applyNumberFormat="1" applyFill="1" applyBorder="1"/>
    <xf numFmtId="167" fontId="12" fillId="0" borderId="26" xfId="52" applyNumberFormat="1" applyBorder="1"/>
    <xf numFmtId="167" fontId="12" fillId="0" borderId="0" xfId="52" applyNumberFormat="1"/>
    <xf numFmtId="166" fontId="12" fillId="2" borderId="16" xfId="50" applyNumberFormat="1" applyFont="1" applyFill="1" applyBorder="1"/>
    <xf numFmtId="164" fontId="12" fillId="0" borderId="0" xfId="52" applyNumberFormat="1"/>
    <xf numFmtId="0" fontId="12" fillId="0" borderId="0" xfId="52" applyFill="1"/>
    <xf numFmtId="166" fontId="12" fillId="0" borderId="0" xfId="50" applyNumberFormat="1" applyFont="1" applyFill="1" applyBorder="1"/>
    <xf numFmtId="42" fontId="12" fillId="0" borderId="0" xfId="52" applyNumberFormat="1" applyFill="1" applyAlignment="1">
      <alignment wrapText="1"/>
    </xf>
    <xf numFmtId="0" fontId="12" fillId="0" borderId="0" xfId="52" applyFont="1" applyFill="1" applyBorder="1" applyAlignment="1">
      <alignment horizontal="left" wrapText="1"/>
    </xf>
    <xf numFmtId="0" fontId="12" fillId="0" borderId="0" xfId="52" applyFill="1" applyBorder="1" applyAlignment="1">
      <alignment horizontal="left" wrapText="1"/>
    </xf>
    <xf numFmtId="0" fontId="70" fillId="0" borderId="0" xfId="52" applyFont="1" applyFill="1" applyBorder="1" applyAlignment="1">
      <alignment horizontal="center" wrapText="1"/>
    </xf>
    <xf numFmtId="166" fontId="12" fillId="0" borderId="0" xfId="50" applyNumberFormat="1" applyFont="1" applyFill="1"/>
    <xf numFmtId="168" fontId="12" fillId="0" borderId="0" xfId="51" applyNumberFormat="1" applyFont="1" applyFill="1" applyBorder="1"/>
    <xf numFmtId="0" fontId="71" fillId="0" borderId="0" xfId="52" applyFont="1" applyFill="1" applyBorder="1" applyAlignment="1">
      <alignment horizontal="left" vertical="justify" wrapText="1"/>
    </xf>
    <xf numFmtId="3" fontId="12" fillId="0" borderId="0" xfId="52" applyNumberFormat="1"/>
    <xf numFmtId="167" fontId="12" fillId="2" borderId="16" xfId="52" applyNumberFormat="1" applyFill="1" applyBorder="1" applyProtection="1">
      <protection locked="0"/>
    </xf>
    <xf numFmtId="167" fontId="12" fillId="2" borderId="16" xfId="52" applyNumberFormat="1" applyFill="1" applyBorder="1" applyProtection="1"/>
    <xf numFmtId="0" fontId="0" fillId="0" borderId="0" xfId="0"/>
    <xf numFmtId="0" fontId="30" fillId="0" borderId="0" xfId="0" applyFont="1"/>
    <xf numFmtId="0" fontId="0" fillId="0" borderId="0" xfId="0"/>
    <xf numFmtId="0" fontId="30" fillId="0" borderId="0" xfId="0" applyFont="1"/>
    <xf numFmtId="0" fontId="72" fillId="0" borderId="0" xfId="57"/>
    <xf numFmtId="0" fontId="29" fillId="0" borderId="0" xfId="2" applyAlignment="1">
      <alignment horizontal="center"/>
    </xf>
    <xf numFmtId="164" fontId="29" fillId="0" borderId="17" xfId="2" applyNumberFormat="1" applyFill="1" applyBorder="1"/>
    <xf numFmtId="166" fontId="29" fillId="2" borderId="16" xfId="37" applyNumberFormat="1" applyFont="1" applyFill="1" applyBorder="1"/>
    <xf numFmtId="49" fontId="29" fillId="2" borderId="18" xfId="57" quotePrefix="1" applyNumberFormat="1" applyFont="1" applyFill="1" applyBorder="1" applyAlignment="1" applyProtection="1">
      <alignment horizontal="left"/>
      <protection locked="0"/>
    </xf>
    <xf numFmtId="49" fontId="37" fillId="2" borderId="19" xfId="57" quotePrefix="1" applyNumberFormat="1" applyFont="1" applyFill="1" applyBorder="1" applyAlignment="1" applyProtection="1">
      <alignment horizontal="left"/>
      <protection locked="0"/>
    </xf>
    <xf numFmtId="49" fontId="37" fillId="2" borderId="20" xfId="57" quotePrefix="1" applyNumberFormat="1" applyFont="1" applyFill="1" applyBorder="1" applyAlignment="1" applyProtection="1">
      <alignment horizontal="left"/>
      <protection locked="0"/>
    </xf>
    <xf numFmtId="49" fontId="29" fillId="2" borderId="18" xfId="57" applyNumberFormat="1" applyFont="1" applyFill="1" applyBorder="1" applyAlignment="1" applyProtection="1">
      <alignment horizontal="left"/>
      <protection locked="0"/>
    </xf>
    <xf numFmtId="49" fontId="37" fillId="2" borderId="19" xfId="57" applyNumberFormat="1" applyFont="1" applyFill="1" applyBorder="1" applyAlignment="1" applyProtection="1">
      <alignment horizontal="left"/>
      <protection locked="0"/>
    </xf>
    <xf numFmtId="49" fontId="37" fillId="2" borderId="20" xfId="57" applyNumberFormat="1" applyFont="1" applyFill="1" applyBorder="1" applyAlignment="1" applyProtection="1">
      <alignment horizontal="left"/>
      <protection locked="0"/>
    </xf>
    <xf numFmtId="164" fontId="29" fillId="2" borderId="23" xfId="2" applyNumberFormat="1" applyFill="1" applyBorder="1" applyProtection="1">
      <protection locked="0"/>
    </xf>
    <xf numFmtId="3" fontId="29" fillId="2" borderId="16" xfId="2" applyNumberFormat="1" applyFill="1" applyBorder="1" applyProtection="1"/>
    <xf numFmtId="7" fontId="29" fillId="2" borderId="23" xfId="2" applyNumberFormat="1" applyFill="1" applyBorder="1"/>
    <xf numFmtId="7" fontId="29" fillId="2" borderId="16" xfId="2" applyNumberFormat="1" applyFill="1" applyBorder="1"/>
    <xf numFmtId="10" fontId="29" fillId="2" borderId="16" xfId="15" applyNumberFormat="1" applyFont="1" applyFill="1" applyBorder="1" applyProtection="1"/>
    <xf numFmtId="7" fontId="66" fillId="0" borderId="0" xfId="57" applyNumberFormat="1" applyFont="1"/>
    <xf numFmtId="168" fontId="0" fillId="0" borderId="0" xfId="55" applyNumberFormat="1" applyFont="1"/>
    <xf numFmtId="168" fontId="30" fillId="0" borderId="0" xfId="55" applyNumberFormat="1" applyFont="1" applyAlignment="1">
      <alignment horizontal="center" wrapText="1"/>
    </xf>
    <xf numFmtId="168" fontId="0" fillId="2" borderId="16" xfId="55" applyNumberFormat="1" applyFont="1" applyFill="1" applyBorder="1" applyProtection="1">
      <protection locked="0"/>
    </xf>
    <xf numFmtId="168" fontId="0" fillId="2" borderId="18" xfId="55" applyNumberFormat="1" applyFont="1" applyFill="1" applyBorder="1" applyProtection="1">
      <protection locked="0"/>
    </xf>
    <xf numFmtId="168" fontId="0" fillId="2" borderId="16" xfId="55" applyNumberFormat="1" applyFont="1" applyFill="1" applyBorder="1"/>
    <xf numFmtId="168" fontId="0" fillId="0" borderId="17" xfId="55" applyNumberFormat="1" applyFont="1" applyFill="1" applyBorder="1"/>
    <xf numFmtId="168" fontId="0" fillId="0" borderId="17" xfId="55" applyNumberFormat="1" applyFont="1" applyBorder="1"/>
    <xf numFmtId="168" fontId="0" fillId="3" borderId="18" xfId="55" applyNumberFormat="1" applyFont="1" applyFill="1" applyBorder="1" applyProtection="1"/>
    <xf numFmtId="168" fontId="0" fillId="0" borderId="26" xfId="55" applyNumberFormat="1" applyFont="1" applyBorder="1"/>
    <xf numFmtId="168" fontId="30" fillId="0" borderId="0" xfId="55" applyNumberFormat="1" applyFont="1" applyBorder="1" applyAlignment="1">
      <alignment horizontal="center" wrapText="1"/>
    </xf>
    <xf numFmtId="168" fontId="0" fillId="3" borderId="0" xfId="55" applyNumberFormat="1" applyFont="1" applyFill="1" applyBorder="1"/>
    <xf numFmtId="168" fontId="0" fillId="3" borderId="0" xfId="55" applyNumberFormat="1" applyFont="1" applyFill="1" applyBorder="1" applyProtection="1"/>
    <xf numFmtId="168" fontId="0" fillId="2" borderId="23" xfId="55" applyNumberFormat="1" applyFont="1" applyFill="1" applyBorder="1" applyProtection="1">
      <protection locked="0"/>
    </xf>
    <xf numFmtId="168" fontId="0" fillId="3" borderId="0" xfId="55" applyNumberFormat="1" applyFont="1" applyFill="1" applyBorder="1" applyProtection="1">
      <protection locked="0"/>
    </xf>
    <xf numFmtId="168" fontId="0" fillId="2" borderId="16" xfId="55" applyNumberFormat="1" applyFont="1" applyFill="1" applyBorder="1" applyProtection="1"/>
    <xf numFmtId="168" fontId="0" fillId="2" borderId="18" xfId="55" applyNumberFormat="1" applyFont="1" applyFill="1" applyBorder="1" applyProtection="1"/>
    <xf numFmtId="166" fontId="0" fillId="2" borderId="16" xfId="56" applyNumberFormat="1" applyFont="1" applyFill="1" applyBorder="1" applyProtection="1">
      <protection locked="0"/>
    </xf>
    <xf numFmtId="167" fontId="0" fillId="2" borderId="16" xfId="0" applyNumberFormat="1" applyFill="1" applyBorder="1" applyProtection="1">
      <protection locked="0"/>
    </xf>
    <xf numFmtId="167" fontId="0" fillId="2" borderId="16" xfId="0" applyNumberFormat="1" applyFill="1" applyBorder="1" applyProtection="1"/>
    <xf numFmtId="167" fontId="0" fillId="0" borderId="0" xfId="0" applyNumberFormat="1"/>
    <xf numFmtId="168" fontId="0" fillId="2" borderId="23" xfId="55" applyNumberFormat="1" applyFont="1" applyFill="1" applyBorder="1"/>
    <xf numFmtId="168" fontId="0" fillId="3" borderId="23" xfId="55" applyNumberFormat="1" applyFont="1" applyFill="1" applyBorder="1"/>
    <xf numFmtId="0" fontId="0" fillId="0" borderId="0" xfId="0"/>
    <xf numFmtId="0" fontId="30" fillId="0" borderId="0" xfId="0" applyFont="1"/>
    <xf numFmtId="0" fontId="0" fillId="0" borderId="0" xfId="0"/>
    <xf numFmtId="0" fontId="30" fillId="0" borderId="0" xfId="0" applyFont="1"/>
    <xf numFmtId="0" fontId="0" fillId="0" borderId="0" xfId="0"/>
    <xf numFmtId="0" fontId="30" fillId="0" borderId="0" xfId="0" applyFont="1"/>
    <xf numFmtId="0" fontId="0" fillId="0" borderId="0" xfId="0"/>
    <xf numFmtId="0" fontId="30" fillId="0" borderId="0" xfId="0" applyFont="1"/>
    <xf numFmtId="0" fontId="29" fillId="0" borderId="0" xfId="2" applyAlignment="1">
      <alignment horizontal="left"/>
    </xf>
    <xf numFmtId="0" fontId="33" fillId="0" borderId="0" xfId="2" applyFont="1" applyAlignment="1">
      <alignment horizontal="left"/>
    </xf>
    <xf numFmtId="168" fontId="30" fillId="0" borderId="0" xfId="58" applyNumberFormat="1" applyFont="1" applyAlignment="1">
      <alignment horizontal="center" wrapText="1"/>
    </xf>
    <xf numFmtId="168" fontId="29" fillId="2" borderId="16" xfId="58" applyNumberFormat="1" applyFont="1" applyFill="1" applyBorder="1" applyProtection="1">
      <protection locked="0"/>
    </xf>
    <xf numFmtId="168" fontId="29" fillId="2" borderId="18" xfId="58" applyNumberFormat="1" applyFont="1" applyFill="1" applyBorder="1" applyProtection="1">
      <protection locked="0"/>
    </xf>
    <xf numFmtId="3" fontId="29" fillId="2" borderId="16" xfId="2" applyNumberFormat="1" applyFont="1" applyFill="1" applyBorder="1" applyProtection="1">
      <protection locked="0"/>
    </xf>
    <xf numFmtId="168" fontId="29" fillId="2" borderId="16" xfId="58" applyNumberFormat="1" applyFont="1" applyFill="1" applyBorder="1"/>
    <xf numFmtId="3" fontId="29" fillId="0" borderId="17" xfId="2" applyNumberFormat="1" applyFill="1" applyBorder="1"/>
    <xf numFmtId="168" fontId="29" fillId="0" borderId="17" xfId="58" applyNumberFormat="1" applyFont="1" applyFill="1" applyBorder="1"/>
    <xf numFmtId="164" fontId="29" fillId="3" borderId="25" xfId="2" applyNumberFormat="1" applyFill="1" applyBorder="1"/>
    <xf numFmtId="168" fontId="29" fillId="0" borderId="17" xfId="58" applyNumberFormat="1" applyFont="1" applyBorder="1"/>
    <xf numFmtId="49" fontId="29" fillId="2" borderId="18" xfId="2" applyNumberFormat="1" applyFont="1" applyFill="1" applyBorder="1" applyAlignment="1" applyProtection="1">
      <alignment horizontal="left"/>
      <protection locked="0"/>
    </xf>
    <xf numFmtId="168" fontId="29" fillId="3" borderId="0" xfId="58" applyNumberFormat="1" applyFont="1" applyFill="1" applyBorder="1"/>
    <xf numFmtId="168" fontId="29" fillId="3" borderId="0" xfId="58" applyNumberFormat="1" applyFont="1" applyFill="1" applyBorder="1" applyProtection="1"/>
    <xf numFmtId="0" fontId="29" fillId="2" borderId="16" xfId="2" applyFill="1" applyBorder="1" applyProtection="1">
      <protection locked="0"/>
    </xf>
    <xf numFmtId="3" fontId="29" fillId="2" borderId="23" xfId="2" applyNumberFormat="1" applyFill="1" applyBorder="1" applyProtection="1">
      <protection locked="0"/>
    </xf>
    <xf numFmtId="168" fontId="29" fillId="3" borderId="0" xfId="58" applyNumberFormat="1" applyFont="1" applyFill="1" applyBorder="1" applyProtection="1">
      <protection locked="0"/>
    </xf>
    <xf numFmtId="168" fontId="29" fillId="2" borderId="16" xfId="58" applyNumberFormat="1" applyFont="1" applyFill="1" applyBorder="1" applyProtection="1"/>
    <xf numFmtId="168" fontId="29" fillId="2" borderId="18" xfId="58" applyNumberFormat="1" applyFont="1" applyFill="1" applyBorder="1" applyProtection="1"/>
    <xf numFmtId="167" fontId="29" fillId="2" borderId="16" xfId="2" applyNumberFormat="1" applyFill="1" applyBorder="1" applyProtection="1">
      <protection locked="0"/>
    </xf>
    <xf numFmtId="167" fontId="29" fillId="2" borderId="16" xfId="2" applyNumberFormat="1" applyFill="1" applyBorder="1" applyProtection="1"/>
    <xf numFmtId="167" fontId="29" fillId="0" borderId="0" xfId="2" applyNumberFormat="1"/>
    <xf numFmtId="168" fontId="29" fillId="2" borderId="23" xfId="58" applyNumberFormat="1" applyFont="1" applyFill="1" applyBorder="1"/>
    <xf numFmtId="0" fontId="0" fillId="0" borderId="0" xfId="0"/>
    <xf numFmtId="0" fontId="0" fillId="0" borderId="0" xfId="0"/>
    <xf numFmtId="0" fontId="30" fillId="0" borderId="0" xfId="0" applyFont="1"/>
    <xf numFmtId="0" fontId="0" fillId="0" borderId="0" xfId="0"/>
    <xf numFmtId="0" fontId="30" fillId="0" borderId="0" xfId="0" applyFont="1"/>
    <xf numFmtId="0" fontId="0" fillId="0" borderId="0" xfId="0"/>
    <xf numFmtId="0" fontId="30" fillId="0" borderId="0" xfId="0" applyFont="1"/>
    <xf numFmtId="0" fontId="0" fillId="0" borderId="0" xfId="0"/>
    <xf numFmtId="0" fontId="30" fillId="0" borderId="0" xfId="0" applyFont="1"/>
    <xf numFmtId="6" fontId="0" fillId="2" borderId="16" xfId="0" applyNumberFormat="1" applyFill="1" applyBorder="1" applyProtection="1">
      <protection locked="0"/>
    </xf>
    <xf numFmtId="164" fontId="29" fillId="2" borderId="16" xfId="0" applyNumberFormat="1" applyFont="1" applyFill="1" applyBorder="1" applyAlignment="1" applyProtection="1">
      <alignment wrapText="1"/>
      <protection locked="0"/>
    </xf>
    <xf numFmtId="10" fontId="29" fillId="2" borderId="16" xfId="0" applyNumberFormat="1" applyFont="1" applyFill="1" applyBorder="1" applyProtection="1">
      <protection locked="0"/>
    </xf>
    <xf numFmtId="0" fontId="30" fillId="0" borderId="0" xfId="0" applyFont="1"/>
    <xf numFmtId="0" fontId="0" fillId="0" borderId="0" xfId="0"/>
    <xf numFmtId="0" fontId="30" fillId="0" borderId="0" xfId="0" applyFont="1"/>
    <xf numFmtId="0" fontId="0" fillId="0" borderId="0" xfId="0"/>
    <xf numFmtId="0" fontId="30" fillId="0" borderId="0" xfId="0" applyFont="1"/>
    <xf numFmtId="44" fontId="0" fillId="2" borderId="16" xfId="0" applyNumberFormat="1" applyFill="1" applyBorder="1" applyProtection="1">
      <protection locked="0"/>
    </xf>
    <xf numFmtId="0" fontId="0" fillId="0" borderId="0" xfId="0"/>
    <xf numFmtId="0" fontId="30" fillId="0" borderId="0" xfId="0" applyFont="1"/>
    <xf numFmtId="0" fontId="0" fillId="0" borderId="0" xfId="0"/>
    <xf numFmtId="0" fontId="30" fillId="0" borderId="0" xfId="0" applyFont="1"/>
    <xf numFmtId="0" fontId="0" fillId="0" borderId="0" xfId="0"/>
    <xf numFmtId="0" fontId="30" fillId="0" borderId="0" xfId="0" applyFont="1"/>
    <xf numFmtId="164" fontId="29" fillId="2" borderId="16" xfId="0" applyNumberFormat="1" applyFont="1" applyFill="1" applyBorder="1" applyProtection="1">
      <protection locked="0"/>
    </xf>
    <xf numFmtId="0" fontId="0" fillId="0" borderId="0" xfId="0"/>
    <xf numFmtId="0" fontId="0" fillId="0" borderId="0" xfId="0"/>
    <xf numFmtId="0" fontId="30" fillId="0" borderId="0" xfId="0" applyFont="1"/>
    <xf numFmtId="3" fontId="12" fillId="2" borderId="16" xfId="52" applyNumberFormat="1" applyFill="1" applyBorder="1" applyProtection="1">
      <protection locked="0"/>
    </xf>
    <xf numFmtId="164" fontId="12" fillId="2" borderId="16" xfId="52" applyNumberFormat="1" applyFill="1" applyBorder="1" applyProtection="1">
      <protection locked="0"/>
    </xf>
    <xf numFmtId="0" fontId="30" fillId="0" borderId="0" xfId="0" applyFont="1"/>
    <xf numFmtId="0" fontId="0" fillId="0" borderId="0" xfId="0"/>
    <xf numFmtId="0" fontId="30" fillId="0" borderId="0" xfId="0" applyFont="1"/>
    <xf numFmtId="0" fontId="11" fillId="0" borderId="0" xfId="62"/>
    <xf numFmtId="0" fontId="30" fillId="0" borderId="0" xfId="62" applyFont="1"/>
    <xf numFmtId="0" fontId="30" fillId="0" borderId="0" xfId="62" applyFont="1" applyAlignment="1">
      <alignment horizontal="right"/>
    </xf>
    <xf numFmtId="0" fontId="31" fillId="0" borderId="0" xfId="62" applyFont="1" applyFill="1" applyBorder="1" applyAlignment="1">
      <alignment horizontal="left"/>
    </xf>
    <xf numFmtId="0" fontId="30" fillId="0" borderId="0" xfId="62" applyFont="1" applyAlignment="1">
      <alignment horizontal="center" wrapText="1"/>
    </xf>
    <xf numFmtId="0" fontId="29" fillId="0" borderId="0" xfId="62" applyFont="1"/>
    <xf numFmtId="3" fontId="11" fillId="2" borderId="16" xfId="62" applyNumberFormat="1" applyFill="1" applyBorder="1" applyProtection="1">
      <protection locked="0"/>
    </xf>
    <xf numFmtId="164" fontId="11" fillId="2" borderId="16" xfId="62" applyNumberFormat="1" applyFill="1" applyBorder="1" applyProtection="1">
      <protection locked="0"/>
    </xf>
    <xf numFmtId="164" fontId="11" fillId="2" borderId="16" xfId="62" applyNumberFormat="1" applyFill="1" applyBorder="1"/>
    <xf numFmtId="164" fontId="11" fillId="2" borderId="18" xfId="62" applyNumberFormat="1" applyFill="1" applyBorder="1" applyProtection="1">
      <protection locked="0"/>
    </xf>
    <xf numFmtId="164" fontId="11" fillId="0" borderId="16" xfId="62" applyNumberFormat="1" applyFill="1" applyBorder="1"/>
    <xf numFmtId="3" fontId="11" fillId="2" borderId="16" xfId="62" applyNumberFormat="1" applyFill="1" applyBorder="1"/>
    <xf numFmtId="3" fontId="11" fillId="0" borderId="17" xfId="62" applyNumberFormat="1" applyFill="1" applyBorder="1"/>
    <xf numFmtId="164" fontId="11" fillId="0" borderId="17" xfId="62" applyNumberFormat="1" applyFill="1" applyBorder="1"/>
    <xf numFmtId="164" fontId="11" fillId="3" borderId="25" xfId="62" applyNumberFormat="1" applyFill="1" applyBorder="1"/>
    <xf numFmtId="0" fontId="29" fillId="0" borderId="0" xfId="62" applyFont="1" applyBorder="1"/>
    <xf numFmtId="0" fontId="11" fillId="0" borderId="0" xfId="62" applyBorder="1"/>
    <xf numFmtId="164" fontId="11" fillId="5" borderId="18" xfId="62" applyNumberFormat="1" applyFill="1" applyBorder="1" applyProtection="1">
      <protection locked="0"/>
    </xf>
    <xf numFmtId="3" fontId="11" fillId="5" borderId="16" xfId="62" applyNumberFormat="1" applyFill="1" applyBorder="1" applyProtection="1">
      <protection locked="0"/>
    </xf>
    <xf numFmtId="164" fontId="11" fillId="5" borderId="16" xfId="62" applyNumberFormat="1" applyFill="1" applyBorder="1" applyProtection="1"/>
    <xf numFmtId="1" fontId="11" fillId="2" borderId="16" xfId="62" applyNumberFormat="1" applyFill="1" applyBorder="1"/>
    <xf numFmtId="0" fontId="11" fillId="0" borderId="17" xfId="62" applyBorder="1"/>
    <xf numFmtId="164" fontId="11" fillId="3" borderId="18" xfId="62" applyNumberFormat="1" applyFill="1" applyBorder="1" applyProtection="1"/>
    <xf numFmtId="0" fontId="11" fillId="0" borderId="26" xfId="62" applyBorder="1"/>
    <xf numFmtId="0" fontId="30" fillId="0" borderId="0" xfId="62" applyFont="1" applyBorder="1" applyAlignment="1">
      <alignment horizontal="center" wrapText="1"/>
    </xf>
    <xf numFmtId="0" fontId="11" fillId="3" borderId="0" xfId="62" applyFill="1" applyBorder="1"/>
    <xf numFmtId="164" fontId="11" fillId="3" borderId="0" xfId="62" applyNumberFormat="1" applyFill="1" applyBorder="1" applyProtection="1"/>
    <xf numFmtId="164" fontId="11" fillId="3" borderId="0" xfId="62" applyNumberFormat="1" applyFill="1" applyBorder="1"/>
    <xf numFmtId="3" fontId="11" fillId="2" borderId="23" xfId="62" applyNumberFormat="1" applyFill="1" applyBorder="1" applyProtection="1">
      <protection locked="0"/>
    </xf>
    <xf numFmtId="164" fontId="11" fillId="2" borderId="23" xfId="62" applyNumberFormat="1" applyFill="1" applyBorder="1" applyProtection="1">
      <protection locked="0"/>
    </xf>
    <xf numFmtId="49" fontId="11" fillId="2" borderId="21" xfId="62" applyNumberFormat="1" applyFill="1" applyBorder="1" applyAlignment="1" applyProtection="1">
      <protection locked="0"/>
    </xf>
    <xf numFmtId="49" fontId="11" fillId="2" borderId="15" xfId="62" applyNumberFormat="1" applyFill="1" applyBorder="1" applyAlignment="1" applyProtection="1">
      <protection locked="0"/>
    </xf>
    <xf numFmtId="49" fontId="11" fillId="2" borderId="22" xfId="62" applyNumberFormat="1" applyFill="1" applyBorder="1" applyAlignment="1" applyProtection="1">
      <protection locked="0"/>
    </xf>
    <xf numFmtId="3" fontId="11" fillId="3" borderId="0" xfId="62" applyNumberFormat="1" applyFill="1" applyBorder="1" applyProtection="1">
      <protection locked="0"/>
    </xf>
    <xf numFmtId="164" fontId="11" fillId="3" borderId="0" xfId="62" applyNumberFormat="1" applyFill="1" applyBorder="1" applyProtection="1">
      <protection locked="0"/>
    </xf>
    <xf numFmtId="0" fontId="11" fillId="2" borderId="16" xfId="62" applyFill="1" applyBorder="1" applyProtection="1"/>
    <xf numFmtId="164" fontId="11" fillId="2" borderId="18" xfId="62" applyNumberFormat="1" applyFill="1" applyBorder="1" applyProtection="1"/>
    <xf numFmtId="164" fontId="11" fillId="2" borderId="16" xfId="62" applyNumberFormat="1" applyFill="1" applyBorder="1" applyProtection="1"/>
    <xf numFmtId="164" fontId="11" fillId="3" borderId="16" xfId="62" applyNumberFormat="1" applyFill="1" applyBorder="1"/>
    <xf numFmtId="3" fontId="11" fillId="2" borderId="24" xfId="62" applyNumberFormat="1" applyFill="1" applyBorder="1" applyProtection="1">
      <protection locked="0"/>
    </xf>
    <xf numFmtId="164" fontId="11" fillId="2" borderId="24" xfId="62" applyNumberFormat="1" applyFill="1" applyBorder="1" applyProtection="1">
      <protection locked="0"/>
    </xf>
    <xf numFmtId="0" fontId="30" fillId="0" borderId="0" xfId="62" applyFont="1" applyBorder="1"/>
    <xf numFmtId="0" fontId="30" fillId="0" borderId="15" xfId="62" applyFont="1" applyBorder="1"/>
    <xf numFmtId="0" fontId="11" fillId="0" borderId="15" xfId="62" applyBorder="1"/>
    <xf numFmtId="0" fontId="11" fillId="0" borderId="0" xfId="62" applyFill="1" applyBorder="1"/>
    <xf numFmtId="3" fontId="11" fillId="2" borderId="23" xfId="62" applyNumberFormat="1" applyFill="1" applyBorder="1"/>
    <xf numFmtId="3" fontId="11" fillId="3" borderId="23" xfId="62" applyNumberFormat="1" applyFill="1" applyBorder="1"/>
    <xf numFmtId="164" fontId="11" fillId="3" borderId="23" xfId="62" applyNumberFormat="1" applyFill="1" applyBorder="1"/>
    <xf numFmtId="164" fontId="11" fillId="2" borderId="23" xfId="62" applyNumberFormat="1" applyFill="1" applyBorder="1"/>
    <xf numFmtId="3" fontId="11" fillId="2" borderId="27" xfId="62" applyNumberFormat="1" applyFill="1" applyBorder="1"/>
    <xf numFmtId="10" fontId="11" fillId="2" borderId="16" xfId="63" applyNumberFormat="1" applyFont="1" applyFill="1" applyBorder="1" applyProtection="1"/>
    <xf numFmtId="0" fontId="0" fillId="0" borderId="0" xfId="0"/>
    <xf numFmtId="0" fontId="30" fillId="0" borderId="0" xfId="0" applyFont="1"/>
    <xf numFmtId="0" fontId="0" fillId="0" borderId="0" xfId="0"/>
    <xf numFmtId="0" fontId="30" fillId="0" borderId="0" xfId="0" applyFont="1"/>
    <xf numFmtId="0" fontId="73" fillId="0" borderId="0" xfId="62" applyFont="1"/>
    <xf numFmtId="0" fontId="74" fillId="0" borderId="0" xfId="62" applyFont="1"/>
    <xf numFmtId="0" fontId="33" fillId="0" borderId="0" xfId="62" applyFont="1"/>
    <xf numFmtId="0" fontId="33" fillId="0" borderId="0" xfId="62" applyFont="1" applyAlignment="1">
      <alignment horizontal="right"/>
    </xf>
    <xf numFmtId="0" fontId="52" fillId="0" borderId="0" xfId="62" applyFont="1" applyFill="1" applyBorder="1" applyAlignment="1">
      <alignment horizontal="left"/>
    </xf>
    <xf numFmtId="0" fontId="33" fillId="0" borderId="0" xfId="62" applyFont="1" applyAlignment="1">
      <alignment horizontal="center" wrapText="1"/>
    </xf>
    <xf numFmtId="0" fontId="37" fillId="0" borderId="0" xfId="62" applyFont="1"/>
    <xf numFmtId="3" fontId="74" fillId="5" borderId="16" xfId="62" applyNumberFormat="1" applyFont="1" applyFill="1" applyBorder="1" applyProtection="1">
      <protection locked="0"/>
    </xf>
    <xf numFmtId="164" fontId="74" fillId="5" borderId="16" xfId="62" applyNumberFormat="1" applyFont="1" applyFill="1" applyBorder="1" applyProtection="1">
      <protection locked="0"/>
    </xf>
    <xf numFmtId="164" fontId="74" fillId="5" borderId="18" xfId="62" applyNumberFormat="1" applyFont="1" applyFill="1" applyBorder="1" applyProtection="1">
      <protection locked="0"/>
    </xf>
    <xf numFmtId="164" fontId="74" fillId="5" borderId="16" xfId="62" applyNumberFormat="1" applyFont="1" applyFill="1" applyBorder="1"/>
    <xf numFmtId="3" fontId="74" fillId="2" borderId="16" xfId="62" applyNumberFormat="1" applyFont="1" applyFill="1" applyBorder="1" applyProtection="1">
      <protection locked="0"/>
    </xf>
    <xf numFmtId="164" fontId="74" fillId="2" borderId="16" xfId="62" applyNumberFormat="1" applyFont="1" applyFill="1" applyBorder="1" applyProtection="1">
      <protection locked="0"/>
    </xf>
    <xf numFmtId="164" fontId="74" fillId="2" borderId="18" xfId="62" applyNumberFormat="1" applyFont="1" applyFill="1" applyBorder="1" applyProtection="1">
      <protection locked="0"/>
    </xf>
    <xf numFmtId="164" fontId="74" fillId="2" borderId="16" xfId="62" applyNumberFormat="1" applyFont="1" applyFill="1" applyBorder="1"/>
    <xf numFmtId="3" fontId="37" fillId="2" borderId="16" xfId="62" applyNumberFormat="1" applyFont="1" applyFill="1" applyBorder="1" applyProtection="1">
      <protection locked="0"/>
    </xf>
    <xf numFmtId="164" fontId="74" fillId="0" borderId="16" xfId="62" applyNumberFormat="1" applyFont="1" applyFill="1" applyBorder="1"/>
    <xf numFmtId="3" fontId="74" fillId="2" borderId="16" xfId="62" applyNumberFormat="1" applyFont="1" applyFill="1" applyBorder="1"/>
    <xf numFmtId="44" fontId="74" fillId="2" borderId="16" xfId="65" applyFont="1" applyFill="1" applyBorder="1"/>
    <xf numFmtId="3" fontId="74" fillId="0" borderId="17" xfId="62" applyNumberFormat="1" applyFont="1" applyFill="1" applyBorder="1"/>
    <xf numFmtId="164" fontId="74" fillId="0" borderId="17" xfId="62" applyNumberFormat="1" applyFont="1" applyFill="1" applyBorder="1"/>
    <xf numFmtId="164" fontId="74" fillId="3" borderId="25" xfId="62" applyNumberFormat="1" applyFont="1" applyFill="1" applyBorder="1"/>
    <xf numFmtId="0" fontId="37" fillId="0" borderId="0" xfId="62" applyFont="1" applyBorder="1"/>
    <xf numFmtId="0" fontId="74" fillId="0" borderId="0" xfId="62" applyFont="1" applyBorder="1"/>
    <xf numFmtId="44" fontId="74" fillId="5" borderId="16" xfId="65" applyFont="1" applyFill="1" applyBorder="1" applyProtection="1">
      <protection locked="0"/>
    </xf>
    <xf numFmtId="164" fontId="74" fillId="5" borderId="16" xfId="62" applyNumberFormat="1" applyFont="1" applyFill="1" applyBorder="1" applyProtection="1"/>
    <xf numFmtId="43" fontId="74" fillId="2" borderId="16" xfId="64" applyFont="1" applyFill="1" applyBorder="1"/>
    <xf numFmtId="1" fontId="74" fillId="2" borderId="16" xfId="62" applyNumberFormat="1" applyFont="1" applyFill="1" applyBorder="1"/>
    <xf numFmtId="0" fontId="74" fillId="0" borderId="17" xfId="62" applyFont="1" applyBorder="1"/>
    <xf numFmtId="0" fontId="74" fillId="5" borderId="16" xfId="62" applyFont="1" applyFill="1" applyBorder="1"/>
    <xf numFmtId="164" fontId="74" fillId="3" borderId="18" xfId="62" applyNumberFormat="1" applyFont="1" applyFill="1" applyBorder="1" applyProtection="1"/>
    <xf numFmtId="0" fontId="74" fillId="0" borderId="26" xfId="62" applyFont="1" applyBorder="1"/>
    <xf numFmtId="0" fontId="33" fillId="0" borderId="0" xfId="62" applyFont="1" applyBorder="1" applyAlignment="1">
      <alignment horizontal="center" wrapText="1"/>
    </xf>
    <xf numFmtId="0" fontId="74" fillId="3" borderId="0" xfId="62" applyFont="1" applyFill="1" applyBorder="1"/>
    <xf numFmtId="164" fontId="74" fillId="3" borderId="0" xfId="62" applyNumberFormat="1" applyFont="1" applyFill="1" applyBorder="1" applyProtection="1"/>
    <xf numFmtId="164" fontId="74" fillId="3" borderId="0" xfId="62" applyNumberFormat="1" applyFont="1" applyFill="1" applyBorder="1"/>
    <xf numFmtId="0" fontId="74" fillId="5" borderId="16" xfId="62" applyFont="1" applyFill="1" applyBorder="1" applyProtection="1">
      <protection locked="0"/>
    </xf>
    <xf numFmtId="8" fontId="74" fillId="5" borderId="16" xfId="62" applyNumberFormat="1" applyFont="1" applyFill="1" applyBorder="1" applyProtection="1">
      <protection locked="0"/>
    </xf>
    <xf numFmtId="0" fontId="74" fillId="2" borderId="16" xfId="62" applyFont="1" applyFill="1" applyBorder="1" applyProtection="1">
      <protection locked="0"/>
    </xf>
    <xf numFmtId="3" fontId="74" fillId="2" borderId="23" xfId="62" applyNumberFormat="1" applyFont="1" applyFill="1" applyBorder="1" applyProtection="1">
      <protection locked="0"/>
    </xf>
    <xf numFmtId="164" fontId="74" fillId="2" borderId="23" xfId="62" applyNumberFormat="1" applyFont="1" applyFill="1" applyBorder="1" applyProtection="1">
      <protection locked="0"/>
    </xf>
    <xf numFmtId="49" fontId="74" fillId="2" borderId="22" xfId="62" applyNumberFormat="1" applyFont="1" applyFill="1" applyBorder="1" applyAlignment="1" applyProtection="1">
      <protection locked="0"/>
    </xf>
    <xf numFmtId="3" fontId="74" fillId="3" borderId="0" xfId="62" applyNumberFormat="1" applyFont="1" applyFill="1" applyBorder="1" applyProtection="1">
      <protection locked="0"/>
    </xf>
    <xf numFmtId="164" fontId="74" fillId="3" borderId="0" xfId="62" applyNumberFormat="1" applyFont="1" applyFill="1" applyBorder="1" applyProtection="1">
      <protection locked="0"/>
    </xf>
    <xf numFmtId="0" fontId="74" fillId="2" borderId="16" xfId="62" applyFont="1" applyFill="1" applyBorder="1" applyProtection="1"/>
    <xf numFmtId="44" fontId="74" fillId="2" borderId="16" xfId="65" applyFont="1" applyFill="1" applyBorder="1" applyProtection="1"/>
    <xf numFmtId="164" fontId="74" fillId="2" borderId="18" xfId="62" applyNumberFormat="1" applyFont="1" applyFill="1" applyBorder="1" applyProtection="1"/>
    <xf numFmtId="164" fontId="74" fillId="2" borderId="16" xfId="62" applyNumberFormat="1" applyFont="1" applyFill="1" applyBorder="1" applyProtection="1"/>
    <xf numFmtId="164" fontId="74" fillId="3" borderId="16" xfId="62" applyNumberFormat="1" applyFont="1" applyFill="1" applyBorder="1"/>
    <xf numFmtId="3" fontId="74" fillId="2" borderId="24" xfId="62" applyNumberFormat="1" applyFont="1" applyFill="1" applyBorder="1" applyProtection="1">
      <protection locked="0"/>
    </xf>
    <xf numFmtId="164" fontId="74" fillId="2" borderId="24" xfId="62" applyNumberFormat="1" applyFont="1" applyFill="1" applyBorder="1" applyProtection="1">
      <protection locked="0"/>
    </xf>
    <xf numFmtId="0" fontId="33" fillId="0" borderId="0" xfId="62" applyFont="1" applyBorder="1"/>
    <xf numFmtId="0" fontId="74" fillId="0" borderId="0" xfId="62" applyFont="1" applyFill="1" applyBorder="1"/>
    <xf numFmtId="10" fontId="74" fillId="5" borderId="16" xfId="62" applyNumberFormat="1" applyFont="1" applyFill="1" applyBorder="1" applyProtection="1">
      <protection locked="0"/>
    </xf>
    <xf numFmtId="0" fontId="74" fillId="2" borderId="23" xfId="65" applyNumberFormat="1" applyFont="1" applyFill="1" applyBorder="1"/>
    <xf numFmtId="44" fontId="74" fillId="2" borderId="23" xfId="65" applyFont="1" applyFill="1" applyBorder="1"/>
    <xf numFmtId="1" fontId="74" fillId="2" borderId="23" xfId="65" applyNumberFormat="1" applyFont="1" applyFill="1" applyBorder="1"/>
    <xf numFmtId="0" fontId="74" fillId="2" borderId="16" xfId="65" applyNumberFormat="1" applyFont="1" applyFill="1" applyBorder="1"/>
    <xf numFmtId="0" fontId="74" fillId="3" borderId="23" xfId="62" applyNumberFormat="1" applyFont="1" applyFill="1" applyBorder="1"/>
    <xf numFmtId="164" fontId="74" fillId="3" borderId="23" xfId="62" applyNumberFormat="1" applyFont="1" applyFill="1" applyBorder="1"/>
    <xf numFmtId="164" fontId="74" fillId="5" borderId="23" xfId="62" applyNumberFormat="1" applyFont="1" applyFill="1" applyBorder="1"/>
    <xf numFmtId="3" fontId="74" fillId="0" borderId="23" xfId="62" applyNumberFormat="1" applyFont="1" applyFill="1" applyBorder="1"/>
    <xf numFmtId="0" fontId="74" fillId="0" borderId="23" xfId="62" applyNumberFormat="1" applyFont="1" applyFill="1" applyBorder="1"/>
    <xf numFmtId="3" fontId="74" fillId="5" borderId="16" xfId="62" applyNumberFormat="1" applyFont="1" applyFill="1" applyBorder="1"/>
    <xf numFmtId="0" fontId="74" fillId="0" borderId="26" xfId="62" applyNumberFormat="1" applyFont="1" applyBorder="1"/>
    <xf numFmtId="0" fontId="74" fillId="2" borderId="16" xfId="62" applyNumberFormat="1" applyFont="1" applyFill="1" applyBorder="1"/>
    <xf numFmtId="169" fontId="74" fillId="2" borderId="16" xfId="63" applyNumberFormat="1" applyFont="1" applyFill="1" applyBorder="1" applyProtection="1"/>
    <xf numFmtId="10" fontId="74" fillId="2" borderId="16" xfId="63" applyNumberFormat="1" applyFont="1" applyFill="1" applyBorder="1" applyProtection="1"/>
    <xf numFmtId="0" fontId="0" fillId="0" borderId="0" xfId="0"/>
    <xf numFmtId="0" fontId="30" fillId="0" borderId="0" xfId="0" applyFont="1"/>
    <xf numFmtId="0" fontId="0" fillId="0" borderId="0" xfId="0"/>
    <xf numFmtId="0" fontId="30" fillId="0" borderId="0" xfId="0" applyFont="1"/>
    <xf numFmtId="0" fontId="0" fillId="0" borderId="0" xfId="0"/>
    <xf numFmtId="0" fontId="0" fillId="0" borderId="0" xfId="0"/>
    <xf numFmtId="0" fontId="30" fillId="0" borderId="0" xfId="0" applyFont="1"/>
    <xf numFmtId="0" fontId="30" fillId="0" borderId="0" xfId="0" applyFont="1"/>
    <xf numFmtId="0" fontId="0" fillId="0" borderId="0" xfId="0" applyAlignment="1">
      <alignment horizontal="left"/>
    </xf>
    <xf numFmtId="0" fontId="0" fillId="0" borderId="0" xfId="0"/>
    <xf numFmtId="0" fontId="29" fillId="0" borderId="0" xfId="0" applyFont="1"/>
    <xf numFmtId="0" fontId="30" fillId="0" borderId="0" xfId="0" applyFont="1"/>
    <xf numFmtId="0" fontId="30" fillId="0" borderId="0" xfId="0" applyFont="1" applyAlignment="1">
      <alignment horizontal="centerContinuous"/>
    </xf>
    <xf numFmtId="0" fontId="0" fillId="0" borderId="0" xfId="0" applyAlignment="1">
      <alignment horizontal="centerContinuous"/>
    </xf>
    <xf numFmtId="0" fontId="30" fillId="0" borderId="0" xfId="0" applyFont="1" applyAlignment="1">
      <alignment horizontal="left"/>
    </xf>
    <xf numFmtId="0" fontId="31" fillId="0" borderId="0" xfId="0" applyFont="1" applyFill="1" applyBorder="1" applyAlignment="1">
      <alignment horizontal="left"/>
    </xf>
    <xf numFmtId="0" fontId="30" fillId="0" borderId="0" xfId="0" applyFont="1" applyAlignment="1">
      <alignment horizontal="center" wrapText="1"/>
    </xf>
    <xf numFmtId="0" fontId="0" fillId="0" borderId="0" xfId="0" applyBorder="1"/>
    <xf numFmtId="0" fontId="0" fillId="0" borderId="15" xfId="0" applyBorder="1" applyAlignment="1">
      <alignment horizontal="left"/>
    </xf>
    <xf numFmtId="0" fontId="30" fillId="0" borderId="15" xfId="0" applyFont="1" applyBorder="1"/>
    <xf numFmtId="0" fontId="0" fillId="0" borderId="15" xfId="0" applyBorder="1"/>
    <xf numFmtId="3" fontId="0" fillId="2" borderId="16" xfId="0" applyNumberFormat="1" applyFill="1" applyBorder="1" applyProtection="1">
      <protection locked="0"/>
    </xf>
    <xf numFmtId="164" fontId="0" fillId="2" borderId="16" xfId="0" applyNumberFormat="1" applyFill="1" applyBorder="1" applyProtection="1">
      <protection locked="0"/>
    </xf>
    <xf numFmtId="164" fontId="0" fillId="2" borderId="16" xfId="0" applyNumberFormat="1" applyFill="1" applyBorder="1"/>
    <xf numFmtId="164" fontId="0" fillId="2" borderId="16" xfId="0" applyNumberFormat="1" applyFill="1" applyBorder="1" applyProtection="1"/>
    <xf numFmtId="3" fontId="0" fillId="2" borderId="16" xfId="0" applyNumberFormat="1" applyFill="1" applyBorder="1"/>
    <xf numFmtId="3" fontId="0" fillId="0" borderId="17" xfId="0" applyNumberFormat="1" applyFill="1" applyBorder="1"/>
    <xf numFmtId="164" fontId="0" fillId="0" borderId="17" xfId="0" applyNumberFormat="1" applyFill="1" applyBorder="1"/>
    <xf numFmtId="0" fontId="0" fillId="2" borderId="16" xfId="0" applyFill="1" applyBorder="1" applyProtection="1"/>
    <xf numFmtId="1" fontId="0" fillId="2" borderId="16" xfId="0" applyNumberFormat="1" applyFill="1" applyBorder="1"/>
    <xf numFmtId="0" fontId="0" fillId="0" borderId="17" xfId="0" applyBorder="1"/>
    <xf numFmtId="10" fontId="0" fillId="2" borderId="16" xfId="0" applyNumberFormat="1" applyFill="1" applyBorder="1" applyProtection="1">
      <protection locked="0"/>
    </xf>
    <xf numFmtId="49" fontId="0" fillId="2" borderId="22" xfId="0" applyNumberFormat="1" applyFill="1" applyBorder="1" applyAlignment="1" applyProtection="1">
      <protection locked="0"/>
    </xf>
    <xf numFmtId="3" fontId="0" fillId="2" borderId="23" xfId="0" applyNumberFormat="1" applyFill="1" applyBorder="1" applyProtection="1">
      <protection locked="0"/>
    </xf>
    <xf numFmtId="164" fontId="0" fillId="2" borderId="23" xfId="0" applyNumberFormat="1" applyFill="1" applyBorder="1" applyProtection="1">
      <protection locked="0"/>
    </xf>
    <xf numFmtId="164" fontId="0" fillId="2" borderId="23" xfId="0" applyNumberFormat="1" applyFill="1" applyBorder="1"/>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3" borderId="16" xfId="0" applyNumberFormat="1" applyFill="1" applyBorder="1"/>
    <xf numFmtId="3" fontId="0" fillId="2" borderId="23" xfId="0" applyNumberFormat="1" applyFill="1" applyBorder="1"/>
    <xf numFmtId="3" fontId="0" fillId="3" borderId="23" xfId="0" applyNumberFormat="1" applyFill="1" applyBorder="1"/>
    <xf numFmtId="164" fontId="0" fillId="3" borderId="23" xfId="0" applyNumberFormat="1" applyFill="1" applyBorder="1"/>
    <xf numFmtId="164" fontId="0" fillId="0" borderId="16" xfId="0" applyNumberFormat="1" applyFill="1" applyBorder="1"/>
    <xf numFmtId="164" fontId="0" fillId="3" borderId="25" xfId="0" applyNumberFormat="1" applyFill="1" applyBorder="1"/>
    <xf numFmtId="164" fontId="0" fillId="3" borderId="18" xfId="0" applyNumberFormat="1" applyFill="1" applyBorder="1" applyProtection="1"/>
    <xf numFmtId="0" fontId="29" fillId="0" borderId="0" xfId="0" applyFont="1" applyBorder="1"/>
    <xf numFmtId="0" fontId="0" fillId="0" borderId="26" xfId="0" applyBorder="1"/>
    <xf numFmtId="3" fontId="0" fillId="2" borderId="27" xfId="0" applyNumberFormat="1" applyFill="1" applyBorder="1"/>
    <xf numFmtId="164" fontId="0" fillId="2" borderId="18" xfId="0" applyNumberFormat="1" applyFill="1" applyBorder="1" applyProtection="1">
      <protection locked="0"/>
    </xf>
    <xf numFmtId="0" fontId="0" fillId="2" borderId="16" xfId="0" applyFill="1" applyBorder="1" applyProtection="1">
      <protection locked="0"/>
    </xf>
    <xf numFmtId="3" fontId="29" fillId="2" borderId="16" xfId="0" applyNumberFormat="1" applyFont="1" applyFill="1" applyBorder="1" applyProtection="1">
      <protection locked="0"/>
    </xf>
    <xf numFmtId="164" fontId="0" fillId="2" borderId="18" xfId="0" applyNumberFormat="1" applyFill="1" applyBorder="1" applyProtection="1"/>
    <xf numFmtId="3" fontId="0" fillId="5" borderId="16" xfId="0" applyNumberFormat="1" applyFill="1" applyBorder="1" applyProtection="1">
      <protection locked="0"/>
    </xf>
    <xf numFmtId="164" fontId="0" fillId="5" borderId="18" xfId="0" applyNumberFormat="1" applyFill="1" applyBorder="1" applyProtection="1">
      <protection locked="0"/>
    </xf>
    <xf numFmtId="164" fontId="0" fillId="5" borderId="16" xfId="0" applyNumberFormat="1" applyFill="1" applyBorder="1" applyProtection="1"/>
    <xf numFmtId="0" fontId="30"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30" fillId="0" borderId="0" xfId="0" applyFont="1" applyBorder="1"/>
    <xf numFmtId="10" fontId="0" fillId="2" borderId="16" xfId="1" applyNumberFormat="1" applyFont="1" applyFill="1" applyBorder="1" applyProtection="1"/>
    <xf numFmtId="0" fontId="29" fillId="0" borderId="0" xfId="2"/>
    <xf numFmtId="0" fontId="29" fillId="0" borderId="0" xfId="2" applyFont="1"/>
    <xf numFmtId="0" fontId="30" fillId="0" borderId="0" xfId="2" applyFont="1"/>
    <xf numFmtId="0" fontId="30" fillId="0" borderId="0" xfId="2" applyFont="1" applyAlignment="1">
      <alignment horizontal="left"/>
    </xf>
    <xf numFmtId="0" fontId="31" fillId="0" borderId="0" xfId="2" applyFont="1" applyFill="1" applyBorder="1" applyAlignment="1">
      <alignment horizontal="left"/>
    </xf>
    <xf numFmtId="0" fontId="30" fillId="0" borderId="0" xfId="2" applyFont="1" applyAlignment="1">
      <alignment horizontal="center" wrapText="1"/>
    </xf>
    <xf numFmtId="0" fontId="29" fillId="0" borderId="0" xfId="2" applyBorder="1"/>
    <xf numFmtId="0" fontId="29" fillId="0" borderId="15" xfId="2" applyBorder="1" applyAlignment="1">
      <alignment horizontal="left"/>
    </xf>
    <xf numFmtId="0" fontId="30" fillId="0" borderId="15" xfId="2" applyFont="1" applyBorder="1"/>
    <xf numFmtId="0" fontId="29" fillId="0" borderId="15" xfId="2" applyBorder="1"/>
    <xf numFmtId="3" fontId="29" fillId="2" borderId="16" xfId="2" applyNumberFormat="1" applyFill="1" applyBorder="1" applyProtection="1">
      <protection locked="0"/>
    </xf>
    <xf numFmtId="164" fontId="29" fillId="2" borderId="16" xfId="2" applyNumberFormat="1" applyFill="1" applyBorder="1" applyProtection="1">
      <protection locked="0"/>
    </xf>
    <xf numFmtId="164" fontId="29" fillId="2" borderId="16" xfId="2" applyNumberFormat="1" applyFill="1" applyBorder="1"/>
    <xf numFmtId="164" fontId="29" fillId="2" borderId="16" xfId="2" applyNumberFormat="1" applyFill="1" applyBorder="1" applyProtection="1"/>
    <xf numFmtId="3" fontId="29" fillId="2" borderId="16" xfId="2" applyNumberFormat="1" applyFill="1" applyBorder="1"/>
    <xf numFmtId="0" fontId="29" fillId="2" borderId="16" xfId="2" applyFill="1" applyBorder="1" applyProtection="1"/>
    <xf numFmtId="0" fontId="29" fillId="0" borderId="0" xfId="2" applyFill="1" applyBorder="1"/>
    <xf numFmtId="1" fontId="29" fillId="2" borderId="16" xfId="2" applyNumberFormat="1" applyFill="1" applyBorder="1"/>
    <xf numFmtId="0" fontId="29" fillId="0" borderId="17" xfId="2" applyBorder="1"/>
    <xf numFmtId="10" fontId="29" fillId="2" borderId="16" xfId="2" applyNumberFormat="1" applyFill="1" applyBorder="1" applyProtection="1">
      <protection locked="0"/>
    </xf>
    <xf numFmtId="49" fontId="29" fillId="2" borderId="22" xfId="2" applyNumberFormat="1" applyFill="1" applyBorder="1" applyAlignment="1" applyProtection="1">
      <protection locked="0"/>
    </xf>
    <xf numFmtId="164" fontId="29" fillId="2" borderId="23" xfId="2" applyNumberFormat="1" applyFill="1" applyBorder="1"/>
    <xf numFmtId="164" fontId="29" fillId="3" borderId="16" xfId="2" applyNumberFormat="1" applyFill="1" applyBorder="1"/>
    <xf numFmtId="3" fontId="29" fillId="2" borderId="23" xfId="2" applyNumberFormat="1" applyFill="1" applyBorder="1"/>
    <xf numFmtId="3" fontId="29" fillId="3" borderId="23" xfId="2" applyNumberFormat="1" applyFill="1" applyBorder="1"/>
    <xf numFmtId="164" fontId="29" fillId="3" borderId="23" xfId="2" applyNumberFormat="1" applyFill="1" applyBorder="1"/>
    <xf numFmtId="164" fontId="29" fillId="0" borderId="16" xfId="2" applyNumberFormat="1" applyFill="1" applyBorder="1"/>
    <xf numFmtId="164" fontId="29" fillId="3" borderId="18" xfId="2" applyNumberFormat="1" applyFill="1" applyBorder="1" applyProtection="1"/>
    <xf numFmtId="0" fontId="29" fillId="0" borderId="0" xfId="2" applyFont="1" applyBorder="1"/>
    <xf numFmtId="0" fontId="29" fillId="0" borderId="26" xfId="2" applyBorder="1"/>
    <xf numFmtId="3" fontId="29" fillId="2" borderId="27" xfId="2" applyNumberFormat="1" applyFill="1" applyBorder="1"/>
    <xf numFmtId="164" fontId="29" fillId="2" borderId="18" xfId="2" applyNumberFormat="1" applyFill="1" applyBorder="1" applyProtection="1">
      <protection locked="0"/>
    </xf>
    <xf numFmtId="164" fontId="29" fillId="2" borderId="18" xfId="2" applyNumberFormat="1" applyFill="1" applyBorder="1" applyProtection="1"/>
    <xf numFmtId="164" fontId="29" fillId="5" borderId="16" xfId="2" applyNumberFormat="1" applyFill="1" applyBorder="1" applyProtection="1"/>
    <xf numFmtId="0" fontId="30" fillId="0" borderId="0" xfId="2" applyFont="1" applyBorder="1" applyAlignment="1">
      <alignment horizontal="center" wrapText="1"/>
    </xf>
    <xf numFmtId="0" fontId="29" fillId="3" borderId="0" xfId="2" applyFill="1" applyBorder="1"/>
    <xf numFmtId="164" fontId="29" fillId="3" borderId="0" xfId="2" applyNumberFormat="1" applyFill="1" applyBorder="1" applyProtection="1"/>
    <xf numFmtId="164" fontId="29" fillId="3" borderId="0" xfId="2" applyNumberFormat="1" applyFill="1" applyBorder="1"/>
    <xf numFmtId="3" fontId="29" fillId="3" borderId="0" xfId="2" applyNumberFormat="1" applyFill="1" applyBorder="1" applyProtection="1">
      <protection locked="0"/>
    </xf>
    <xf numFmtId="164" fontId="29" fillId="3" borderId="0" xfId="2" applyNumberFormat="1" applyFill="1" applyBorder="1" applyProtection="1">
      <protection locked="0"/>
    </xf>
    <xf numFmtId="0" fontId="30" fillId="0" borderId="0" xfId="2" applyFont="1" applyBorder="1"/>
    <xf numFmtId="10" fontId="29" fillId="2" borderId="16" xfId="1" applyNumberFormat="1" applyFont="1" applyFill="1" applyBorder="1" applyProtection="1"/>
    <xf numFmtId="7" fontId="29" fillId="2" borderId="16" xfId="2" applyNumberFormat="1" applyFont="1" applyFill="1" applyBorder="1" applyProtection="1">
      <protection locked="0"/>
    </xf>
    <xf numFmtId="3" fontId="29" fillId="0" borderId="26" xfId="2" applyNumberFormat="1" applyFill="1" applyBorder="1"/>
    <xf numFmtId="164" fontId="29" fillId="0" borderId="26" xfId="2" applyNumberFormat="1" applyFill="1" applyBorder="1"/>
    <xf numFmtId="0" fontId="30" fillId="0" borderId="0" xfId="0" applyFont="1" applyAlignment="1">
      <alignment horizontal="right"/>
    </xf>
    <xf numFmtId="0" fontId="0" fillId="0" borderId="0" xfId="0" applyFill="1" applyBorder="1"/>
    <xf numFmtId="164" fontId="0" fillId="0" borderId="0" xfId="0" applyNumberFormat="1"/>
    <xf numFmtId="0" fontId="0" fillId="0" borderId="0" xfId="0" applyFill="1"/>
    <xf numFmtId="3" fontId="0" fillId="0" borderId="0" xfId="0" applyNumberFormat="1" applyFill="1" applyBorder="1" applyProtection="1">
      <protection locked="0"/>
    </xf>
    <xf numFmtId="164" fontId="0" fillId="0" borderId="0" xfId="0" applyNumberFormat="1" applyFill="1" applyBorder="1" applyProtection="1">
      <protection locked="0"/>
    </xf>
    <xf numFmtId="164" fontId="0" fillId="0" borderId="0" xfId="0" applyNumberFormat="1" applyFill="1" applyBorder="1"/>
    <xf numFmtId="0" fontId="29" fillId="0" borderId="0" xfId="2"/>
    <xf numFmtId="0" fontId="30" fillId="0" borderId="0" xfId="2" applyFont="1" applyAlignment="1">
      <alignment horizontal="right"/>
    </xf>
    <xf numFmtId="0" fontId="0" fillId="0" borderId="0" xfId="0"/>
    <xf numFmtId="0" fontId="33" fillId="0" borderId="0" xfId="0" applyFont="1"/>
    <xf numFmtId="0" fontId="33" fillId="0" borderId="0" xfId="0" applyFont="1" applyAlignment="1">
      <alignment horizontal="left"/>
    </xf>
    <xf numFmtId="49" fontId="29" fillId="2" borderId="0" xfId="2" applyNumberFormat="1" applyFill="1" applyBorder="1" applyAlignment="1" applyProtection="1">
      <protection locked="0"/>
    </xf>
    <xf numFmtId="0" fontId="30" fillId="11" borderId="0" xfId="0" applyFont="1" applyFill="1"/>
    <xf numFmtId="0" fontId="0" fillId="11" borderId="0" xfId="0" applyFill="1"/>
    <xf numFmtId="166" fontId="0" fillId="0" borderId="0" xfId="38" applyNumberFormat="1" applyFont="1" applyFill="1" applyBorder="1"/>
    <xf numFmtId="167" fontId="29" fillId="0" borderId="0" xfId="0" applyNumberFormat="1" applyFont="1" applyFill="1" applyBorder="1"/>
    <xf numFmtId="0" fontId="37" fillId="0" borderId="0" xfId="2" applyFont="1" applyFill="1" applyBorder="1"/>
    <xf numFmtId="0" fontId="37" fillId="0" borderId="0" xfId="2" applyFont="1" applyFill="1"/>
    <xf numFmtId="164" fontId="29" fillId="3" borderId="28" xfId="2" applyNumberFormat="1" applyFill="1" applyBorder="1" applyProtection="1"/>
    <xf numFmtId="0" fontId="29" fillId="11" borderId="0" xfId="2" applyFill="1"/>
    <xf numFmtId="0" fontId="30" fillId="0" borderId="0" xfId="2" applyFont="1" applyFill="1" applyAlignment="1">
      <alignment horizontal="left"/>
    </xf>
    <xf numFmtId="0" fontId="30" fillId="0" borderId="0" xfId="2" applyFont="1" applyFill="1"/>
    <xf numFmtId="49" fontId="29" fillId="2" borderId="16" xfId="2" applyNumberFormat="1" applyFont="1" applyFill="1" applyBorder="1" applyAlignment="1" applyProtection="1">
      <protection locked="0"/>
    </xf>
    <xf numFmtId="3" fontId="30" fillId="5" borderId="9" xfId="20" applyNumberFormat="1" applyFont="1" applyFill="1" applyBorder="1" applyAlignment="1">
      <alignment horizontal="right" vertical="center"/>
    </xf>
    <xf numFmtId="5" fontId="36" fillId="0" borderId="2" xfId="3" applyNumberFormat="1" applyFont="1" applyBorder="1" applyAlignment="1">
      <alignment horizontal="right"/>
    </xf>
    <xf numFmtId="0" fontId="28" fillId="0" borderId="16" xfId="3" applyBorder="1"/>
    <xf numFmtId="0" fontId="28" fillId="10" borderId="0" xfId="3" applyFill="1"/>
    <xf numFmtId="0" fontId="22" fillId="10" borderId="0" xfId="3" applyFont="1" applyFill="1"/>
    <xf numFmtId="4" fontId="28" fillId="10" borderId="0" xfId="3" applyNumberFormat="1" applyFill="1"/>
    <xf numFmtId="166" fontId="28" fillId="10" borderId="0" xfId="18" applyNumberFormat="1" applyFont="1" applyFill="1"/>
    <xf numFmtId="9" fontId="28" fillId="10" borderId="0" xfId="1" applyNumberFormat="1" applyFont="1" applyFill="1"/>
    <xf numFmtId="10" fontId="28" fillId="10" borderId="0" xfId="1" applyNumberFormat="1" applyFont="1" applyFill="1"/>
    <xf numFmtId="0" fontId="42" fillId="10" borderId="0" xfId="3" applyFont="1" applyFill="1" applyBorder="1" applyAlignment="1">
      <alignment horizontal="left" vertical="center"/>
    </xf>
    <xf numFmtId="166" fontId="0" fillId="10" borderId="0" xfId="5" applyNumberFormat="1" applyFont="1" applyFill="1"/>
    <xf numFmtId="166" fontId="28" fillId="10" borderId="0" xfId="3" applyNumberFormat="1" applyFill="1"/>
    <xf numFmtId="9" fontId="0" fillId="10" borderId="0" xfId="6" applyFont="1" applyFill="1"/>
    <xf numFmtId="0" fontId="51" fillId="10" borderId="0" xfId="3" applyFont="1" applyFill="1"/>
    <xf numFmtId="38" fontId="28" fillId="10" borderId="0" xfId="3" applyNumberFormat="1" applyFill="1"/>
    <xf numFmtId="0" fontId="41" fillId="10" borderId="1" xfId="3" applyFont="1" applyFill="1" applyBorder="1" applyAlignment="1">
      <alignment horizontal="center"/>
    </xf>
    <xf numFmtId="0" fontId="41" fillId="10" borderId="1" xfId="3" applyFont="1" applyFill="1" applyBorder="1" applyAlignment="1">
      <alignment horizontal="center" wrapText="1"/>
    </xf>
    <xf numFmtId="5" fontId="28" fillId="10" borderId="0" xfId="3" applyNumberFormat="1" applyFill="1"/>
    <xf numFmtId="166" fontId="47" fillId="10" borderId="0" xfId="5" applyNumberFormat="1" applyFont="1" applyFill="1"/>
    <xf numFmtId="0" fontId="49" fillId="10" borderId="0" xfId="3" applyFont="1" applyFill="1"/>
    <xf numFmtId="38" fontId="49" fillId="10" borderId="0" xfId="3" applyNumberFormat="1" applyFont="1" applyFill="1"/>
    <xf numFmtId="5" fontId="49" fillId="10" borderId="0" xfId="3" applyNumberFormat="1" applyFont="1" applyFill="1"/>
    <xf numFmtId="0" fontId="28" fillId="10" borderId="0" xfId="3" applyFont="1" applyFill="1"/>
    <xf numFmtId="0" fontId="50" fillId="10" borderId="0" xfId="3" applyFont="1" applyFill="1"/>
    <xf numFmtId="166" fontId="49" fillId="10" borderId="0" xfId="3" applyNumberFormat="1" applyFont="1" applyFill="1"/>
    <xf numFmtId="168" fontId="46" fillId="10" borderId="0" xfId="8" applyNumberFormat="1" applyFont="1" applyFill="1"/>
    <xf numFmtId="44" fontId="49" fillId="10" borderId="0" xfId="8" applyFont="1" applyFill="1"/>
    <xf numFmtId="166" fontId="48" fillId="10" borderId="0" xfId="3" applyNumberFormat="1" applyFont="1" applyFill="1"/>
    <xf numFmtId="168" fontId="48" fillId="10" borderId="0" xfId="8" applyNumberFormat="1" applyFont="1" applyFill="1"/>
    <xf numFmtId="168" fontId="46" fillId="10" borderId="0" xfId="3" applyNumberFormat="1" applyFont="1" applyFill="1"/>
    <xf numFmtId="168" fontId="47" fillId="10" borderId="0" xfId="3" applyNumberFormat="1" applyFont="1" applyFill="1"/>
    <xf numFmtId="0" fontId="45" fillId="10" borderId="0" xfId="3" applyFont="1" applyFill="1"/>
    <xf numFmtId="10" fontId="44" fillId="10" borderId="0" xfId="6" applyNumberFormat="1" applyFont="1" applyFill="1"/>
    <xf numFmtId="0" fontId="10" fillId="0" borderId="0" xfId="7" applyFont="1"/>
    <xf numFmtId="0" fontId="40" fillId="0" borderId="0" xfId="7" applyFont="1"/>
    <xf numFmtId="38" fontId="10" fillId="0" borderId="0" xfId="7" applyNumberFormat="1" applyFont="1"/>
    <xf numFmtId="168" fontId="10" fillId="0" borderId="0" xfId="55" applyNumberFormat="1" applyFont="1"/>
    <xf numFmtId="167" fontId="36" fillId="0" borderId="2" xfId="3" applyNumberFormat="1" applyFont="1" applyFill="1" applyBorder="1"/>
    <xf numFmtId="167" fontId="0" fillId="0" borderId="2" xfId="8" applyNumberFormat="1" applyFont="1" applyFill="1" applyBorder="1"/>
    <xf numFmtId="10" fontId="0" fillId="0" borderId="2" xfId="6" applyNumberFormat="1" applyFont="1" applyFill="1" applyBorder="1"/>
    <xf numFmtId="167" fontId="36" fillId="0" borderId="2" xfId="8" applyNumberFormat="1" applyFont="1" applyFill="1" applyBorder="1"/>
    <xf numFmtId="10" fontId="36" fillId="0" borderId="2" xfId="6" applyNumberFormat="1" applyFont="1" applyFill="1" applyBorder="1" applyAlignment="1">
      <alignment horizontal="right"/>
    </xf>
    <xf numFmtId="0" fontId="28" fillId="0" borderId="1" xfId="3" applyFill="1" applyBorder="1" applyAlignment="1"/>
    <xf numFmtId="0" fontId="9" fillId="0" borderId="0" xfId="3" applyFont="1" applyAlignment="1">
      <alignment horizontal="center" wrapText="1"/>
    </xf>
    <xf numFmtId="0" fontId="9" fillId="0" borderId="0" xfId="3" applyFont="1"/>
    <xf numFmtId="0" fontId="63" fillId="0" borderId="0" xfId="3" applyFont="1" applyFill="1"/>
    <xf numFmtId="0" fontId="28" fillId="0" borderId="0" xfId="3" applyFill="1" applyAlignment="1">
      <alignment wrapText="1"/>
    </xf>
    <xf numFmtId="0" fontId="42" fillId="0" borderId="0" xfId="0" applyFont="1" applyFill="1" applyBorder="1" applyAlignment="1">
      <alignment horizontal="left" vertical="center" wrapText="1"/>
    </xf>
    <xf numFmtId="9" fontId="28" fillId="0" borderId="0" xfId="1" applyNumberFormat="1" applyFont="1" applyFill="1"/>
    <xf numFmtId="9" fontId="28" fillId="0" borderId="0" xfId="3" applyNumberFormat="1" applyFill="1"/>
    <xf numFmtId="0" fontId="41" fillId="0" borderId="0" xfId="3" applyFont="1" applyFill="1"/>
    <xf numFmtId="0" fontId="28" fillId="0" borderId="2" xfId="3" applyFill="1" applyBorder="1" applyAlignment="1">
      <alignment horizontal="right"/>
    </xf>
    <xf numFmtId="0" fontId="22" fillId="0" borderId="2" xfId="3" applyFont="1" applyFill="1" applyBorder="1" applyAlignment="1">
      <alignment horizontal="right"/>
    </xf>
    <xf numFmtId="6" fontId="28" fillId="0" borderId="0" xfId="3" applyNumberFormat="1" applyFill="1"/>
    <xf numFmtId="0" fontId="28" fillId="0" borderId="12" xfId="3" applyFill="1" applyBorder="1"/>
    <xf numFmtId="6" fontId="28" fillId="0" borderId="12" xfId="3" applyNumberFormat="1" applyFill="1" applyBorder="1"/>
    <xf numFmtId="0" fontId="28" fillId="0" borderId="4" xfId="3" applyFill="1" applyBorder="1" applyAlignment="1">
      <alignment horizontal="right"/>
    </xf>
    <xf numFmtId="0" fontId="28" fillId="0" borderId="2" xfId="3" applyFill="1" applyBorder="1" applyAlignment="1">
      <alignment horizontal="center" wrapText="1"/>
    </xf>
    <xf numFmtId="0" fontId="21" fillId="0" borderId="2" xfId="3" applyFont="1" applyFill="1" applyBorder="1" applyAlignment="1">
      <alignment horizontal="center" wrapText="1"/>
    </xf>
    <xf numFmtId="169" fontId="0" fillId="0" borderId="0" xfId="6" applyNumberFormat="1" applyFont="1" applyFill="1"/>
    <xf numFmtId="169" fontId="19" fillId="0" borderId="0" xfId="3" applyNumberFormat="1" applyFont="1" applyFill="1"/>
    <xf numFmtId="0" fontId="21" fillId="0" borderId="2" xfId="3" applyFont="1" applyFill="1" applyBorder="1" applyAlignment="1">
      <alignment horizontal="right"/>
    </xf>
    <xf numFmtId="0" fontId="21" fillId="0" borderId="2" xfId="3" applyFont="1" applyFill="1" applyBorder="1" applyAlignment="1">
      <alignment wrapText="1"/>
    </xf>
    <xf numFmtId="166" fontId="0" fillId="0" borderId="0" xfId="5" applyNumberFormat="1" applyFont="1" applyFill="1"/>
    <xf numFmtId="3" fontId="28" fillId="0" borderId="0" xfId="3" applyNumberFormat="1" applyFill="1"/>
    <xf numFmtId="166" fontId="0" fillId="0" borderId="0" xfId="18" applyNumberFormat="1" applyFont="1"/>
    <xf numFmtId="168" fontId="28" fillId="0" borderId="0" xfId="3" applyNumberFormat="1"/>
    <xf numFmtId="167" fontId="0" fillId="0" borderId="0" xfId="6" applyNumberFormat="1" applyFont="1" applyAlignment="1"/>
    <xf numFmtId="3" fontId="0" fillId="0" borderId="0" xfId="0" applyNumberFormat="1" applyFill="1"/>
    <xf numFmtId="3" fontId="28" fillId="0" borderId="0" xfId="3" applyNumberFormat="1" applyBorder="1"/>
    <xf numFmtId="0" fontId="8" fillId="0" borderId="2" xfId="3" applyFont="1" applyFill="1" applyBorder="1" applyAlignment="1">
      <alignment horizontal="center" wrapText="1"/>
    </xf>
    <xf numFmtId="168" fontId="29" fillId="0" borderId="0" xfId="20" applyNumberFormat="1" applyFont="1" applyFill="1" applyBorder="1"/>
    <xf numFmtId="3" fontId="0" fillId="0" borderId="0" xfId="0" applyNumberFormat="1"/>
    <xf numFmtId="164" fontId="29" fillId="0" borderId="0" xfId="2" applyNumberFormat="1"/>
    <xf numFmtId="9" fontId="28" fillId="0" borderId="0" xfId="1" applyFont="1" applyFill="1"/>
    <xf numFmtId="9" fontId="0" fillId="0" borderId="0" xfId="1" applyFont="1"/>
    <xf numFmtId="169" fontId="0" fillId="0" borderId="0" xfId="1" applyNumberFormat="1" applyFont="1"/>
    <xf numFmtId="10" fontId="0" fillId="0" borderId="0" xfId="1" applyNumberFormat="1" applyFont="1"/>
    <xf numFmtId="170" fontId="0" fillId="0" borderId="0" xfId="1" applyNumberFormat="1" applyFont="1"/>
    <xf numFmtId="10" fontId="29" fillId="0" borderId="0" xfId="1" applyNumberFormat="1"/>
    <xf numFmtId="49" fontId="32" fillId="2" borderId="4" xfId="0" applyNumberFormat="1" applyFont="1" applyFill="1" applyBorder="1" applyAlignment="1" applyProtection="1">
      <protection locked="0"/>
    </xf>
    <xf numFmtId="49" fontId="32" fillId="2" borderId="5" xfId="0" applyNumberFormat="1" applyFont="1" applyFill="1" applyBorder="1" applyAlignment="1" applyProtection="1">
      <protection locked="0"/>
    </xf>
    <xf numFmtId="49" fontId="32" fillId="2" borderId="6" xfId="0" applyNumberFormat="1" applyFont="1" applyFill="1" applyBorder="1" applyAlignment="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32" fillId="2" borderId="18" xfId="0" applyNumberFormat="1" applyFont="1" applyFill="1" applyBorder="1" applyAlignment="1" applyProtection="1">
      <protection locked="0"/>
    </xf>
    <xf numFmtId="49" fontId="32" fillId="2" borderId="19" xfId="0" applyNumberFormat="1" applyFont="1" applyFill="1" applyBorder="1" applyAlignment="1" applyProtection="1">
      <protection locked="0"/>
    </xf>
    <xf numFmtId="49" fontId="32" fillId="2" borderId="20" xfId="0" applyNumberFormat="1" applyFont="1" applyFill="1" applyBorder="1" applyAlignment="1" applyProtection="1">
      <protection locked="0"/>
    </xf>
    <xf numFmtId="49" fontId="0" fillId="2" borderId="18" xfId="0" applyNumberFormat="1" applyFill="1" applyBorder="1" applyAlignment="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15" xfId="0" applyNumberFormat="1" applyFill="1" applyBorder="1" applyAlignment="1" applyProtection="1">
      <protection locked="0"/>
    </xf>
    <xf numFmtId="166" fontId="0" fillId="0" borderId="0" xfId="5" applyNumberFormat="1" applyFont="1"/>
    <xf numFmtId="49" fontId="32" fillId="2" borderId="4" xfId="0" applyNumberFormat="1" applyFont="1" applyFill="1" applyBorder="1" applyAlignment="1" applyProtection="1">
      <protection locked="0"/>
    </xf>
    <xf numFmtId="49" fontId="32" fillId="2" borderId="5" xfId="0" applyNumberFormat="1" applyFont="1" applyFill="1" applyBorder="1" applyAlignment="1" applyProtection="1">
      <protection locked="0"/>
    </xf>
    <xf numFmtId="49" fontId="32" fillId="2" borderId="6" xfId="0" applyNumberFormat="1" applyFont="1" applyFill="1" applyBorder="1" applyAlignment="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12" fillId="2" borderId="4" xfId="52" applyNumberFormat="1" applyFill="1" applyBorder="1" applyAlignment="1" applyProtection="1">
      <protection locked="0"/>
    </xf>
    <xf numFmtId="49" fontId="12" fillId="2" borderId="5" xfId="52" applyNumberFormat="1" applyFill="1" applyBorder="1" applyAlignment="1" applyProtection="1">
      <protection locked="0"/>
    </xf>
    <xf numFmtId="49" fontId="12" fillId="2" borderId="6" xfId="52" applyNumberFormat="1" applyFill="1" applyBorder="1" applyAlignment="1" applyProtection="1">
      <protection locked="0"/>
    </xf>
    <xf numFmtId="49" fontId="32" fillId="2" borderId="4" xfId="52" applyNumberFormat="1" applyFont="1" applyFill="1" applyBorder="1" applyAlignment="1" applyProtection="1">
      <protection locked="0"/>
    </xf>
    <xf numFmtId="49" fontId="32" fillId="2" borderId="5" xfId="52" applyNumberFormat="1" applyFont="1" applyFill="1" applyBorder="1" applyAlignment="1" applyProtection="1">
      <protection locked="0"/>
    </xf>
    <xf numFmtId="49" fontId="32" fillId="2" borderId="6" xfId="52" applyNumberFormat="1" applyFont="1" applyFill="1" applyBorder="1" applyAlignment="1" applyProtection="1">
      <protection locked="0"/>
    </xf>
    <xf numFmtId="49" fontId="12" fillId="2" borderId="7" xfId="52" applyNumberFormat="1" applyFill="1" applyBorder="1" applyAlignment="1" applyProtection="1">
      <protection locked="0"/>
    </xf>
    <xf numFmtId="49" fontId="12" fillId="2" borderId="1" xfId="52" applyNumberFormat="1" applyFill="1" applyBorder="1" applyAlignment="1" applyProtection="1">
      <protection locked="0"/>
    </xf>
    <xf numFmtId="49" fontId="32" fillId="2" borderId="4" xfId="2" applyNumberFormat="1" applyFont="1" applyFill="1" applyBorder="1" applyAlignment="1" applyProtection="1">
      <protection locked="0"/>
    </xf>
    <xf numFmtId="49" fontId="32" fillId="2" borderId="5" xfId="2" applyNumberFormat="1" applyFont="1" applyFill="1" applyBorder="1" applyAlignment="1" applyProtection="1">
      <protection locked="0"/>
    </xf>
    <xf numFmtId="49" fontId="32" fillId="2" borderId="6" xfId="2" applyNumberFormat="1" applyFont="1" applyFill="1" applyBorder="1" applyAlignment="1" applyProtection="1">
      <protection locked="0"/>
    </xf>
    <xf numFmtId="49" fontId="29" fillId="2" borderId="4" xfId="2" applyNumberFormat="1" applyFill="1" applyBorder="1" applyAlignment="1" applyProtection="1">
      <protection locked="0"/>
    </xf>
    <xf numFmtId="49" fontId="29" fillId="2" borderId="5" xfId="2" applyNumberFormat="1" applyFill="1" applyBorder="1" applyAlignment="1" applyProtection="1">
      <protection locked="0"/>
    </xf>
    <xf numFmtId="49" fontId="29" fillId="2" borderId="6" xfId="2" applyNumberFormat="1" applyFill="1" applyBorder="1" applyAlignment="1" applyProtection="1">
      <protection locked="0"/>
    </xf>
    <xf numFmtId="49" fontId="29" fillId="2" borderId="7" xfId="2" applyNumberFormat="1" applyFill="1" applyBorder="1" applyAlignment="1" applyProtection="1">
      <protection locked="0"/>
    </xf>
    <xf numFmtId="49" fontId="29" fillId="2" borderId="1" xfId="2" applyNumberFormat="1" applyFill="1" applyBorder="1" applyAlignment="1" applyProtection="1">
      <protection locked="0"/>
    </xf>
    <xf numFmtId="49" fontId="29" fillId="2" borderId="4" xfId="2" applyNumberFormat="1" applyFont="1" applyFill="1" applyBorder="1" applyAlignment="1" applyProtection="1">
      <protection locked="0"/>
    </xf>
    <xf numFmtId="0" fontId="30" fillId="0" borderId="0" xfId="52" applyFont="1" applyAlignment="1">
      <alignment horizontal="center"/>
    </xf>
    <xf numFmtId="49" fontId="32" fillId="2" borderId="18" xfId="0" applyNumberFormat="1" applyFont="1" applyFill="1" applyBorder="1" applyAlignment="1" applyProtection="1">
      <protection locked="0"/>
    </xf>
    <xf numFmtId="49" fontId="32" fillId="2" borderId="19" xfId="0" applyNumberFormat="1" applyFont="1" applyFill="1" applyBorder="1" applyAlignment="1" applyProtection="1">
      <protection locked="0"/>
    </xf>
    <xf numFmtId="49" fontId="32" fillId="2" borderId="20" xfId="0" applyNumberFormat="1" applyFont="1" applyFill="1" applyBorder="1" applyAlignment="1" applyProtection="1">
      <protection locked="0"/>
    </xf>
    <xf numFmtId="49" fontId="0" fillId="2" borderId="18" xfId="0" applyNumberFormat="1" applyFill="1" applyBorder="1" applyAlignment="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15" xfId="0" applyNumberFormat="1" applyFill="1" applyBorder="1" applyAlignment="1" applyProtection="1">
      <protection locked="0"/>
    </xf>
    <xf numFmtId="0" fontId="30" fillId="0" borderId="0" xfId="2" applyFont="1" applyAlignment="1">
      <alignment horizontal="center"/>
    </xf>
    <xf numFmtId="49" fontId="29" fillId="2" borderId="18" xfId="0" applyNumberFormat="1" applyFont="1" applyFill="1" applyBorder="1" applyAlignment="1" applyProtection="1">
      <protection locked="0"/>
    </xf>
    <xf numFmtId="0" fontId="0" fillId="0" borderId="0" xfId="0" applyAlignment="1">
      <alignment horizontal="center"/>
    </xf>
    <xf numFmtId="0" fontId="30" fillId="0" borderId="0" xfId="0" applyFont="1" applyAlignment="1">
      <alignment horizontal="center"/>
    </xf>
    <xf numFmtId="49" fontId="0" fillId="2" borderId="28" xfId="0" applyNumberFormat="1" applyFill="1" applyBorder="1" applyAlignment="1" applyProtection="1">
      <protection locked="0"/>
    </xf>
    <xf numFmtId="0" fontId="12" fillId="0" borderId="0" xfId="52" applyAlignment="1">
      <alignment horizontal="center"/>
    </xf>
    <xf numFmtId="168" fontId="29" fillId="0" borderId="0" xfId="33" applyNumberFormat="1" applyFont="1" applyAlignment="1">
      <alignment horizontal="center"/>
    </xf>
    <xf numFmtId="0" fontId="59" fillId="0" borderId="0" xfId="2" applyFont="1" applyAlignment="1">
      <alignment horizontal="center"/>
    </xf>
    <xf numFmtId="49" fontId="32" fillId="2" borderId="4" xfId="0" applyNumberFormat="1" applyFont="1" applyFill="1" applyBorder="1" applyAlignment="1" applyProtection="1">
      <protection locked="0"/>
    </xf>
    <xf numFmtId="49" fontId="32" fillId="2" borderId="5" xfId="0" applyNumberFormat="1" applyFont="1" applyFill="1" applyBorder="1" applyAlignment="1" applyProtection="1">
      <protection locked="0"/>
    </xf>
    <xf numFmtId="49" fontId="32"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6" xfId="0" applyNumberFormat="1" applyFill="1" applyBorder="1" applyAlignment="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32" fillId="6" borderId="18" xfId="0" applyNumberFormat="1" applyFont="1" applyFill="1" applyBorder="1" applyAlignment="1" applyProtection="1">
      <protection locked="0"/>
    </xf>
    <xf numFmtId="49" fontId="32" fillId="6" borderId="19" xfId="0" applyNumberFormat="1" applyFont="1" applyFill="1" applyBorder="1" applyAlignment="1" applyProtection="1">
      <protection locked="0"/>
    </xf>
    <xf numFmtId="49" fontId="32" fillId="6" borderId="20" xfId="0" applyNumberFormat="1" applyFont="1" applyFill="1" applyBorder="1" applyAlignment="1" applyProtection="1">
      <protection locked="0"/>
    </xf>
    <xf numFmtId="49" fontId="29" fillId="6" borderId="15" xfId="0" applyNumberFormat="1" applyFont="1" applyFill="1" applyBorder="1" applyAlignment="1" applyProtection="1">
      <protection locked="0"/>
    </xf>
    <xf numFmtId="49" fontId="29" fillId="6" borderId="20" xfId="0" applyNumberFormat="1" applyFont="1" applyFill="1" applyBorder="1" applyAlignment="1" applyProtection="1">
      <protection locked="0"/>
    </xf>
    <xf numFmtId="49" fontId="29" fillId="6" borderId="18" xfId="0" applyNumberFormat="1" applyFont="1" applyFill="1" applyBorder="1" applyAlignment="1" applyProtection="1">
      <protection locked="0"/>
    </xf>
    <xf numFmtId="49" fontId="29" fillId="6" borderId="19" xfId="0" applyNumberFormat="1" applyFont="1" applyFill="1" applyBorder="1" applyAlignment="1" applyProtection="1">
      <protection locked="0"/>
    </xf>
    <xf numFmtId="49" fontId="32" fillId="2" borderId="18" xfId="0" applyNumberFormat="1" applyFont="1" applyFill="1" applyBorder="1" applyAlignment="1" applyProtection="1">
      <protection locked="0"/>
    </xf>
    <xf numFmtId="49" fontId="32" fillId="2" borderId="19" xfId="0" applyNumberFormat="1" applyFont="1" applyFill="1" applyBorder="1" applyAlignment="1" applyProtection="1">
      <protection locked="0"/>
    </xf>
    <xf numFmtId="49" fontId="32" fillId="2" borderId="20" xfId="0" applyNumberFormat="1" applyFont="1" applyFill="1" applyBorder="1" applyAlignment="1" applyProtection="1">
      <protection locked="0"/>
    </xf>
    <xf numFmtId="49" fontId="0" fillId="2" borderId="18" xfId="0" applyNumberFormat="1" applyFill="1" applyBorder="1" applyAlignment="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12" fillId="2" borderId="18" xfId="52" applyNumberFormat="1" applyFill="1" applyBorder="1" applyAlignment="1" applyProtection="1">
      <protection locked="0"/>
    </xf>
    <xf numFmtId="49" fontId="12" fillId="2" borderId="19" xfId="52" applyNumberFormat="1" applyFill="1" applyBorder="1" applyAlignment="1" applyProtection="1">
      <protection locked="0"/>
    </xf>
    <xf numFmtId="49" fontId="12" fillId="2" borderId="20" xfId="52" applyNumberFormat="1" applyFill="1" applyBorder="1" applyAlignment="1" applyProtection="1">
      <protection locked="0"/>
    </xf>
    <xf numFmtId="49" fontId="32" fillId="2" borderId="18" xfId="52" applyNumberFormat="1" applyFont="1" applyFill="1" applyBorder="1" applyAlignment="1" applyProtection="1">
      <protection locked="0"/>
    </xf>
    <xf numFmtId="49" fontId="32" fillId="2" borderId="19" xfId="52" applyNumberFormat="1" applyFont="1" applyFill="1" applyBorder="1" applyAlignment="1" applyProtection="1">
      <protection locked="0"/>
    </xf>
    <xf numFmtId="49" fontId="32" fillId="2" borderId="20" xfId="52" applyNumberFormat="1" applyFont="1" applyFill="1" applyBorder="1" applyAlignment="1" applyProtection="1">
      <protection locked="0"/>
    </xf>
    <xf numFmtId="49" fontId="29" fillId="2" borderId="18" xfId="2" applyNumberFormat="1" applyFill="1" applyBorder="1" applyAlignment="1" applyProtection="1">
      <protection locked="0"/>
    </xf>
    <xf numFmtId="49" fontId="29" fillId="2" borderId="19" xfId="2" applyNumberFormat="1" applyFill="1" applyBorder="1" applyAlignment="1" applyProtection="1">
      <protection locked="0"/>
    </xf>
    <xf numFmtId="49" fontId="29" fillId="2" borderId="20" xfId="2" applyNumberFormat="1" applyFill="1" applyBorder="1" applyAlignment="1" applyProtection="1">
      <protection locked="0"/>
    </xf>
    <xf numFmtId="0" fontId="29" fillId="0" borderId="0" xfId="2" applyFont="1" applyAlignment="1"/>
    <xf numFmtId="49" fontId="29" fillId="2" borderId="18" xfId="2" applyNumberFormat="1" applyFont="1" applyFill="1" applyBorder="1" applyAlignment="1" applyProtection="1">
      <protection locked="0"/>
    </xf>
    <xf numFmtId="49" fontId="29" fillId="2" borderId="19" xfId="2" applyNumberFormat="1" applyFont="1" applyFill="1" applyBorder="1" applyAlignment="1" applyProtection="1">
      <protection locked="0"/>
    </xf>
    <xf numFmtId="49" fontId="29" fillId="2" borderId="20" xfId="2" applyNumberFormat="1" applyFont="1" applyFill="1" applyBorder="1" applyAlignment="1" applyProtection="1">
      <protection locked="0"/>
    </xf>
    <xf numFmtId="49" fontId="29" fillId="2" borderId="18" xfId="0" applyNumberFormat="1" applyFont="1" applyFill="1" applyBorder="1" applyAlignment="1" applyProtection="1">
      <protection locked="0"/>
    </xf>
    <xf numFmtId="49" fontId="0" fillId="2" borderId="15" xfId="0" applyNumberFormat="1" applyFill="1" applyBorder="1" applyAlignment="1" applyProtection="1">
      <protection locked="0"/>
    </xf>
    <xf numFmtId="49" fontId="0" fillId="2" borderId="21" xfId="0" applyNumberFormat="1" applyFill="1" applyBorder="1" applyAlignment="1" applyProtection="1">
      <protection locked="0"/>
    </xf>
    <xf numFmtId="0" fontId="30" fillId="0" borderId="0" xfId="2" applyFont="1" applyAlignment="1">
      <alignment horizontal="center"/>
    </xf>
    <xf numFmtId="49" fontId="32" fillId="6" borderId="18" xfId="0" applyNumberFormat="1" applyFont="1" applyFill="1" applyBorder="1" applyAlignment="1" applyProtection="1">
      <protection locked="0"/>
    </xf>
    <xf numFmtId="49" fontId="32" fillId="6" borderId="19" xfId="0" applyNumberFormat="1" applyFont="1" applyFill="1" applyBorder="1" applyAlignment="1" applyProtection="1">
      <protection locked="0"/>
    </xf>
    <xf numFmtId="49" fontId="32" fillId="6" borderId="20" xfId="0" applyNumberFormat="1" applyFont="1" applyFill="1" applyBorder="1" applyAlignment="1" applyProtection="1">
      <protection locked="0"/>
    </xf>
    <xf numFmtId="49" fontId="29" fillId="6" borderId="20" xfId="0" applyNumberFormat="1" applyFont="1" applyFill="1" applyBorder="1" applyAlignment="1" applyProtection="1">
      <protection locked="0"/>
    </xf>
    <xf numFmtId="49" fontId="29" fillId="6" borderId="18" xfId="0" applyNumberFormat="1" applyFont="1" applyFill="1" applyBorder="1" applyAlignment="1" applyProtection="1">
      <protection locked="0"/>
    </xf>
    <xf numFmtId="49" fontId="29" fillId="6" borderId="19" xfId="0" applyNumberFormat="1" applyFont="1" applyFill="1" applyBorder="1" applyAlignment="1" applyProtection="1">
      <protection locked="0"/>
    </xf>
    <xf numFmtId="49" fontId="29" fillId="2" borderId="21" xfId="2" applyNumberFormat="1" applyFill="1" applyBorder="1" applyAlignment="1" applyProtection="1">
      <protection locked="0"/>
    </xf>
    <xf numFmtId="49" fontId="29" fillId="2" borderId="15" xfId="2" applyNumberFormat="1" applyFill="1" applyBorder="1" applyAlignment="1" applyProtection="1">
      <protection locked="0"/>
    </xf>
    <xf numFmtId="0" fontId="29" fillId="0" borderId="0" xfId="2" applyAlignment="1"/>
    <xf numFmtId="49" fontId="11" fillId="2" borderId="18" xfId="62" applyNumberFormat="1" applyFill="1" applyBorder="1" applyAlignment="1" applyProtection="1">
      <protection locked="0"/>
    </xf>
    <xf numFmtId="49" fontId="11" fillId="2" borderId="19" xfId="62" applyNumberFormat="1" applyFill="1" applyBorder="1" applyAlignment="1" applyProtection="1">
      <protection locked="0"/>
    </xf>
    <xf numFmtId="49" fontId="11" fillId="2" borderId="20" xfId="62" applyNumberFormat="1" applyFill="1" applyBorder="1" applyAlignment="1" applyProtection="1">
      <protection locked="0"/>
    </xf>
    <xf numFmtId="49" fontId="29" fillId="2" borderId="18" xfId="62" applyNumberFormat="1" applyFont="1" applyFill="1" applyBorder="1" applyAlignment="1" applyProtection="1">
      <protection locked="0"/>
    </xf>
    <xf numFmtId="49" fontId="32" fillId="2" borderId="18" xfId="62" applyNumberFormat="1" applyFont="1" applyFill="1" applyBorder="1" applyAlignment="1" applyProtection="1">
      <protection locked="0"/>
    </xf>
    <xf numFmtId="49" fontId="32" fillId="2" borderId="19" xfId="62" applyNumberFormat="1" applyFont="1" applyFill="1" applyBorder="1" applyAlignment="1" applyProtection="1">
      <protection locked="0"/>
    </xf>
    <xf numFmtId="49" fontId="32" fillId="2" borderId="20" xfId="62" applyNumberFormat="1" applyFont="1" applyFill="1" applyBorder="1" applyAlignment="1" applyProtection="1">
      <protection locked="0"/>
    </xf>
    <xf numFmtId="49" fontId="29" fillId="2" borderId="18" xfId="22" applyNumberFormat="1" applyFont="1" applyFill="1" applyBorder="1" applyAlignment="1" applyProtection="1">
      <protection locked="0"/>
    </xf>
    <xf numFmtId="49" fontId="29" fillId="2" borderId="19" xfId="22" applyNumberFormat="1" applyFont="1" applyFill="1" applyBorder="1" applyAlignment="1" applyProtection="1">
      <protection locked="0"/>
    </xf>
    <xf numFmtId="49" fontId="29" fillId="2" borderId="20" xfId="22" applyNumberFormat="1" applyFont="1" applyFill="1" applyBorder="1" applyAlignment="1" applyProtection="1">
      <protection locked="0"/>
    </xf>
    <xf numFmtId="0" fontId="29" fillId="0" borderId="0" xfId="0" applyFont="1" applyBorder="1" applyAlignment="1">
      <alignment horizontal="left"/>
    </xf>
    <xf numFmtId="0" fontId="29" fillId="0" borderId="0" xfId="0" applyFont="1" applyBorder="1" applyAlignment="1">
      <alignment horizontal="centerContinuous"/>
    </xf>
    <xf numFmtId="0" fontId="30" fillId="0" borderId="0" xfId="0" applyFont="1" applyBorder="1" applyAlignment="1">
      <alignment horizontal="centerContinuous"/>
    </xf>
    <xf numFmtId="0" fontId="30" fillId="0" borderId="0" xfId="0" applyFont="1" applyBorder="1" applyAlignment="1">
      <alignment horizontal="right"/>
    </xf>
    <xf numFmtId="0" fontId="30" fillId="0" borderId="0" xfId="0" applyFont="1" applyBorder="1" applyAlignment="1">
      <alignment horizontal="left"/>
    </xf>
    <xf numFmtId="3" fontId="29" fillId="6" borderId="16" xfId="0" applyNumberFormat="1" applyFont="1" applyFill="1" applyBorder="1" applyProtection="1">
      <protection locked="0"/>
    </xf>
    <xf numFmtId="164" fontId="29" fillId="6" borderId="16" xfId="0" applyNumberFormat="1" applyFont="1" applyFill="1" applyBorder="1" applyProtection="1">
      <protection locked="0"/>
    </xf>
    <xf numFmtId="164" fontId="29" fillId="6" borderId="18" xfId="0" applyNumberFormat="1" applyFont="1" applyFill="1" applyBorder="1" applyProtection="1">
      <protection locked="0"/>
    </xf>
    <xf numFmtId="164" fontId="29" fillId="6" borderId="16" xfId="0" applyNumberFormat="1" applyFont="1" applyFill="1" applyBorder="1"/>
    <xf numFmtId="164" fontId="29" fillId="0" borderId="16" xfId="0" applyNumberFormat="1" applyFont="1" applyFill="1" applyBorder="1"/>
    <xf numFmtId="3" fontId="29" fillId="6" borderId="16" xfId="0" applyNumberFormat="1" applyFont="1" applyFill="1" applyBorder="1"/>
    <xf numFmtId="3" fontId="29" fillId="0" borderId="17" xfId="0" applyNumberFormat="1" applyFont="1" applyFill="1" applyBorder="1"/>
    <xf numFmtId="164" fontId="29" fillId="0" borderId="17" xfId="0" applyNumberFormat="1" applyFont="1" applyFill="1" applyBorder="1"/>
    <xf numFmtId="164" fontId="29" fillId="7" borderId="25" xfId="0" applyNumberFormat="1" applyFont="1" applyFill="1" applyBorder="1"/>
    <xf numFmtId="164" fontId="29" fillId="6" borderId="16" xfId="0" applyNumberFormat="1" applyFont="1" applyFill="1" applyBorder="1" applyProtection="1"/>
    <xf numFmtId="1" fontId="29" fillId="6" borderId="16" xfId="0" applyNumberFormat="1" applyFont="1" applyFill="1" applyBorder="1"/>
    <xf numFmtId="0" fontId="29" fillId="0" borderId="26" xfId="0" applyFont="1" applyBorder="1"/>
    <xf numFmtId="0" fontId="29" fillId="7" borderId="0" xfId="0" applyFont="1" applyFill="1" applyBorder="1"/>
    <xf numFmtId="164" fontId="29" fillId="7" borderId="0" xfId="0" applyNumberFormat="1" applyFont="1" applyFill="1" applyBorder="1" applyProtection="1"/>
    <xf numFmtId="164" fontId="29" fillId="7" borderId="0" xfId="0" applyNumberFormat="1" applyFont="1" applyFill="1" applyBorder="1"/>
    <xf numFmtId="0" fontId="29" fillId="6" borderId="16" xfId="0" applyFont="1" applyFill="1" applyBorder="1" applyProtection="1">
      <protection locked="0"/>
    </xf>
    <xf numFmtId="3" fontId="29" fillId="6" borderId="23" xfId="0" applyNumberFormat="1" applyFont="1" applyFill="1" applyBorder="1" applyProtection="1">
      <protection locked="0"/>
    </xf>
    <xf numFmtId="164" fontId="29" fillId="6" borderId="23" xfId="0" applyNumberFormat="1" applyFont="1" applyFill="1" applyBorder="1" applyProtection="1">
      <protection locked="0"/>
    </xf>
    <xf numFmtId="49" fontId="29" fillId="6" borderId="28" xfId="0" applyNumberFormat="1" applyFont="1" applyFill="1" applyBorder="1" applyAlignment="1" applyProtection="1">
      <protection locked="0"/>
    </xf>
    <xf numFmtId="49" fontId="29" fillId="6" borderId="22" xfId="0" applyNumberFormat="1" applyFont="1" applyFill="1" applyBorder="1" applyAlignment="1" applyProtection="1">
      <protection locked="0"/>
    </xf>
    <xf numFmtId="3" fontId="29" fillId="7" borderId="0" xfId="0" applyNumberFormat="1" applyFont="1" applyFill="1" applyBorder="1" applyProtection="1">
      <protection locked="0"/>
    </xf>
    <xf numFmtId="164" fontId="29" fillId="7" borderId="0" xfId="0" applyNumberFormat="1" applyFont="1" applyFill="1" applyBorder="1" applyProtection="1">
      <protection locked="0"/>
    </xf>
    <xf numFmtId="0" fontId="29" fillId="6" borderId="16" xfId="0" applyFont="1" applyFill="1" applyBorder="1" applyProtection="1"/>
    <xf numFmtId="164" fontId="29" fillId="6" borderId="18" xfId="0" applyNumberFormat="1" applyFont="1" applyFill="1" applyBorder="1" applyProtection="1"/>
    <xf numFmtId="164" fontId="29" fillId="7" borderId="16" xfId="0" applyNumberFormat="1" applyFont="1" applyFill="1" applyBorder="1"/>
    <xf numFmtId="0" fontId="29" fillId="0" borderId="17" xfId="0" applyFont="1" applyBorder="1"/>
    <xf numFmtId="3" fontId="29" fillId="6" borderId="24" xfId="0" applyNumberFormat="1" applyFont="1" applyFill="1" applyBorder="1" applyProtection="1">
      <protection locked="0"/>
    </xf>
    <xf numFmtId="164" fontId="29" fillId="6" borderId="24" xfId="0" applyNumberFormat="1" applyFont="1" applyFill="1" applyBorder="1" applyProtection="1">
      <protection locked="0"/>
    </xf>
    <xf numFmtId="0" fontId="29" fillId="0" borderId="15" xfId="0" applyFont="1" applyBorder="1" applyAlignment="1">
      <alignment horizontal="left"/>
    </xf>
    <xf numFmtId="0" fontId="29" fillId="0" borderId="15" xfId="0" applyFont="1" applyBorder="1"/>
    <xf numFmtId="10" fontId="29" fillId="6" borderId="16" xfId="0" applyNumberFormat="1" applyFont="1" applyFill="1" applyBorder="1" applyProtection="1">
      <protection locked="0"/>
    </xf>
    <xf numFmtId="3" fontId="29" fillId="6" borderId="23" xfId="0" applyNumberFormat="1" applyFont="1" applyFill="1" applyBorder="1"/>
    <xf numFmtId="3" fontId="29" fillId="7" borderId="23" xfId="0" applyNumberFormat="1" applyFont="1" applyFill="1" applyBorder="1"/>
    <xf numFmtId="164" fontId="29" fillId="7" borderId="23" xfId="0" applyNumberFormat="1" applyFont="1" applyFill="1" applyBorder="1"/>
    <xf numFmtId="164" fontId="29" fillId="6" borderId="23" xfId="0" applyNumberFormat="1" applyFont="1" applyFill="1" applyBorder="1"/>
    <xf numFmtId="3" fontId="29" fillId="6" borderId="27" xfId="0" applyNumberFormat="1" applyFont="1" applyFill="1" applyBorder="1"/>
    <xf numFmtId="10" fontId="29" fillId="6" borderId="16" xfId="1" applyNumberFormat="1" applyFont="1" applyFill="1" applyBorder="1" applyProtection="1"/>
    <xf numFmtId="166" fontId="29" fillId="0" borderId="15" xfId="52" applyNumberFormat="1" applyFont="1" applyFill="1" applyBorder="1"/>
    <xf numFmtId="3" fontId="29" fillId="0" borderId="26" xfId="52" applyNumberFormat="1" applyFont="1" applyFill="1" applyBorder="1"/>
    <xf numFmtId="167" fontId="29" fillId="0" borderId="26" xfId="52" applyNumberFormat="1" applyFont="1" applyFill="1" applyBorder="1"/>
    <xf numFmtId="166" fontId="29" fillId="0" borderId="26" xfId="52" applyNumberFormat="1" applyFont="1" applyFill="1" applyBorder="1"/>
    <xf numFmtId="0" fontId="30" fillId="0" borderId="0" xfId="52" applyFont="1" applyFill="1" applyBorder="1" applyAlignment="1">
      <alignment horizontal="center" wrapText="1"/>
    </xf>
    <xf numFmtId="167" fontId="30" fillId="0" borderId="0" xfId="52" applyNumberFormat="1" applyFont="1" applyFill="1" applyBorder="1" applyAlignment="1">
      <alignment horizontal="center" wrapText="1"/>
    </xf>
    <xf numFmtId="166" fontId="30" fillId="0" borderId="0" xfId="52" applyNumberFormat="1" applyFont="1" applyFill="1" applyBorder="1" applyAlignment="1">
      <alignment horizontal="center" wrapText="1"/>
    </xf>
    <xf numFmtId="0" fontId="29" fillId="0" borderId="0" xfId="52" applyFont="1" applyFill="1" applyBorder="1"/>
    <xf numFmtId="0" fontId="29" fillId="0" borderId="26" xfId="52" applyFont="1" applyFill="1" applyBorder="1"/>
    <xf numFmtId="49" fontId="29" fillId="0" borderId="0" xfId="52" applyNumberFormat="1" applyFont="1" applyFill="1" applyBorder="1" applyAlignment="1" applyProtection="1">
      <protection locked="0"/>
    </xf>
    <xf numFmtId="167" fontId="29" fillId="0" borderId="0" xfId="52" applyNumberFormat="1" applyFont="1" applyFill="1" applyBorder="1"/>
    <xf numFmtId="167" fontId="29" fillId="0" borderId="0" xfId="52" applyNumberFormat="1" applyFont="1" applyFill="1" applyBorder="1" applyProtection="1"/>
    <xf numFmtId="166" fontId="29" fillId="0" borderId="0" xfId="52" applyNumberFormat="1" applyFont="1" applyFill="1" applyBorder="1"/>
    <xf numFmtId="0" fontId="30" fillId="0" borderId="0" xfId="52" applyFont="1" applyFill="1" applyBorder="1"/>
    <xf numFmtId="3" fontId="29" fillId="0" borderId="0" xfId="52" applyNumberFormat="1" applyFont="1" applyFill="1" applyBorder="1" applyProtection="1">
      <protection locked="0"/>
    </xf>
    <xf numFmtId="167" fontId="29" fillId="0" borderId="0" xfId="52" applyNumberFormat="1" applyFont="1" applyFill="1" applyBorder="1" applyProtection="1">
      <protection locked="0"/>
    </xf>
    <xf numFmtId="0" fontId="29" fillId="0" borderId="0" xfId="52" applyFont="1" applyFill="1" applyBorder="1" applyProtection="1"/>
    <xf numFmtId="166" fontId="29" fillId="0" borderId="0" xfId="52" applyNumberFormat="1" applyFont="1" applyFill="1" applyBorder="1" applyProtection="1"/>
    <xf numFmtId="166" fontId="29" fillId="0" borderId="16" xfId="52" applyNumberFormat="1" applyFont="1" applyFill="1" applyBorder="1"/>
    <xf numFmtId="0" fontId="29" fillId="0" borderId="0" xfId="52" applyFont="1" applyBorder="1" applyAlignment="1">
      <alignment horizontal="left"/>
    </xf>
    <xf numFmtId="0" fontId="29" fillId="0" borderId="0" xfId="52" applyFont="1" applyBorder="1" applyAlignment="1">
      <alignment horizontal="centerContinuous"/>
    </xf>
    <xf numFmtId="0" fontId="30" fillId="0" borderId="0" xfId="52" applyFont="1" applyBorder="1" applyAlignment="1">
      <alignment horizontal="centerContinuous"/>
    </xf>
    <xf numFmtId="0" fontId="30" fillId="0" borderId="0" xfId="52" applyFont="1" applyFill="1" applyBorder="1" applyAlignment="1">
      <alignment horizontal="right"/>
    </xf>
    <xf numFmtId="0" fontId="76" fillId="0" borderId="0" xfId="0" applyFont="1" applyBorder="1"/>
    <xf numFmtId="0" fontId="29" fillId="0" borderId="0" xfId="52" applyFont="1" applyFill="1" applyBorder="1" applyAlignment="1">
      <alignment horizontal="centerContinuous"/>
    </xf>
    <xf numFmtId="0" fontId="30" fillId="0" borderId="0" xfId="52" applyFont="1" applyBorder="1" applyAlignment="1">
      <alignment horizontal="left"/>
    </xf>
    <xf numFmtId="0" fontId="30" fillId="0" borderId="0" xfId="52" applyFont="1" applyBorder="1" applyAlignment="1">
      <alignment horizontal="right"/>
    </xf>
    <xf numFmtId="3" fontId="29" fillId="6" borderId="16" xfId="52" applyNumberFormat="1" applyFont="1" applyFill="1" applyBorder="1" applyProtection="1">
      <protection locked="0"/>
    </xf>
    <xf numFmtId="167" fontId="29" fillId="6" borderId="16" xfId="52" applyNumberFormat="1" applyFont="1" applyFill="1" applyBorder="1" applyProtection="1">
      <protection locked="0"/>
    </xf>
    <xf numFmtId="167" fontId="29" fillId="6" borderId="18" xfId="52" applyNumberFormat="1" applyFont="1" applyFill="1" applyBorder="1" applyProtection="1">
      <protection locked="0"/>
    </xf>
    <xf numFmtId="166" fontId="29" fillId="6" borderId="16" xfId="52" applyNumberFormat="1" applyFont="1" applyFill="1" applyBorder="1"/>
    <xf numFmtId="167" fontId="29" fillId="0" borderId="0" xfId="52" quotePrefix="1" applyNumberFormat="1" applyFont="1" applyFill="1" applyBorder="1"/>
    <xf numFmtId="5" fontId="29" fillId="6" borderId="16" xfId="52" applyNumberFormat="1" applyFont="1" applyFill="1" applyBorder="1" applyProtection="1">
      <protection locked="0"/>
    </xf>
    <xf numFmtId="5" fontId="29" fillId="6" borderId="16" xfId="52" applyNumberFormat="1" applyFont="1" applyFill="1" applyBorder="1"/>
    <xf numFmtId="3" fontId="29" fillId="6" borderId="16" xfId="52" applyNumberFormat="1" applyFont="1" applyFill="1" applyBorder="1"/>
    <xf numFmtId="167" fontId="29" fillId="6" borderId="16" xfId="52" applyNumberFormat="1" applyFont="1" applyFill="1" applyBorder="1"/>
    <xf numFmtId="44" fontId="29" fillId="6" borderId="16" xfId="52" applyNumberFormat="1" applyFont="1" applyFill="1" applyBorder="1" applyProtection="1">
      <protection locked="0"/>
    </xf>
    <xf numFmtId="5" fontId="29" fillId="6" borderId="16" xfId="52" applyNumberFormat="1" applyFont="1" applyFill="1" applyBorder="1" applyProtection="1"/>
    <xf numFmtId="166" fontId="76" fillId="6" borderId="16" xfId="70" applyNumberFormat="1" applyFont="1" applyFill="1" applyBorder="1"/>
    <xf numFmtId="5" fontId="29" fillId="6" borderId="16" xfId="70" applyNumberFormat="1" applyFont="1" applyFill="1" applyBorder="1" applyProtection="1">
      <protection locked="0"/>
    </xf>
    <xf numFmtId="5" fontId="29" fillId="6" borderId="18" xfId="70" applyNumberFormat="1" applyFont="1" applyFill="1" applyBorder="1" applyProtection="1">
      <protection locked="0"/>
    </xf>
    <xf numFmtId="5" fontId="29" fillId="6" borderId="16" xfId="70" applyNumberFormat="1" applyFont="1" applyFill="1" applyBorder="1"/>
    <xf numFmtId="43" fontId="29" fillId="6" borderId="16" xfId="52" applyNumberFormat="1" applyFont="1" applyFill="1" applyBorder="1" applyProtection="1">
      <protection locked="0"/>
    </xf>
    <xf numFmtId="0" fontId="29" fillId="6" borderId="16" xfId="52" applyFont="1" applyFill="1" applyBorder="1" applyProtection="1"/>
    <xf numFmtId="167" fontId="29" fillId="6" borderId="18" xfId="52" applyNumberFormat="1" applyFont="1" applyFill="1" applyBorder="1" applyProtection="1"/>
    <xf numFmtId="167" fontId="29" fillId="6" borderId="16" xfId="52" applyNumberFormat="1" applyFont="1" applyFill="1" applyBorder="1" applyProtection="1"/>
    <xf numFmtId="166" fontId="29" fillId="6" borderId="16" xfId="52" applyNumberFormat="1" applyFont="1" applyFill="1" applyBorder="1" applyProtection="1"/>
    <xf numFmtId="0" fontId="30" fillId="0" borderId="0" xfId="52" applyFont="1" applyFill="1" applyBorder="1" applyAlignment="1">
      <alignment horizontal="left"/>
    </xf>
    <xf numFmtId="166" fontId="29" fillId="6" borderId="16" xfId="70" applyNumberFormat="1" applyFont="1" applyFill="1" applyBorder="1" applyProtection="1">
      <protection locked="0"/>
    </xf>
    <xf numFmtId="1" fontId="29" fillId="6" borderId="16" xfId="52" applyNumberFormat="1" applyFont="1" applyFill="1" applyBorder="1" applyProtection="1"/>
    <xf numFmtId="10" fontId="29" fillId="6" borderId="16" xfId="52" applyNumberFormat="1" applyFont="1" applyFill="1" applyBorder="1" applyProtection="1">
      <protection locked="0"/>
    </xf>
    <xf numFmtId="167" fontId="29" fillId="14" borderId="16" xfId="52" applyNumberFormat="1" applyFont="1" applyFill="1" applyBorder="1" applyProtection="1"/>
    <xf numFmtId="164" fontId="29" fillId="0" borderId="0" xfId="52" applyNumberFormat="1" applyFont="1" applyFill="1" applyBorder="1"/>
    <xf numFmtId="167" fontId="29" fillId="14" borderId="16" xfId="52" applyNumberFormat="1" applyFont="1" applyFill="1" applyBorder="1" applyProtection="1">
      <protection locked="0"/>
    </xf>
    <xf numFmtId="0" fontId="77" fillId="0" borderId="0" xfId="52" applyFont="1" applyFill="1" applyBorder="1"/>
    <xf numFmtId="3" fontId="29" fillId="6" borderId="0" xfId="52" applyNumberFormat="1" applyFont="1" applyFill="1" applyBorder="1" applyProtection="1">
      <protection locked="0"/>
    </xf>
    <xf numFmtId="167" fontId="29" fillId="6" borderId="0" xfId="52" applyNumberFormat="1" applyFont="1" applyFill="1" applyBorder="1" applyProtection="1">
      <protection locked="0"/>
    </xf>
    <xf numFmtId="166" fontId="29" fillId="6" borderId="0" xfId="52" applyNumberFormat="1" applyFont="1" applyFill="1" applyBorder="1"/>
    <xf numFmtId="3" fontId="29" fillId="6" borderId="23" xfId="52" applyNumberFormat="1" applyFont="1" applyFill="1" applyBorder="1"/>
    <xf numFmtId="167" fontId="29" fillId="6" borderId="23" xfId="52" applyNumberFormat="1" applyFont="1" applyFill="1" applyBorder="1"/>
    <xf numFmtId="166" fontId="29" fillId="6" borderId="23" xfId="52" applyNumberFormat="1" applyFont="1" applyFill="1" applyBorder="1"/>
    <xf numFmtId="167" fontId="76" fillId="6" borderId="16" xfId="70" applyNumberFormat="1" applyFont="1" applyFill="1" applyBorder="1"/>
    <xf numFmtId="10" fontId="76" fillId="6" borderId="16" xfId="1" applyNumberFormat="1" applyFont="1" applyFill="1" applyBorder="1" applyProtection="1"/>
    <xf numFmtId="49" fontId="32" fillId="2" borderId="4" xfId="0" applyNumberFormat="1" applyFont="1" applyFill="1" applyBorder="1" applyAlignment="1" applyProtection="1">
      <protection locked="0"/>
    </xf>
    <xf numFmtId="49" fontId="32" fillId="2" borderId="5" xfId="0" applyNumberFormat="1" applyFont="1" applyFill="1" applyBorder="1" applyAlignment="1" applyProtection="1">
      <protection locked="0"/>
    </xf>
    <xf numFmtId="49" fontId="32" fillId="2" borderId="6" xfId="0" applyNumberFormat="1" applyFont="1" applyFill="1" applyBorder="1" applyAlignment="1" applyProtection="1">
      <protection locked="0"/>
    </xf>
    <xf numFmtId="49" fontId="32" fillId="2" borderId="18" xfId="0" applyNumberFormat="1" applyFont="1" applyFill="1" applyBorder="1" applyAlignment="1" applyProtection="1">
      <protection locked="0"/>
    </xf>
    <xf numFmtId="49" fontId="32" fillId="2" borderId="19" xfId="0" applyNumberFormat="1" applyFont="1" applyFill="1" applyBorder="1" applyAlignment="1" applyProtection="1">
      <protection locked="0"/>
    </xf>
    <xf numFmtId="49" fontId="32" fillId="2" borderId="20" xfId="0" applyNumberFormat="1" applyFont="1" applyFill="1" applyBorder="1" applyAlignment="1" applyProtection="1">
      <protection locked="0"/>
    </xf>
    <xf numFmtId="49" fontId="0" fillId="2" borderId="18" xfId="0" applyNumberFormat="1" applyFill="1" applyBorder="1" applyAlignment="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32" fillId="2" borderId="18" xfId="2" applyNumberFormat="1" applyFont="1" applyFill="1" applyBorder="1" applyAlignment="1" applyProtection="1">
      <protection locked="0"/>
    </xf>
    <xf numFmtId="49" fontId="32" fillId="2" borderId="19" xfId="2" applyNumberFormat="1" applyFont="1" applyFill="1" applyBorder="1" applyAlignment="1" applyProtection="1">
      <protection locked="0"/>
    </xf>
    <xf numFmtId="49" fontId="32" fillId="2" borderId="20" xfId="2" applyNumberFormat="1" applyFont="1" applyFill="1" applyBorder="1" applyAlignment="1" applyProtection="1">
      <protection locked="0"/>
    </xf>
    <xf numFmtId="49" fontId="29" fillId="2" borderId="18" xfId="2" applyNumberFormat="1" applyFill="1" applyBorder="1" applyAlignment="1" applyProtection="1">
      <protection locked="0"/>
    </xf>
    <xf numFmtId="49" fontId="29" fillId="2" borderId="19" xfId="2" applyNumberFormat="1" applyFill="1" applyBorder="1" applyAlignment="1" applyProtection="1">
      <protection locked="0"/>
    </xf>
    <xf numFmtId="49" fontId="29" fillId="2" borderId="20" xfId="2" applyNumberFormat="1" applyFill="1" applyBorder="1" applyAlignment="1" applyProtection="1">
      <protection locked="0"/>
    </xf>
    <xf numFmtId="49" fontId="0" fillId="2" borderId="15" xfId="0" applyNumberFormat="1" applyFill="1" applyBorder="1" applyAlignment="1" applyProtection="1">
      <protection locked="0"/>
    </xf>
    <xf numFmtId="49" fontId="0" fillId="2" borderId="21" xfId="0" applyNumberFormat="1" applyFill="1" applyBorder="1" applyAlignment="1" applyProtection="1">
      <protection locked="0"/>
    </xf>
    <xf numFmtId="0" fontId="30" fillId="0" borderId="0" xfId="2" applyFont="1" applyAlignment="1">
      <alignment horizontal="center"/>
    </xf>
    <xf numFmtId="0" fontId="33" fillId="0" borderId="0" xfId="62" applyFont="1" applyAlignment="1">
      <alignment horizontal="center"/>
    </xf>
    <xf numFmtId="49" fontId="37" fillId="2" borderId="18" xfId="62" applyNumberFormat="1" applyFont="1" applyFill="1" applyBorder="1" applyAlignment="1" applyProtection="1">
      <protection locked="0"/>
    </xf>
    <xf numFmtId="49" fontId="37" fillId="2" borderId="19" xfId="62" applyNumberFormat="1" applyFont="1" applyFill="1" applyBorder="1" applyAlignment="1" applyProtection="1">
      <protection locked="0"/>
    </xf>
    <xf numFmtId="49" fontId="37" fillId="2" borderId="20" xfId="62" applyNumberFormat="1" applyFont="1" applyFill="1" applyBorder="1" applyAlignment="1" applyProtection="1">
      <protection locked="0"/>
    </xf>
    <xf numFmtId="49" fontId="74" fillId="2" borderId="18" xfId="62" applyNumberFormat="1" applyFont="1" applyFill="1" applyBorder="1" applyAlignment="1" applyProtection="1">
      <protection locked="0"/>
    </xf>
    <xf numFmtId="49" fontId="74" fillId="2" borderId="19" xfId="62" applyNumberFormat="1" applyFont="1" applyFill="1" applyBorder="1" applyAlignment="1" applyProtection="1">
      <protection locked="0"/>
    </xf>
    <xf numFmtId="49" fontId="74" fillId="2" borderId="20" xfId="62" applyNumberFormat="1" applyFont="1" applyFill="1" applyBorder="1" applyAlignment="1" applyProtection="1">
      <protection locked="0"/>
    </xf>
    <xf numFmtId="49" fontId="74" fillId="2" borderId="21" xfId="62" applyNumberFormat="1" applyFont="1" applyFill="1" applyBorder="1" applyAlignment="1" applyProtection="1">
      <protection locked="0"/>
    </xf>
    <xf numFmtId="49" fontId="74" fillId="2" borderId="15" xfId="62" applyNumberFormat="1" applyFont="1" applyFill="1" applyBorder="1" applyAlignment="1" applyProtection="1">
      <protection locked="0"/>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horizontal="centerContinuous"/>
    </xf>
    <xf numFmtId="3" fontId="0" fillId="6" borderId="16" xfId="0" applyNumberFormat="1" applyFont="1" applyFill="1" applyBorder="1" applyProtection="1">
      <protection locked="0"/>
    </xf>
    <xf numFmtId="164" fontId="0" fillId="6" borderId="16" xfId="0" applyNumberFormat="1" applyFont="1" applyFill="1" applyBorder="1" applyProtection="1">
      <protection locked="0"/>
    </xf>
    <xf numFmtId="164" fontId="0" fillId="6" borderId="18" xfId="0" applyNumberFormat="1" applyFont="1" applyFill="1" applyBorder="1" applyProtection="1">
      <protection locked="0"/>
    </xf>
    <xf numFmtId="164" fontId="0" fillId="6" borderId="16" xfId="0" applyNumberFormat="1" applyFont="1" applyFill="1" applyBorder="1"/>
    <xf numFmtId="164" fontId="0" fillId="0" borderId="16" xfId="0" applyNumberFormat="1" applyFont="1" applyFill="1" applyBorder="1"/>
    <xf numFmtId="3" fontId="0" fillId="6" borderId="16" xfId="0" applyNumberFormat="1" applyFont="1" applyFill="1" applyBorder="1"/>
    <xf numFmtId="3" fontId="0" fillId="0" borderId="17" xfId="0" applyNumberFormat="1" applyFont="1" applyFill="1" applyBorder="1"/>
    <xf numFmtId="164" fontId="0" fillId="0" borderId="17" xfId="0" applyNumberFormat="1" applyFont="1" applyFill="1" applyBorder="1"/>
    <xf numFmtId="164" fontId="0" fillId="7" borderId="25" xfId="0" applyNumberFormat="1" applyFont="1" applyFill="1" applyBorder="1"/>
    <xf numFmtId="164" fontId="0" fillId="6" borderId="16" xfId="0" applyNumberFormat="1" applyFont="1" applyFill="1" applyBorder="1" applyProtection="1"/>
    <xf numFmtId="1" fontId="0" fillId="6" borderId="16" xfId="0" applyNumberFormat="1" applyFont="1" applyFill="1" applyBorder="1"/>
    <xf numFmtId="0" fontId="0" fillId="0" borderId="17" xfId="0" applyFont="1" applyBorder="1"/>
    <xf numFmtId="49" fontId="0" fillId="6" borderId="19" xfId="0" applyNumberFormat="1" applyFont="1" applyFill="1" applyBorder="1" applyAlignment="1" applyProtection="1">
      <protection locked="0"/>
    </xf>
    <xf numFmtId="49" fontId="0" fillId="6" borderId="20" xfId="0" applyNumberFormat="1" applyFont="1" applyFill="1" applyBorder="1" applyAlignment="1" applyProtection="1">
      <protection locked="0"/>
    </xf>
    <xf numFmtId="164" fontId="0" fillId="7" borderId="18" xfId="0" applyNumberFormat="1" applyFont="1" applyFill="1" applyBorder="1" applyProtection="1"/>
    <xf numFmtId="0" fontId="0" fillId="0" borderId="26" xfId="0" applyFont="1" applyBorder="1"/>
    <xf numFmtId="0" fontId="0" fillId="7" borderId="0" xfId="0" applyFont="1" applyFill="1" applyBorder="1"/>
    <xf numFmtId="164" fontId="0" fillId="7" borderId="0" xfId="0" applyNumberFormat="1" applyFont="1" applyFill="1" applyBorder="1" applyProtection="1"/>
    <xf numFmtId="164" fontId="0" fillId="7" borderId="0" xfId="0" applyNumberFormat="1" applyFont="1" applyFill="1" applyBorder="1"/>
    <xf numFmtId="0" fontId="0" fillId="6" borderId="16" xfId="0" applyFont="1" applyFill="1" applyBorder="1" applyProtection="1">
      <protection locked="0"/>
    </xf>
    <xf numFmtId="49" fontId="0" fillId="6" borderId="18" xfId="0" applyNumberFormat="1" applyFont="1" applyFill="1" applyBorder="1" applyAlignment="1" applyProtection="1">
      <protection locked="0"/>
    </xf>
    <xf numFmtId="3" fontId="0" fillId="6" borderId="23" xfId="0" applyNumberFormat="1" applyFont="1" applyFill="1" applyBorder="1" applyProtection="1">
      <protection locked="0"/>
    </xf>
    <xf numFmtId="164" fontId="0" fillId="6" borderId="23" xfId="0" applyNumberFormat="1" applyFont="1" applyFill="1" applyBorder="1" applyProtection="1">
      <protection locked="0"/>
    </xf>
    <xf numFmtId="49" fontId="0" fillId="6" borderId="28" xfId="0" applyNumberFormat="1" applyFont="1" applyFill="1" applyBorder="1" applyAlignment="1" applyProtection="1">
      <protection locked="0"/>
    </xf>
    <xf numFmtId="49" fontId="0" fillId="6" borderId="15" xfId="0" applyNumberFormat="1" applyFont="1" applyFill="1" applyBorder="1" applyAlignment="1" applyProtection="1">
      <protection locked="0"/>
    </xf>
    <xf numFmtId="49" fontId="0" fillId="6" borderId="22" xfId="0" applyNumberFormat="1" applyFont="1" applyFill="1" applyBorder="1" applyAlignment="1" applyProtection="1">
      <protection locked="0"/>
    </xf>
    <xf numFmtId="3" fontId="0" fillId="7" borderId="0" xfId="0" applyNumberFormat="1" applyFont="1" applyFill="1" applyBorder="1" applyProtection="1">
      <protection locked="0"/>
    </xf>
    <xf numFmtId="164" fontId="0" fillId="7" borderId="0" xfId="0" applyNumberFormat="1" applyFont="1" applyFill="1" applyBorder="1" applyProtection="1">
      <protection locked="0"/>
    </xf>
    <xf numFmtId="0" fontId="0" fillId="6" borderId="16" xfId="0" applyFont="1" applyFill="1" applyBorder="1" applyProtection="1"/>
    <xf numFmtId="164" fontId="0" fillId="6" borderId="18" xfId="0" applyNumberFormat="1" applyFont="1" applyFill="1" applyBorder="1" applyProtection="1"/>
    <xf numFmtId="164" fontId="0" fillId="7" borderId="16" xfId="0" applyNumberFormat="1" applyFont="1" applyFill="1" applyBorder="1"/>
    <xf numFmtId="3" fontId="0" fillId="6" borderId="24" xfId="0" applyNumberFormat="1" applyFont="1" applyFill="1" applyBorder="1" applyProtection="1">
      <protection locked="0"/>
    </xf>
    <xf numFmtId="164" fontId="0" fillId="6" borderId="24" xfId="0" applyNumberFormat="1" applyFont="1" applyFill="1" applyBorder="1" applyProtection="1">
      <protection locked="0"/>
    </xf>
    <xf numFmtId="0" fontId="0" fillId="0" borderId="15" xfId="0" applyFont="1" applyBorder="1" applyAlignment="1">
      <alignment horizontal="left"/>
    </xf>
    <xf numFmtId="0" fontId="0" fillId="0" borderId="15" xfId="0" applyFont="1" applyBorder="1"/>
    <xf numFmtId="0" fontId="0" fillId="0" borderId="0" xfId="0" applyFont="1" applyFill="1" applyBorder="1"/>
    <xf numFmtId="10" fontId="0" fillId="6" borderId="16" xfId="0" applyNumberFormat="1" applyFont="1" applyFill="1" applyBorder="1" applyProtection="1">
      <protection locked="0"/>
    </xf>
    <xf numFmtId="3" fontId="0" fillId="6" borderId="23" xfId="0" applyNumberFormat="1" applyFont="1" applyFill="1" applyBorder="1"/>
    <xf numFmtId="3" fontId="0" fillId="7" borderId="23" xfId="0" applyNumberFormat="1" applyFont="1" applyFill="1" applyBorder="1"/>
    <xf numFmtId="164" fontId="0" fillId="7" borderId="23" xfId="0" applyNumberFormat="1" applyFont="1" applyFill="1" applyBorder="1"/>
    <xf numFmtId="164" fontId="0" fillId="6" borderId="23" xfId="0" applyNumberFormat="1" applyFont="1" applyFill="1" applyBorder="1"/>
    <xf numFmtId="3" fontId="0" fillId="6" borderId="27" xfId="0" applyNumberFormat="1" applyFont="1" applyFill="1" applyBorder="1"/>
    <xf numFmtId="10" fontId="0" fillId="6" borderId="16" xfId="1" applyNumberFormat="1" applyFont="1" applyFill="1" applyBorder="1" applyProtection="1"/>
    <xf numFmtId="168" fontId="0" fillId="0" borderId="0" xfId="55" applyNumberFormat="1" applyFont="1" applyAlignment="1">
      <alignment horizontal="center"/>
    </xf>
    <xf numFmtId="168" fontId="30" fillId="0" borderId="0" xfId="19" applyNumberFormat="1" applyFont="1" applyBorder="1" applyAlignment="1">
      <alignment horizontal="center" wrapText="1"/>
    </xf>
    <xf numFmtId="0" fontId="57" fillId="0" borderId="0" xfId="0" applyFont="1"/>
    <xf numFmtId="166" fontId="30" fillId="0" borderId="16" xfId="18" applyNumberFormat="1" applyFont="1" applyBorder="1"/>
    <xf numFmtId="3" fontId="30" fillId="0" borderId="16" xfId="0" applyNumberFormat="1" applyFont="1" applyBorder="1"/>
    <xf numFmtId="166" fontId="30" fillId="0" borderId="16" xfId="0" applyNumberFormat="1" applyFont="1" applyBorder="1"/>
    <xf numFmtId="0" fontId="30" fillId="0" borderId="16" xfId="0" applyFont="1" applyBorder="1"/>
    <xf numFmtId="168" fontId="30" fillId="0" borderId="16" xfId="19" applyNumberFormat="1" applyFont="1" applyBorder="1"/>
    <xf numFmtId="3" fontId="30" fillId="0" borderId="0" xfId="0" applyNumberFormat="1" applyFont="1" applyBorder="1"/>
    <xf numFmtId="168" fontId="0" fillId="0" borderId="0" xfId="0" applyNumberFormat="1"/>
    <xf numFmtId="3" fontId="0" fillId="2" borderId="16" xfId="55" applyNumberFormat="1" applyFont="1" applyFill="1" applyBorder="1" applyProtection="1">
      <protection locked="0"/>
    </xf>
    <xf numFmtId="168" fontId="0" fillId="11" borderId="0" xfId="0" applyNumberFormat="1" applyFill="1"/>
    <xf numFmtId="167" fontId="30" fillId="0" borderId="16" xfId="0" applyNumberFormat="1" applyFont="1" applyBorder="1"/>
    <xf numFmtId="0" fontId="57" fillId="0" borderId="0" xfId="0" applyFont="1" applyBorder="1"/>
    <xf numFmtId="168" fontId="0" fillId="0" borderId="0" xfId="19" applyNumberFormat="1" applyFont="1" applyBorder="1"/>
    <xf numFmtId="10" fontId="30" fillId="6" borderId="16" xfId="1" applyNumberFormat="1" applyFont="1" applyFill="1" applyBorder="1" applyProtection="1"/>
    <xf numFmtId="168" fontId="29" fillId="0" borderId="0" xfId="2" applyNumberFormat="1"/>
    <xf numFmtId="3" fontId="29" fillId="2" borderId="16" xfId="58" applyNumberFormat="1" applyFont="1" applyFill="1" applyBorder="1" applyProtection="1">
      <protection locked="0"/>
    </xf>
    <xf numFmtId="3" fontId="29" fillId="2" borderId="18" xfId="58" applyNumberFormat="1" applyFont="1" applyFill="1" applyBorder="1" applyProtection="1">
      <protection locked="0"/>
    </xf>
    <xf numFmtId="49" fontId="29" fillId="0" borderId="0" xfId="2" applyNumberFormat="1"/>
    <xf numFmtId="164" fontId="29" fillId="2" borderId="16" xfId="58" applyNumberFormat="1" applyFont="1" applyFill="1" applyBorder="1"/>
    <xf numFmtId="168" fontId="29" fillId="2" borderId="16" xfId="2" applyNumberFormat="1" applyFill="1" applyBorder="1" applyProtection="1">
      <protection locked="0"/>
    </xf>
    <xf numFmtId="3" fontId="29" fillId="0" borderId="0" xfId="2" applyNumberFormat="1"/>
    <xf numFmtId="49" fontId="30" fillId="0" borderId="0" xfId="2" applyNumberFormat="1" applyFont="1"/>
    <xf numFmtId="3" fontId="29" fillId="3" borderId="0" xfId="2" applyNumberFormat="1" applyFill="1" applyBorder="1"/>
    <xf numFmtId="49" fontId="29" fillId="0" borderId="0" xfId="2" applyNumberFormat="1" applyFont="1"/>
    <xf numFmtId="3" fontId="29" fillId="2" borderId="23" xfId="58" applyNumberFormat="1" applyFont="1" applyFill="1" applyBorder="1" applyProtection="1">
      <protection locked="0"/>
    </xf>
    <xf numFmtId="0" fontId="29" fillId="2" borderId="16" xfId="2" applyFill="1" applyBorder="1"/>
    <xf numFmtId="0" fontId="29" fillId="2" borderId="21" xfId="2" applyFill="1" applyBorder="1" applyAlignment="1" applyProtection="1">
      <protection locked="0"/>
    </xf>
    <xf numFmtId="0" fontId="29" fillId="2" borderId="15" xfId="2" applyFill="1" applyBorder="1" applyAlignment="1" applyProtection="1">
      <protection locked="0"/>
    </xf>
    <xf numFmtId="0" fontId="29" fillId="2" borderId="22" xfId="2" applyFill="1" applyBorder="1" applyAlignment="1" applyProtection="1">
      <protection locked="0"/>
    </xf>
    <xf numFmtId="0" fontId="29" fillId="3" borderId="0" xfId="2" applyFill="1" applyBorder="1" applyProtection="1">
      <protection locked="0"/>
    </xf>
    <xf numFmtId="164" fontId="30" fillId="0" borderId="0" xfId="2" applyNumberFormat="1" applyFont="1" applyAlignment="1">
      <alignment horizontal="center" wrapText="1"/>
    </xf>
    <xf numFmtId="0" fontId="29" fillId="2" borderId="24" xfId="2" applyFill="1" applyBorder="1" applyProtection="1">
      <protection locked="0"/>
    </xf>
    <xf numFmtId="168" fontId="29" fillId="2" borderId="24" xfId="2" applyNumberFormat="1" applyFill="1" applyBorder="1" applyProtection="1">
      <protection locked="0"/>
    </xf>
    <xf numFmtId="3" fontId="29" fillId="2" borderId="16" xfId="58" applyNumberFormat="1" applyFont="1" applyFill="1" applyBorder="1"/>
    <xf numFmtId="3" fontId="29" fillId="0" borderId="17" xfId="2" applyNumberFormat="1" applyBorder="1"/>
    <xf numFmtId="3" fontId="29" fillId="0" borderId="17" xfId="58" applyNumberFormat="1" applyFont="1" applyBorder="1"/>
    <xf numFmtId="3" fontId="30" fillId="0" borderId="0" xfId="2" applyNumberFormat="1" applyFont="1" applyAlignment="1">
      <alignment horizontal="center" wrapText="1"/>
    </xf>
    <xf numFmtId="3" fontId="30" fillId="0" borderId="0" xfId="58" applyNumberFormat="1" applyFont="1" applyAlignment="1">
      <alignment horizontal="center" wrapText="1"/>
    </xf>
    <xf numFmtId="3" fontId="29" fillId="0" borderId="0" xfId="58" applyNumberFormat="1" applyFont="1"/>
    <xf numFmtId="3" fontId="29" fillId="0" borderId="0" xfId="2" applyNumberFormat="1" applyFill="1" applyBorder="1"/>
    <xf numFmtId="171" fontId="29" fillId="0" borderId="0" xfId="2" applyNumberFormat="1"/>
    <xf numFmtId="44" fontId="29" fillId="0" borderId="0" xfId="2" applyNumberFormat="1"/>
    <xf numFmtId="172" fontId="29" fillId="0" borderId="0" xfId="2" applyNumberFormat="1"/>
    <xf numFmtId="10" fontId="29" fillId="0" borderId="0" xfId="2" applyNumberFormat="1"/>
    <xf numFmtId="166" fontId="29" fillId="2" borderId="16" xfId="2" applyNumberFormat="1" applyFill="1" applyBorder="1" applyProtection="1">
      <protection locked="0"/>
    </xf>
    <xf numFmtId="167" fontId="30" fillId="0" borderId="0" xfId="2" applyNumberFormat="1" applyFont="1" applyAlignment="1">
      <alignment horizontal="center" wrapText="1"/>
    </xf>
    <xf numFmtId="0" fontId="29" fillId="2" borderId="23" xfId="2" applyFill="1" applyBorder="1"/>
    <xf numFmtId="3" fontId="0" fillId="0" borderId="0" xfId="39" applyNumberFormat="1" applyFont="1"/>
    <xf numFmtId="168" fontId="29" fillId="0" borderId="0" xfId="58" applyNumberFormat="1" applyFont="1" applyAlignment="1">
      <alignment horizontal="center"/>
    </xf>
    <xf numFmtId="168" fontId="29" fillId="5" borderId="16" xfId="58" applyNumberFormat="1" applyFont="1" applyFill="1" applyBorder="1"/>
    <xf numFmtId="3" fontId="29" fillId="5" borderId="16" xfId="2" applyNumberFormat="1" applyFill="1" applyBorder="1"/>
    <xf numFmtId="3" fontId="29" fillId="5" borderId="16" xfId="1" applyNumberFormat="1" applyFont="1" applyFill="1" applyBorder="1" applyProtection="1"/>
    <xf numFmtId="0" fontId="30" fillId="8" borderId="0" xfId="2" applyFont="1" applyFill="1" applyAlignment="1">
      <alignment horizontal="right"/>
    </xf>
    <xf numFmtId="0" fontId="30" fillId="8" borderId="0" xfId="2" applyFont="1" applyFill="1"/>
    <xf numFmtId="0" fontId="29" fillId="8" borderId="0" xfId="2" applyFill="1"/>
    <xf numFmtId="0" fontId="29" fillId="8" borderId="23" xfId="2" applyFill="1" applyBorder="1"/>
    <xf numFmtId="168" fontId="29" fillId="8" borderId="23" xfId="58" applyNumberFormat="1" applyFont="1" applyFill="1" applyBorder="1"/>
    <xf numFmtId="0" fontId="0" fillId="8" borderId="0" xfId="0" applyFill="1"/>
    <xf numFmtId="3" fontId="30" fillId="5" borderId="16" xfId="0" applyNumberFormat="1" applyFont="1" applyFill="1" applyBorder="1"/>
    <xf numFmtId="168" fontId="30" fillId="5" borderId="16" xfId="39" applyNumberFormat="1" applyFont="1" applyFill="1" applyBorder="1"/>
    <xf numFmtId="3" fontId="30" fillId="5" borderId="16" xfId="2" applyNumberFormat="1" applyFont="1" applyFill="1" applyBorder="1"/>
    <xf numFmtId="168" fontId="30" fillId="5" borderId="16" xfId="0" applyNumberFormat="1" applyFont="1" applyFill="1" applyBorder="1"/>
    <xf numFmtId="3" fontId="0" fillId="5" borderId="16" xfId="0" applyNumberFormat="1" applyFill="1" applyBorder="1"/>
    <xf numFmtId="168" fontId="0" fillId="5" borderId="16" xfId="39" applyNumberFormat="1" applyFont="1" applyFill="1" applyBorder="1"/>
    <xf numFmtId="164" fontId="0" fillId="5" borderId="16" xfId="0" applyNumberFormat="1" applyFill="1" applyBorder="1"/>
    <xf numFmtId="0" fontId="0" fillId="5" borderId="16" xfId="0" applyFill="1" applyBorder="1"/>
    <xf numFmtId="10" fontId="0" fillId="5" borderId="16" xfId="0" applyNumberFormat="1" applyFill="1" applyBorder="1"/>
    <xf numFmtId="166" fontId="0" fillId="5" borderId="16" xfId="0" applyNumberFormat="1" applyFill="1" applyBorder="1"/>
    <xf numFmtId="166" fontId="0" fillId="5" borderId="16" xfId="39" applyNumberFormat="1" applyFont="1" applyFill="1" applyBorder="1"/>
    <xf numFmtId="3" fontId="0" fillId="5" borderId="16" xfId="39" applyNumberFormat="1" applyFont="1" applyFill="1" applyBorder="1"/>
    <xf numFmtId="167" fontId="0" fillId="5" borderId="16" xfId="0" applyNumberFormat="1" applyFill="1" applyBorder="1"/>
    <xf numFmtId="10" fontId="0" fillId="5" borderId="16" xfId="39" applyNumberFormat="1" applyFont="1" applyFill="1" applyBorder="1"/>
    <xf numFmtId="0" fontId="30" fillId="0" borderId="16" xfId="2" applyFont="1" applyFill="1" applyBorder="1"/>
    <xf numFmtId="168" fontId="30" fillId="0" borderId="16" xfId="58" applyNumberFormat="1" applyFont="1" applyFill="1" applyBorder="1"/>
    <xf numFmtId="0" fontId="30" fillId="0" borderId="0" xfId="0" applyFont="1" applyFill="1"/>
    <xf numFmtId="3" fontId="30" fillId="5" borderId="16" xfId="2" applyNumberFormat="1" applyFont="1" applyFill="1" applyBorder="1" applyAlignment="1">
      <alignment horizontal="center" wrapText="1"/>
    </xf>
    <xf numFmtId="168" fontId="30" fillId="5" borderId="16" xfId="58" applyNumberFormat="1" applyFont="1" applyFill="1" applyBorder="1" applyAlignment="1">
      <alignment horizontal="center" wrapText="1"/>
    </xf>
    <xf numFmtId="164" fontId="30" fillId="5" borderId="16" xfId="2" applyNumberFormat="1" applyFont="1" applyFill="1" applyBorder="1" applyAlignment="1">
      <alignment horizontal="center" wrapText="1"/>
    </xf>
    <xf numFmtId="168" fontId="29" fillId="5" borderId="16" xfId="2" applyNumberFormat="1" applyFill="1" applyBorder="1"/>
    <xf numFmtId="0" fontId="30" fillId="0" borderId="0" xfId="2" applyFont="1" applyFill="1" applyAlignment="1">
      <alignment horizontal="right"/>
    </xf>
    <xf numFmtId="0" fontId="11" fillId="0" borderId="0" xfId="62" applyAlignment="1">
      <alignment horizontal="center"/>
    </xf>
    <xf numFmtId="0" fontId="30" fillId="0" borderId="0" xfId="62" applyFont="1" applyAlignment="1">
      <alignment horizontal="center"/>
    </xf>
    <xf numFmtId="49" fontId="29" fillId="0" borderId="0" xfId="52" applyNumberFormat="1" applyFont="1" applyFill="1" applyBorder="1" applyAlignment="1" applyProtection="1">
      <protection locked="0"/>
    </xf>
    <xf numFmtId="0" fontId="74" fillId="0" borderId="0" xfId="62" applyFont="1" applyAlignment="1">
      <alignment horizontal="center"/>
    </xf>
    <xf numFmtId="5" fontId="29" fillId="6" borderId="0" xfId="52" applyNumberFormat="1" applyFont="1" applyFill="1" applyBorder="1" applyProtection="1">
      <protection locked="0"/>
    </xf>
    <xf numFmtId="5" fontId="29" fillId="6" borderId="15" xfId="52" applyNumberFormat="1" applyFont="1" applyFill="1" applyBorder="1"/>
    <xf numFmtId="5" fontId="29" fillId="6" borderId="0" xfId="52" applyNumberFormat="1" applyFont="1" applyFill="1" applyBorder="1" applyProtection="1"/>
    <xf numFmtId="49" fontId="29" fillId="0" borderId="0" xfId="52" applyNumberFormat="1" applyFont="1" applyFill="1" applyBorder="1" applyAlignment="1" applyProtection="1">
      <protection locked="0"/>
    </xf>
    <xf numFmtId="37" fontId="30" fillId="6" borderId="2" xfId="19" applyNumberFormat="1" applyFont="1" applyFill="1" applyBorder="1"/>
    <xf numFmtId="168" fontId="30" fillId="6" borderId="16" xfId="58" applyNumberFormat="1" applyFont="1" applyFill="1" applyBorder="1"/>
    <xf numFmtId="49" fontId="29" fillId="2" borderId="0" xfId="2" applyNumberFormat="1" applyFont="1" applyFill="1" applyBorder="1" applyAlignment="1" applyProtection="1">
      <protection locked="0"/>
    </xf>
    <xf numFmtId="3" fontId="29" fillId="2" borderId="0" xfId="2" applyNumberFormat="1" applyFill="1" applyBorder="1" applyProtection="1">
      <protection locked="0"/>
    </xf>
    <xf numFmtId="0" fontId="29" fillId="0" borderId="0" xfId="2" applyBorder="1" applyAlignment="1">
      <alignment horizontal="left"/>
    </xf>
    <xf numFmtId="168" fontId="29" fillId="0" borderId="0" xfId="58" applyNumberFormat="1" applyFont="1" applyBorder="1"/>
    <xf numFmtId="0" fontId="7" fillId="0" borderId="0" xfId="90"/>
    <xf numFmtId="49" fontId="29" fillId="0" borderId="0" xfId="109" applyNumberFormat="1" applyFont="1" applyFill="1" applyBorder="1" applyAlignment="1" applyProtection="1">
      <protection locked="0"/>
    </xf>
    <xf numFmtId="3" fontId="7" fillId="0" borderId="0" xfId="90" applyNumberFormat="1"/>
    <xf numFmtId="0" fontId="7" fillId="0" borderId="0" xfId="90"/>
    <xf numFmtId="49" fontId="29" fillId="0" borderId="0" xfId="109" applyNumberFormat="1" applyFont="1" applyFill="1" applyBorder="1" applyAlignment="1" applyProtection="1">
      <protection locked="0"/>
    </xf>
    <xf numFmtId="3" fontId="7" fillId="0" borderId="0" xfId="90" applyNumberFormat="1"/>
    <xf numFmtId="0" fontId="7" fillId="0" borderId="0" xfId="90"/>
    <xf numFmtId="3" fontId="7" fillId="0" borderId="0" xfId="90" applyNumberFormat="1"/>
    <xf numFmtId="49" fontId="29" fillId="6" borderId="18" xfId="73" applyNumberFormat="1" applyFont="1" applyFill="1" applyBorder="1" applyAlignment="1" applyProtection="1">
      <protection locked="0"/>
    </xf>
    <xf numFmtId="0" fontId="7" fillId="0" borderId="0" xfId="90"/>
    <xf numFmtId="3" fontId="7" fillId="0" borderId="0" xfId="90" applyNumberFormat="1"/>
    <xf numFmtId="49" fontId="29" fillId="6" borderId="18" xfId="73" applyNumberFormat="1" applyFont="1" applyFill="1" applyBorder="1" applyAlignment="1" applyProtection="1">
      <protection locked="0"/>
    </xf>
    <xf numFmtId="0" fontId="30" fillId="0" borderId="0" xfId="73" applyFont="1" applyFill="1" applyBorder="1" applyAlignment="1">
      <alignment horizontal="right"/>
    </xf>
    <xf numFmtId="0" fontId="7" fillId="0" borderId="0" xfId="90"/>
    <xf numFmtId="3" fontId="7" fillId="0" borderId="0" xfId="90" applyNumberFormat="1"/>
    <xf numFmtId="49" fontId="29" fillId="6" borderId="18" xfId="73" applyNumberFormat="1" applyFont="1" applyFill="1" applyBorder="1" applyAlignment="1" applyProtection="1">
      <protection locked="0"/>
    </xf>
    <xf numFmtId="0" fontId="30" fillId="0" borderId="0" xfId="73" applyFont="1" applyFill="1" applyBorder="1" applyAlignment="1">
      <alignment horizontal="right"/>
    </xf>
    <xf numFmtId="0" fontId="5" fillId="0" borderId="0" xfId="3" applyFont="1" applyFill="1"/>
    <xf numFmtId="37" fontId="17" fillId="0" borderId="0" xfId="42" applyNumberFormat="1"/>
    <xf numFmtId="169" fontId="17" fillId="0" borderId="0" xfId="1" applyNumberFormat="1" applyFont="1" applyBorder="1"/>
    <xf numFmtId="0" fontId="64" fillId="0" borderId="16" xfId="0" applyFont="1" applyBorder="1"/>
    <xf numFmtId="167" fontId="64" fillId="0" borderId="16" xfId="0" applyNumberFormat="1" applyFont="1" applyBorder="1"/>
    <xf numFmtId="0" fontId="64" fillId="0" borderId="16" xfId="0" applyFont="1" applyFill="1" applyBorder="1"/>
    <xf numFmtId="0" fontId="64" fillId="0" borderId="16" xfId="0" applyFont="1" applyFill="1" applyBorder="1" applyAlignment="1">
      <alignment horizontal="right"/>
    </xf>
    <xf numFmtId="1" fontId="64" fillId="0" borderId="16" xfId="59" applyNumberFormat="1" applyFont="1" applyFill="1" applyBorder="1"/>
    <xf numFmtId="43" fontId="64" fillId="0" borderId="16" xfId="59" applyFont="1" applyFill="1" applyBorder="1"/>
    <xf numFmtId="0" fontId="64" fillId="0" borderId="16" xfId="0" applyFont="1" applyBorder="1" applyAlignment="1">
      <alignment horizontal="right"/>
    </xf>
    <xf numFmtId="0" fontId="0" fillId="0" borderId="16" xfId="0" applyBorder="1"/>
    <xf numFmtId="167" fontId="0" fillId="0" borderId="16" xfId="0" applyNumberFormat="1" applyBorder="1"/>
    <xf numFmtId="0" fontId="4" fillId="0" borderId="16" xfId="7" applyFont="1" applyBorder="1"/>
    <xf numFmtId="0" fontId="4" fillId="0" borderId="16" xfId="7" applyFont="1" applyBorder="1" applyAlignment="1">
      <alignment horizontal="right"/>
    </xf>
    <xf numFmtId="167" fontId="4" fillId="0" borderId="16" xfId="55" applyNumberFormat="1" applyFont="1" applyBorder="1"/>
    <xf numFmtId="0" fontId="4" fillId="0" borderId="16" xfId="7" applyFont="1" applyFill="1" applyBorder="1"/>
    <xf numFmtId="167" fontId="4" fillId="0" borderId="16" xfId="55" applyNumberFormat="1" applyFont="1" applyFill="1" applyBorder="1"/>
    <xf numFmtId="167" fontId="4" fillId="0" borderId="16" xfId="7" applyNumberFormat="1" applyFont="1" applyBorder="1"/>
    <xf numFmtId="167" fontId="64" fillId="0" borderId="16" xfId="55" applyNumberFormat="1" applyFont="1" applyBorder="1"/>
    <xf numFmtId="167" fontId="64" fillId="0" borderId="16" xfId="55" applyNumberFormat="1" applyFont="1" applyFill="1" applyBorder="1"/>
    <xf numFmtId="0" fontId="9" fillId="0" borderId="16" xfId="3" applyFont="1" applyBorder="1"/>
    <xf numFmtId="3" fontId="9" fillId="0" borderId="16" xfId="3" applyNumberFormat="1" applyFont="1" applyBorder="1"/>
    <xf numFmtId="4" fontId="0" fillId="0" borderId="16" xfId="5" applyNumberFormat="1" applyFont="1" applyBorder="1"/>
    <xf numFmtId="43" fontId="0" fillId="0" borderId="16" xfId="5" applyNumberFormat="1" applyFont="1" applyBorder="1"/>
    <xf numFmtId="0" fontId="5" fillId="0" borderId="16" xfId="3" applyFont="1" applyBorder="1"/>
    <xf numFmtId="0" fontId="6" fillId="0" borderId="16" xfId="3" applyFont="1" applyBorder="1"/>
    <xf numFmtId="0" fontId="9" fillId="0" borderId="16" xfId="3" applyFont="1" applyFill="1" applyBorder="1"/>
    <xf numFmtId="7" fontId="66" fillId="0" borderId="0" xfId="36" applyNumberFormat="1"/>
    <xf numFmtId="167" fontId="0" fillId="0" borderId="0" xfId="1" applyNumberFormat="1" applyFont="1" applyBorder="1"/>
    <xf numFmtId="164" fontId="66" fillId="0" borderId="0" xfId="36" applyNumberFormat="1"/>
    <xf numFmtId="169" fontId="28" fillId="0" borderId="0" xfId="1" applyNumberFormat="1" applyFont="1"/>
    <xf numFmtId="37" fontId="29" fillId="2" borderId="16" xfId="58" applyNumberFormat="1" applyFont="1" applyFill="1" applyBorder="1" applyProtection="1">
      <protection locked="0"/>
    </xf>
    <xf numFmtId="44" fontId="0" fillId="0" borderId="0" xfId="0" applyNumberFormat="1"/>
    <xf numFmtId="5" fontId="68" fillId="0" borderId="0" xfId="0" applyNumberFormat="1" applyFont="1"/>
    <xf numFmtId="5" fontId="0" fillId="0" borderId="0" xfId="0" applyNumberFormat="1"/>
    <xf numFmtId="3" fontId="29" fillId="0" borderId="0" xfId="52" applyNumberFormat="1" applyFont="1" applyFill="1" applyBorder="1"/>
    <xf numFmtId="3" fontId="0" fillId="0" borderId="26" xfId="0" applyNumberFormat="1" applyBorder="1"/>
    <xf numFmtId="49" fontId="0" fillId="2" borderId="18" xfId="0" applyNumberFormat="1" applyFill="1" applyBorder="1" applyAlignment="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0" fontId="29" fillId="0" borderId="0" xfId="2" applyFont="1" applyAlignment="1"/>
    <xf numFmtId="3" fontId="0" fillId="2" borderId="16" xfId="0" applyNumberFormat="1" applyFill="1" applyBorder="1" applyProtection="1"/>
    <xf numFmtId="0" fontId="36" fillId="15" borderId="16" xfId="3" applyFont="1" applyFill="1" applyBorder="1" applyAlignment="1">
      <alignment horizontal="center" wrapText="1"/>
    </xf>
    <xf numFmtId="0" fontId="36" fillId="0" borderId="0" xfId="3" applyFont="1" applyFill="1"/>
    <xf numFmtId="0" fontId="81" fillId="15" borderId="16" xfId="0" applyFont="1" applyFill="1" applyBorder="1" applyAlignment="1">
      <alignment horizontal="center"/>
    </xf>
    <xf numFmtId="0" fontId="82" fillId="15" borderId="29" xfId="0" applyFont="1" applyFill="1" applyBorder="1" applyAlignment="1">
      <alignment horizontal="center" wrapText="1"/>
    </xf>
    <xf numFmtId="0" fontId="82" fillId="15" borderId="30" xfId="0" applyFont="1" applyFill="1" applyBorder="1" applyAlignment="1">
      <alignment horizontal="center" wrapText="1"/>
    </xf>
    <xf numFmtId="0" fontId="36" fillId="15" borderId="2" xfId="3" applyFont="1" applyFill="1" applyBorder="1" applyAlignment="1">
      <alignment horizontal="center" wrapText="1"/>
    </xf>
    <xf numFmtId="0" fontId="36" fillId="0" borderId="2" xfId="3" applyFont="1" applyFill="1" applyBorder="1" applyAlignment="1">
      <alignment horizontal="left" wrapText="1"/>
    </xf>
    <xf numFmtId="0" fontId="3" fillId="0" borderId="2" xfId="3" applyFont="1" applyFill="1" applyBorder="1" applyAlignment="1">
      <alignment horizontal="left" wrapText="1"/>
    </xf>
    <xf numFmtId="0" fontId="36" fillId="15" borderId="16" xfId="7" applyFont="1" applyFill="1" applyBorder="1" applyAlignment="1">
      <alignment horizontal="center" wrapText="1"/>
    </xf>
    <xf numFmtId="168" fontId="36" fillId="15" borderId="16" xfId="55" applyNumberFormat="1" applyFont="1" applyFill="1" applyBorder="1" applyAlignment="1">
      <alignment horizontal="center" wrapText="1"/>
    </xf>
    <xf numFmtId="38" fontId="36" fillId="15" borderId="16" xfId="7" applyNumberFormat="1" applyFont="1" applyFill="1" applyBorder="1" applyAlignment="1">
      <alignment horizontal="center" wrapText="1"/>
    </xf>
    <xf numFmtId="37" fontId="36" fillId="15" borderId="16" xfId="7" applyNumberFormat="1" applyFont="1" applyFill="1" applyBorder="1" applyAlignment="1">
      <alignment horizontal="center" wrapText="1"/>
    </xf>
    <xf numFmtId="0" fontId="81" fillId="0" borderId="0" xfId="0" applyFont="1"/>
    <xf numFmtId="49" fontId="36" fillId="15" borderId="2" xfId="3" applyNumberFormat="1" applyFont="1" applyFill="1" applyBorder="1" applyAlignment="1">
      <alignment horizontal="center" wrapText="1"/>
    </xf>
    <xf numFmtId="167" fontId="36" fillId="15" borderId="2" xfId="3" applyNumberFormat="1" applyFont="1" applyFill="1" applyBorder="1" applyAlignment="1">
      <alignment horizontal="center" wrapText="1"/>
    </xf>
    <xf numFmtId="9" fontId="36" fillId="15" borderId="2" xfId="6" applyFont="1" applyFill="1" applyBorder="1" applyAlignment="1">
      <alignment horizontal="center" wrapText="1"/>
    </xf>
    <xf numFmtId="167" fontId="36" fillId="15" borderId="2" xfId="8" applyNumberFormat="1" applyFont="1" applyFill="1" applyBorder="1" applyAlignment="1">
      <alignment horizontal="center" wrapText="1"/>
    </xf>
    <xf numFmtId="0" fontId="2" fillId="0" borderId="16" xfId="7" applyFont="1" applyBorder="1"/>
    <xf numFmtId="3" fontId="3" fillId="0" borderId="2" xfId="3" applyNumberFormat="1" applyFont="1" applyFill="1" applyBorder="1" applyAlignment="1"/>
    <xf numFmtId="5" fontId="3" fillId="0" borderId="2" xfId="19" applyNumberFormat="1" applyFont="1" applyFill="1" applyBorder="1" applyAlignment="1"/>
    <xf numFmtId="10" fontId="3" fillId="0" borderId="2" xfId="6" applyNumberFormat="1" applyFont="1" applyFill="1" applyBorder="1" applyAlignment="1"/>
    <xf numFmtId="167" fontId="3" fillId="0" borderId="2" xfId="19" applyNumberFormat="1" applyFont="1" applyFill="1" applyBorder="1" applyAlignment="1"/>
    <xf numFmtId="167" fontId="3" fillId="0" borderId="2" xfId="18" applyNumberFormat="1" applyFont="1" applyFill="1" applyBorder="1" applyAlignment="1"/>
    <xf numFmtId="166" fontId="36" fillId="0" borderId="2" xfId="18" applyNumberFormat="1" applyFont="1" applyFill="1" applyBorder="1" applyAlignment="1"/>
    <xf numFmtId="5" fontId="36" fillId="0" borderId="2" xfId="19" applyNumberFormat="1" applyFont="1" applyFill="1" applyBorder="1" applyAlignment="1"/>
    <xf numFmtId="9" fontId="36" fillId="0" borderId="2" xfId="1" applyFont="1" applyFill="1" applyBorder="1" applyAlignment="1"/>
    <xf numFmtId="167" fontId="36" fillId="0" borderId="2" xfId="18" applyNumberFormat="1" applyFont="1" applyFill="1" applyBorder="1" applyAlignment="1"/>
    <xf numFmtId="4" fontId="36" fillId="0" borderId="0" xfId="3" applyNumberFormat="1" applyFont="1" applyBorder="1"/>
    <xf numFmtId="0" fontId="2" fillId="0" borderId="2" xfId="3" applyFont="1" applyFill="1" applyBorder="1" applyAlignment="1">
      <alignment wrapText="1"/>
    </xf>
    <xf numFmtId="49" fontId="36" fillId="15" borderId="16" xfId="3" applyNumberFormat="1" applyFont="1" applyFill="1" applyBorder="1" applyAlignment="1">
      <alignment horizontal="center" wrapText="1"/>
    </xf>
    <xf numFmtId="0" fontId="2" fillId="0" borderId="16" xfId="3" applyFont="1" applyBorder="1"/>
    <xf numFmtId="0" fontId="28" fillId="0" borderId="16" xfId="3" applyFill="1" applyBorder="1"/>
    <xf numFmtId="0" fontId="20" fillId="0" borderId="16" xfId="3" applyFont="1" applyBorder="1"/>
    <xf numFmtId="0" fontId="28" fillId="8" borderId="16" xfId="3" applyFill="1" applyBorder="1"/>
    <xf numFmtId="0" fontId="21" fillId="0" borderId="16" xfId="3" applyFont="1" applyFill="1" applyBorder="1"/>
    <xf numFmtId="0" fontId="21" fillId="0" borderId="16" xfId="3" applyFont="1" applyBorder="1"/>
    <xf numFmtId="0" fontId="17" fillId="0" borderId="16" xfId="3" applyFont="1" applyFill="1" applyBorder="1"/>
    <xf numFmtId="0" fontId="64" fillId="0" borderId="16" xfId="42" applyFont="1" applyBorder="1"/>
    <xf numFmtId="0" fontId="17" fillId="0" borderId="16" xfId="42" applyFont="1" applyFill="1" applyBorder="1"/>
    <xf numFmtId="0" fontId="17" fillId="0" borderId="16" xfId="42" applyFont="1" applyBorder="1"/>
    <xf numFmtId="0" fontId="17" fillId="0" borderId="16" xfId="42" applyBorder="1"/>
    <xf numFmtId="0" fontId="20" fillId="0" borderId="16" xfId="3" applyFont="1" applyFill="1" applyBorder="1"/>
    <xf numFmtId="167" fontId="28" fillId="0" borderId="2" xfId="3" applyNumberFormat="1" applyBorder="1" applyAlignment="1">
      <alignment horizontal="right"/>
    </xf>
    <xf numFmtId="167" fontId="28" fillId="8" borderId="2" xfId="3" applyNumberFormat="1" applyFill="1" applyBorder="1" applyAlignment="1">
      <alignment horizontal="right"/>
    </xf>
    <xf numFmtId="167" fontId="28" fillId="0" borderId="2" xfId="3" applyNumberFormat="1" applyFill="1" applyBorder="1" applyAlignment="1">
      <alignment horizontal="right"/>
    </xf>
    <xf numFmtId="167" fontId="17" fillId="0" borderId="2" xfId="42" applyNumberFormat="1" applyBorder="1" applyAlignment="1">
      <alignment horizontal="right"/>
    </xf>
    <xf numFmtId="5" fontId="28" fillId="0" borderId="2" xfId="3" applyNumberFormat="1" applyBorder="1" applyAlignment="1">
      <alignment horizontal="right"/>
    </xf>
    <xf numFmtId="5" fontId="28" fillId="8" borderId="2" xfId="3" applyNumberFormat="1" applyFill="1" applyBorder="1" applyAlignment="1">
      <alignment horizontal="right"/>
    </xf>
    <xf numFmtId="5" fontId="28" fillId="0" borderId="2" xfId="3" applyNumberFormat="1" applyFill="1" applyBorder="1" applyAlignment="1">
      <alignment horizontal="right"/>
    </xf>
    <xf numFmtId="5" fontId="17" fillId="0" borderId="2" xfId="42" applyNumberFormat="1" applyBorder="1" applyAlignment="1">
      <alignment horizontal="right"/>
    </xf>
    <xf numFmtId="5" fontId="0" fillId="0" borderId="2" xfId="5" applyNumberFormat="1" applyFont="1" applyFill="1" applyBorder="1"/>
    <xf numFmtId="0" fontId="36" fillId="0" borderId="1" xfId="3" applyFont="1" applyFill="1" applyBorder="1" applyAlignment="1">
      <alignment horizontal="center" wrapText="1"/>
    </xf>
    <xf numFmtId="0" fontId="36" fillId="0" borderId="1" xfId="3" applyFont="1" applyBorder="1" applyAlignment="1">
      <alignment horizontal="center"/>
    </xf>
    <xf numFmtId="0" fontId="36" fillId="0" borderId="0" xfId="3" applyFont="1" applyAlignment="1">
      <alignment horizontal="left"/>
    </xf>
    <xf numFmtId="0" fontId="1" fillId="0" borderId="0" xfId="3" applyFont="1" applyAlignment="1">
      <alignment horizontal="left" wrapText="1"/>
    </xf>
    <xf numFmtId="0" fontId="13" fillId="0" borderId="0" xfId="3" applyFont="1" applyAlignment="1">
      <alignment horizontal="left" wrapText="1"/>
    </xf>
    <xf numFmtId="49" fontId="61" fillId="0" borderId="0" xfId="20" applyNumberFormat="1" applyFont="1" applyFill="1" applyBorder="1" applyAlignment="1">
      <alignment horizontal="center"/>
    </xf>
    <xf numFmtId="49" fontId="32" fillId="2" borderId="4" xfId="0" applyNumberFormat="1" applyFont="1" applyFill="1" applyBorder="1" applyAlignment="1" applyProtection="1">
      <protection locked="0"/>
    </xf>
    <xf numFmtId="49" fontId="32" fillId="2" borderId="5" xfId="0" applyNumberFormat="1" applyFont="1" applyFill="1" applyBorder="1" applyAlignment="1" applyProtection="1">
      <protection locked="0"/>
    </xf>
    <xf numFmtId="49" fontId="32" fillId="2" borderId="6" xfId="0" applyNumberFormat="1" applyFont="1" applyFill="1" applyBorder="1" applyAlignment="1" applyProtection="1">
      <protection locked="0"/>
    </xf>
    <xf numFmtId="49" fontId="29" fillId="0" borderId="0" xfId="20" applyNumberFormat="1" applyFont="1" applyFill="1" applyBorder="1" applyAlignment="1" applyProtection="1">
      <protection locked="0"/>
    </xf>
    <xf numFmtId="49" fontId="29" fillId="0" borderId="14" xfId="20" applyNumberFormat="1" applyFont="1" applyFill="1" applyBorder="1" applyAlignment="1" applyProtection="1">
      <protection locked="0"/>
    </xf>
    <xf numFmtId="49" fontId="32" fillId="2" borderId="18" xfId="0" applyNumberFormat="1" applyFont="1" applyFill="1" applyBorder="1" applyAlignment="1" applyProtection="1">
      <protection locked="0"/>
    </xf>
    <xf numFmtId="49" fontId="32" fillId="2" borderId="19" xfId="0" applyNumberFormat="1" applyFont="1" applyFill="1" applyBorder="1" applyAlignment="1" applyProtection="1">
      <protection locked="0"/>
    </xf>
    <xf numFmtId="49" fontId="32" fillId="2" borderId="20" xfId="0" applyNumberFormat="1" applyFont="1" applyFill="1" applyBorder="1" applyAlignment="1" applyProtection="1">
      <protection locked="0"/>
    </xf>
    <xf numFmtId="49" fontId="0" fillId="2" borderId="18" xfId="0" applyNumberFormat="1" applyFill="1" applyBorder="1" applyAlignment="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0" fontId="29" fillId="0" borderId="15" xfId="0" applyFont="1" applyBorder="1" applyAlignment="1"/>
    <xf numFmtId="0" fontId="30" fillId="0" borderId="15" xfId="0" applyFont="1" applyBorder="1" applyAlignment="1">
      <alignment wrapText="1"/>
    </xf>
    <xf numFmtId="0" fontId="29" fillId="0" borderId="0" xfId="0" applyFont="1" applyAlignment="1"/>
    <xf numFmtId="0" fontId="33" fillId="0" borderId="0" xfId="0" applyFont="1" applyAlignment="1">
      <alignment horizontal="center"/>
    </xf>
    <xf numFmtId="49" fontId="0" fillId="4" borderId="18" xfId="0" applyNumberFormat="1" applyFill="1" applyBorder="1" applyAlignment="1" applyProtection="1">
      <alignment shrinkToFit="1"/>
      <protection locked="0"/>
    </xf>
    <xf numFmtId="49" fontId="0" fillId="4" borderId="19" xfId="0" applyNumberFormat="1" applyFill="1" applyBorder="1" applyAlignment="1" applyProtection="1">
      <alignment shrinkToFit="1"/>
      <protection locked="0"/>
    </xf>
    <xf numFmtId="0" fontId="34" fillId="0" borderId="0" xfId="0" applyFont="1" applyFill="1" applyBorder="1" applyAlignment="1">
      <alignment vertical="justify" wrapText="1"/>
    </xf>
    <xf numFmtId="49" fontId="0" fillId="4" borderId="20" xfId="0" applyNumberFormat="1" applyFill="1" applyBorder="1" applyAlignment="1" applyProtection="1">
      <alignment shrinkToFit="1"/>
      <protection locked="0"/>
    </xf>
    <xf numFmtId="1" fontId="0" fillId="4" borderId="18" xfId="0" quotePrefix="1" applyNumberFormat="1" applyFill="1" applyBorder="1" applyAlignment="1" applyProtection="1">
      <alignment shrinkToFit="1"/>
      <protection locked="0"/>
    </xf>
    <xf numFmtId="1" fontId="0" fillId="4" borderId="19" xfId="0" quotePrefix="1" applyNumberFormat="1" applyFill="1" applyBorder="1" applyAlignment="1" applyProtection="1">
      <alignment shrinkToFit="1"/>
      <protection locked="0"/>
    </xf>
    <xf numFmtId="1" fontId="0" fillId="4" borderId="20" xfId="0" quotePrefix="1" applyNumberFormat="1" applyFill="1" applyBorder="1" applyAlignment="1" applyProtection="1">
      <alignment shrinkToFit="1"/>
      <protection locked="0"/>
    </xf>
    <xf numFmtId="3" fontId="0" fillId="4" borderId="18" xfId="0" applyNumberFormat="1" applyFill="1" applyBorder="1" applyAlignment="1" applyProtection="1">
      <alignment shrinkToFit="1"/>
      <protection locked="0"/>
    </xf>
    <xf numFmtId="3" fontId="0" fillId="4" borderId="19" xfId="0" applyNumberFormat="1" applyFill="1" applyBorder="1" applyAlignment="1" applyProtection="1">
      <alignment shrinkToFit="1"/>
      <protection locked="0"/>
    </xf>
    <xf numFmtId="3" fontId="0" fillId="4" borderId="20" xfId="0" applyNumberFormat="1" applyFill="1" applyBorder="1" applyAlignment="1" applyProtection="1">
      <alignment shrinkToFit="1"/>
      <protection locked="0"/>
    </xf>
    <xf numFmtId="165" fontId="0" fillId="4" borderId="18" xfId="0" applyNumberFormat="1" applyFill="1" applyBorder="1" applyAlignment="1" applyProtection="1">
      <alignment shrinkToFit="1"/>
      <protection locked="0"/>
    </xf>
    <xf numFmtId="165" fontId="0" fillId="4" borderId="19" xfId="0" applyNumberFormat="1" applyFill="1" applyBorder="1" applyAlignment="1" applyProtection="1">
      <alignment shrinkToFit="1"/>
      <protection locked="0"/>
    </xf>
    <xf numFmtId="165" fontId="0" fillId="4" borderId="20" xfId="0" applyNumberFormat="1" applyFill="1" applyBorder="1" applyAlignment="1" applyProtection="1">
      <alignment shrinkToFit="1"/>
      <protection locked="0"/>
    </xf>
    <xf numFmtId="3" fontId="0" fillId="9" borderId="18" xfId="0" applyNumberFormat="1" applyFill="1" applyBorder="1" applyAlignment="1" applyProtection="1">
      <alignment horizontal="left" shrinkToFit="1"/>
      <protection locked="0"/>
    </xf>
    <xf numFmtId="3" fontId="0" fillId="9" borderId="19" xfId="0" applyNumberFormat="1" applyFill="1" applyBorder="1" applyAlignment="1" applyProtection="1">
      <alignment horizontal="left" shrinkToFit="1"/>
      <protection locked="0"/>
    </xf>
    <xf numFmtId="3" fontId="0" fillId="9" borderId="20" xfId="0" applyNumberFormat="1" applyFill="1" applyBorder="1" applyAlignment="1" applyProtection="1">
      <alignment horizontal="left" shrinkToFit="1"/>
      <protection locked="0"/>
    </xf>
    <xf numFmtId="1" fontId="0" fillId="4" borderId="18" xfId="0" applyNumberFormat="1" applyFill="1" applyBorder="1" applyAlignment="1" applyProtection="1">
      <alignment shrinkToFit="1"/>
      <protection locked="0"/>
    </xf>
    <xf numFmtId="1" fontId="0" fillId="4" borderId="19" xfId="0" applyNumberFormat="1" applyFill="1" applyBorder="1" applyAlignment="1" applyProtection="1">
      <alignment shrinkToFit="1"/>
      <protection locked="0"/>
    </xf>
    <xf numFmtId="1" fontId="0" fillId="4" borderId="20" xfId="0" applyNumberFormat="1" applyFill="1" applyBorder="1" applyAlignment="1" applyProtection="1">
      <alignment shrinkToFit="1"/>
      <protection locked="0"/>
    </xf>
    <xf numFmtId="3" fontId="0" fillId="4" borderId="18" xfId="0" quotePrefix="1" applyNumberFormat="1" applyFill="1" applyBorder="1" applyAlignment="1" applyProtection="1">
      <alignment shrinkToFit="1"/>
      <protection locked="0"/>
    </xf>
    <xf numFmtId="3" fontId="0" fillId="4" borderId="19" xfId="0" quotePrefix="1" applyNumberFormat="1" applyFill="1" applyBorder="1" applyAlignment="1" applyProtection="1">
      <alignment shrinkToFit="1"/>
      <protection locked="0"/>
    </xf>
    <xf numFmtId="3" fontId="0" fillId="4" borderId="20" xfId="0" quotePrefix="1" applyNumberFormat="1" applyFill="1" applyBorder="1" applyAlignment="1" applyProtection="1">
      <alignment shrinkToFit="1"/>
      <protection locked="0"/>
    </xf>
    <xf numFmtId="165" fontId="0" fillId="4" borderId="18" xfId="0" quotePrefix="1" applyNumberFormat="1" applyFill="1" applyBorder="1" applyAlignment="1" applyProtection="1">
      <alignment shrinkToFit="1"/>
      <protection locked="0"/>
    </xf>
    <xf numFmtId="165" fontId="0" fillId="4" borderId="19" xfId="0" quotePrefix="1" applyNumberFormat="1" applyFill="1" applyBorder="1" applyAlignment="1" applyProtection="1">
      <alignment shrinkToFit="1"/>
      <protection locked="0"/>
    </xf>
    <xf numFmtId="165" fontId="0" fillId="4" borderId="20" xfId="0" quotePrefix="1" applyNumberFormat="1" applyFill="1" applyBorder="1" applyAlignment="1" applyProtection="1">
      <alignment shrinkToFit="1"/>
      <protection locked="0"/>
    </xf>
    <xf numFmtId="49" fontId="29" fillId="4" borderId="18" xfId="0" applyNumberFormat="1" applyFont="1" applyFill="1" applyBorder="1" applyAlignment="1" applyProtection="1">
      <alignment shrinkToFit="1"/>
      <protection locked="0"/>
    </xf>
    <xf numFmtId="49" fontId="29" fillId="4" borderId="19" xfId="0" applyNumberFormat="1" applyFont="1" applyFill="1" applyBorder="1" applyAlignment="1" applyProtection="1">
      <alignment shrinkToFit="1"/>
      <protection locked="0"/>
    </xf>
    <xf numFmtId="49" fontId="29" fillId="4" borderId="20" xfId="0" applyNumberFormat="1" applyFont="1" applyFill="1" applyBorder="1" applyAlignment="1" applyProtection="1">
      <alignment shrinkToFit="1"/>
      <protection locked="0"/>
    </xf>
    <xf numFmtId="165" fontId="29" fillId="4" borderId="18" xfId="0" applyNumberFormat="1" applyFont="1" applyFill="1" applyBorder="1" applyAlignment="1" applyProtection="1">
      <alignment shrinkToFit="1"/>
      <protection locked="0"/>
    </xf>
    <xf numFmtId="165" fontId="29" fillId="4" borderId="19" xfId="0" applyNumberFormat="1" applyFont="1" applyFill="1" applyBorder="1" applyAlignment="1" applyProtection="1">
      <alignment shrinkToFit="1"/>
      <protection locked="0"/>
    </xf>
    <xf numFmtId="165" fontId="29" fillId="4" borderId="20" xfId="0" applyNumberFormat="1" applyFont="1" applyFill="1" applyBorder="1" applyAlignment="1" applyProtection="1">
      <alignment shrinkToFit="1"/>
      <protection locked="0"/>
    </xf>
    <xf numFmtId="49" fontId="32" fillId="2" borderId="18" xfId="52" applyNumberFormat="1" applyFont="1" applyFill="1" applyBorder="1" applyAlignment="1" applyProtection="1">
      <protection locked="0"/>
    </xf>
    <xf numFmtId="49" fontId="32" fillId="2" borderId="19" xfId="52" applyNumberFormat="1" applyFont="1" applyFill="1" applyBorder="1" applyAlignment="1" applyProtection="1">
      <protection locked="0"/>
    </xf>
    <xf numFmtId="49" fontId="32" fillId="2" borderId="20" xfId="52" applyNumberFormat="1" applyFont="1" applyFill="1" applyBorder="1" applyAlignment="1" applyProtection="1">
      <protection locked="0"/>
    </xf>
    <xf numFmtId="49" fontId="12" fillId="2" borderId="18" xfId="52" applyNumberFormat="1" applyFill="1" applyBorder="1" applyAlignment="1" applyProtection="1">
      <protection locked="0"/>
    </xf>
    <xf numFmtId="49" fontId="12" fillId="2" borderId="19" xfId="52" applyNumberFormat="1" applyFill="1" applyBorder="1" applyAlignment="1" applyProtection="1">
      <protection locked="0"/>
    </xf>
    <xf numFmtId="49" fontId="12" fillId="2" borderId="20" xfId="52" applyNumberFormat="1" applyFill="1" applyBorder="1" applyAlignment="1" applyProtection="1">
      <protection locked="0"/>
    </xf>
    <xf numFmtId="0" fontId="33" fillId="0" borderId="0" xfId="52" applyFont="1" applyAlignment="1">
      <alignment horizontal="center"/>
    </xf>
    <xf numFmtId="49" fontId="12" fillId="4" borderId="18" xfId="52" applyNumberFormat="1" applyFill="1" applyBorder="1" applyAlignment="1" applyProtection="1">
      <alignment shrinkToFit="1"/>
      <protection locked="0"/>
    </xf>
    <xf numFmtId="49" fontId="12" fillId="4" borderId="19" xfId="52" applyNumberFormat="1" applyFill="1" applyBorder="1" applyAlignment="1" applyProtection="1">
      <alignment shrinkToFit="1"/>
      <protection locked="0"/>
    </xf>
    <xf numFmtId="49" fontId="12" fillId="4" borderId="20" xfId="52" applyNumberFormat="1" applyFill="1" applyBorder="1" applyAlignment="1" applyProtection="1">
      <alignment shrinkToFit="1"/>
      <protection locked="0"/>
    </xf>
    <xf numFmtId="1" fontId="12" fillId="4" borderId="18" xfId="52" quotePrefix="1" applyNumberFormat="1" applyFill="1" applyBorder="1" applyAlignment="1" applyProtection="1">
      <alignment shrinkToFit="1"/>
      <protection locked="0"/>
    </xf>
    <xf numFmtId="1" fontId="12" fillId="4" borderId="19" xfId="52" quotePrefix="1" applyNumberFormat="1" applyFill="1" applyBorder="1" applyAlignment="1" applyProtection="1">
      <alignment shrinkToFit="1"/>
      <protection locked="0"/>
    </xf>
    <xf numFmtId="1" fontId="12" fillId="4" borderId="20" xfId="52" quotePrefix="1" applyNumberFormat="1" applyFill="1" applyBorder="1" applyAlignment="1" applyProtection="1">
      <alignment shrinkToFit="1"/>
      <protection locked="0"/>
    </xf>
    <xf numFmtId="3" fontId="12" fillId="4" borderId="18" xfId="52" applyNumberFormat="1" applyFill="1" applyBorder="1" applyAlignment="1" applyProtection="1">
      <alignment horizontal="left" shrinkToFit="1"/>
      <protection locked="0"/>
    </xf>
    <xf numFmtId="3" fontId="12" fillId="4" borderId="19" xfId="52" applyNumberFormat="1" applyFill="1" applyBorder="1" applyAlignment="1" applyProtection="1">
      <alignment horizontal="left" shrinkToFit="1"/>
      <protection locked="0"/>
    </xf>
    <xf numFmtId="3" fontId="12" fillId="4" borderId="20" xfId="52" applyNumberFormat="1" applyFill="1" applyBorder="1" applyAlignment="1" applyProtection="1">
      <alignment horizontal="left" shrinkToFit="1"/>
      <protection locked="0"/>
    </xf>
    <xf numFmtId="165" fontId="12" fillId="4" borderId="18" xfId="52" applyNumberFormat="1" applyFill="1" applyBorder="1" applyAlignment="1" applyProtection="1">
      <alignment shrinkToFit="1"/>
      <protection locked="0"/>
    </xf>
    <xf numFmtId="165" fontId="12" fillId="4" borderId="19" xfId="52" applyNumberFormat="1" applyFill="1" applyBorder="1" applyAlignment="1" applyProtection="1">
      <alignment shrinkToFit="1"/>
      <protection locked="0"/>
    </xf>
    <xf numFmtId="165" fontId="12" fillId="4" borderId="20" xfId="52" applyNumberFormat="1" applyFill="1" applyBorder="1" applyAlignment="1" applyProtection="1">
      <alignment shrinkToFit="1"/>
      <protection locked="0"/>
    </xf>
    <xf numFmtId="0" fontId="34" fillId="0" borderId="0" xfId="52" applyFont="1" applyFill="1" applyBorder="1" applyAlignment="1">
      <alignment vertical="justify" wrapText="1"/>
    </xf>
    <xf numFmtId="0" fontId="29" fillId="0" borderId="0" xfId="52" applyFont="1" applyAlignment="1"/>
    <xf numFmtId="0" fontId="29" fillId="0" borderId="15" xfId="52" applyFont="1" applyBorder="1" applyAlignment="1"/>
    <xf numFmtId="0" fontId="30" fillId="0" borderId="15" xfId="52" applyFont="1" applyBorder="1" applyAlignment="1">
      <alignment wrapText="1"/>
    </xf>
    <xf numFmtId="49" fontId="55" fillId="4" borderId="18" xfId="16" applyNumberFormat="1" applyFill="1" applyBorder="1" applyAlignment="1" applyProtection="1">
      <alignment shrinkToFit="1"/>
      <protection locked="0"/>
    </xf>
    <xf numFmtId="49" fontId="55" fillId="4" borderId="19" xfId="16" applyNumberFormat="1" applyFill="1" applyBorder="1" applyAlignment="1" applyProtection="1">
      <alignment shrinkToFit="1"/>
      <protection locked="0"/>
    </xf>
    <xf numFmtId="0" fontId="34" fillId="0" borderId="0" xfId="2" applyFont="1" applyFill="1" applyBorder="1" applyAlignment="1">
      <alignment vertical="justify" wrapText="1"/>
    </xf>
    <xf numFmtId="49" fontId="32" fillId="2" borderId="18" xfId="2" applyNumberFormat="1" applyFont="1" applyFill="1" applyBorder="1" applyAlignment="1" applyProtection="1">
      <protection locked="0"/>
    </xf>
    <xf numFmtId="49" fontId="32" fillId="2" borderId="19" xfId="2" applyNumberFormat="1" applyFont="1" applyFill="1" applyBorder="1" applyAlignment="1" applyProtection="1">
      <protection locked="0"/>
    </xf>
    <xf numFmtId="49" fontId="32" fillId="2" borderId="20" xfId="2" applyNumberFormat="1" applyFont="1" applyFill="1" applyBorder="1" applyAlignment="1" applyProtection="1">
      <protection locked="0"/>
    </xf>
    <xf numFmtId="49" fontId="29" fillId="2" borderId="18" xfId="2" applyNumberFormat="1" applyFill="1" applyBorder="1" applyAlignment="1" applyProtection="1">
      <protection locked="0"/>
    </xf>
    <xf numFmtId="49" fontId="29" fillId="2" borderId="19" xfId="2" applyNumberFormat="1" applyFill="1" applyBorder="1" applyAlignment="1" applyProtection="1">
      <protection locked="0"/>
    </xf>
    <xf numFmtId="49" fontId="29" fillId="2" borderId="20" xfId="2" applyNumberFormat="1" applyFill="1" applyBorder="1" applyAlignment="1" applyProtection="1">
      <protection locked="0"/>
    </xf>
    <xf numFmtId="0" fontId="29" fillId="0" borderId="15" xfId="2" applyFont="1" applyBorder="1" applyAlignment="1"/>
    <xf numFmtId="0" fontId="29" fillId="0" borderId="0" xfId="2" applyFont="1" applyAlignment="1"/>
    <xf numFmtId="165" fontId="29" fillId="4" borderId="18" xfId="2" applyNumberFormat="1" applyFill="1" applyBorder="1" applyAlignment="1" applyProtection="1">
      <alignment shrinkToFit="1"/>
      <protection locked="0"/>
    </xf>
    <xf numFmtId="165" fontId="29" fillId="4" borderId="19" xfId="2" applyNumberFormat="1" applyFill="1" applyBorder="1" applyAlignment="1" applyProtection="1">
      <alignment shrinkToFit="1"/>
      <protection locked="0"/>
    </xf>
    <xf numFmtId="165" fontId="29" fillId="4" borderId="20" xfId="2" applyNumberFormat="1" applyFill="1" applyBorder="1" applyAlignment="1" applyProtection="1">
      <alignment shrinkToFit="1"/>
      <protection locked="0"/>
    </xf>
    <xf numFmtId="0" fontId="33" fillId="0" borderId="0" xfId="2" applyFont="1" applyAlignment="1">
      <alignment horizontal="center"/>
    </xf>
    <xf numFmtId="49" fontId="29" fillId="4" borderId="18" xfId="2" applyNumberFormat="1" applyFill="1" applyBorder="1" applyAlignment="1" applyProtection="1">
      <alignment shrinkToFit="1"/>
      <protection locked="0"/>
    </xf>
    <xf numFmtId="49" fontId="29" fillId="4" borderId="19" xfId="2" applyNumberFormat="1" applyFill="1" applyBorder="1" applyAlignment="1" applyProtection="1">
      <alignment shrinkToFit="1"/>
      <protection locked="0"/>
    </xf>
    <xf numFmtId="49" fontId="29" fillId="4" borderId="20" xfId="2" applyNumberFormat="1" applyFill="1" applyBorder="1" applyAlignment="1" applyProtection="1">
      <alignment shrinkToFit="1"/>
      <protection locked="0"/>
    </xf>
    <xf numFmtId="1" fontId="29" fillId="4" borderId="18" xfId="2" quotePrefix="1" applyNumberFormat="1" applyFill="1" applyBorder="1" applyAlignment="1" applyProtection="1">
      <alignment shrinkToFit="1"/>
      <protection locked="0"/>
    </xf>
    <xf numFmtId="1" fontId="29" fillId="4" borderId="19" xfId="2" quotePrefix="1" applyNumberFormat="1" applyFill="1" applyBorder="1" applyAlignment="1" applyProtection="1">
      <alignment shrinkToFit="1"/>
      <protection locked="0"/>
    </xf>
    <xf numFmtId="1" fontId="29" fillId="4" borderId="20" xfId="2" quotePrefix="1" applyNumberFormat="1" applyFill="1" applyBorder="1" applyAlignment="1" applyProtection="1">
      <alignment shrinkToFit="1"/>
      <protection locked="0"/>
    </xf>
    <xf numFmtId="3" fontId="29" fillId="4" borderId="18" xfId="2" applyNumberFormat="1" applyFill="1" applyBorder="1" applyAlignment="1" applyProtection="1">
      <alignment shrinkToFit="1"/>
      <protection locked="0"/>
    </xf>
    <xf numFmtId="3" fontId="29" fillId="4" borderId="19" xfId="2" applyNumberFormat="1" applyFill="1" applyBorder="1" applyAlignment="1" applyProtection="1">
      <alignment shrinkToFit="1"/>
      <protection locked="0"/>
    </xf>
    <xf numFmtId="3" fontId="29" fillId="4" borderId="20" xfId="2" applyNumberFormat="1" applyFill="1" applyBorder="1" applyAlignment="1" applyProtection="1">
      <alignment shrinkToFit="1"/>
      <protection locked="0"/>
    </xf>
    <xf numFmtId="0" fontId="30" fillId="0" borderId="15" xfId="2" applyFont="1" applyBorder="1" applyAlignment="1">
      <alignment wrapText="1"/>
    </xf>
    <xf numFmtId="0" fontId="56" fillId="5" borderId="18" xfId="52" applyFont="1" applyFill="1" applyBorder="1" applyAlignment="1">
      <alignment horizontal="left" wrapText="1" shrinkToFit="1"/>
    </xf>
    <xf numFmtId="0" fontId="56" fillId="5" borderId="19" xfId="52" applyFont="1" applyFill="1" applyBorder="1" applyAlignment="1">
      <alignment horizontal="left" wrapText="1" shrinkToFit="1"/>
    </xf>
    <xf numFmtId="0" fontId="56" fillId="5" borderId="20" xfId="52" applyFont="1" applyFill="1" applyBorder="1" applyAlignment="1">
      <alignment horizontal="left" wrapText="1" shrinkToFit="1"/>
    </xf>
    <xf numFmtId="3" fontId="29" fillId="4" borderId="18" xfId="2" applyNumberFormat="1" applyFill="1" applyBorder="1" applyAlignment="1" applyProtection="1">
      <alignment horizontal="left" shrinkToFit="1"/>
      <protection locked="0"/>
    </xf>
    <xf numFmtId="3" fontId="29" fillId="4" borderId="19" xfId="2" applyNumberFormat="1" applyFill="1" applyBorder="1" applyAlignment="1" applyProtection="1">
      <alignment horizontal="left" shrinkToFit="1"/>
      <protection locked="0"/>
    </xf>
    <xf numFmtId="3" fontId="29" fillId="4" borderId="20" xfId="2" applyNumberFormat="1" applyFill="1" applyBorder="1" applyAlignment="1" applyProtection="1">
      <alignment horizontal="left" shrinkToFit="1"/>
      <protection locked="0"/>
    </xf>
    <xf numFmtId="49" fontId="29" fillId="4" borderId="18" xfId="2" applyNumberFormat="1" applyFont="1" applyFill="1" applyBorder="1" applyAlignment="1" applyProtection="1">
      <alignment shrinkToFit="1"/>
      <protection locked="0"/>
    </xf>
    <xf numFmtId="49" fontId="29" fillId="4" borderId="19" xfId="2" applyNumberFormat="1" applyFont="1" applyFill="1" applyBorder="1" applyAlignment="1" applyProtection="1">
      <alignment shrinkToFit="1"/>
      <protection locked="0"/>
    </xf>
    <xf numFmtId="49" fontId="29" fillId="4" borderId="20" xfId="2" applyNumberFormat="1" applyFont="1" applyFill="1" applyBorder="1" applyAlignment="1" applyProtection="1">
      <alignment shrinkToFit="1"/>
      <protection locked="0"/>
    </xf>
    <xf numFmtId="49" fontId="29" fillId="2" borderId="18" xfId="2" applyNumberFormat="1" applyFont="1" applyFill="1" applyBorder="1" applyAlignment="1" applyProtection="1">
      <protection locked="0"/>
    </xf>
    <xf numFmtId="49" fontId="29" fillId="2" borderId="19" xfId="2" applyNumberFormat="1" applyFont="1" applyFill="1" applyBorder="1" applyAlignment="1" applyProtection="1">
      <protection locked="0"/>
    </xf>
    <xf numFmtId="49" fontId="29" fillId="2" borderId="20" xfId="2" applyNumberFormat="1" applyFont="1" applyFill="1" applyBorder="1" applyAlignment="1" applyProtection="1">
      <protection locked="0"/>
    </xf>
    <xf numFmtId="1" fontId="29" fillId="4" borderId="18" xfId="0" quotePrefix="1" applyNumberFormat="1" applyFont="1" applyFill="1" applyBorder="1" applyAlignment="1" applyProtection="1">
      <alignment shrinkToFit="1"/>
      <protection locked="0"/>
    </xf>
    <xf numFmtId="1" fontId="29" fillId="4" borderId="19" xfId="0" quotePrefix="1" applyNumberFormat="1" applyFont="1" applyFill="1" applyBorder="1" applyAlignment="1" applyProtection="1">
      <alignment shrinkToFit="1"/>
      <protection locked="0"/>
    </xf>
    <xf numFmtId="1" fontId="29" fillId="4" borderId="20" xfId="0" quotePrefix="1" applyNumberFormat="1" applyFont="1" applyFill="1" applyBorder="1" applyAlignment="1" applyProtection="1">
      <alignment shrinkToFit="1"/>
      <protection locked="0"/>
    </xf>
    <xf numFmtId="49" fontId="29" fillId="2" borderId="18" xfId="0" applyNumberFormat="1" applyFont="1" applyFill="1" applyBorder="1" applyAlignment="1" applyProtection="1">
      <protection locked="0"/>
    </xf>
    <xf numFmtId="49" fontId="29" fillId="2" borderId="19" xfId="0" applyNumberFormat="1" applyFont="1" applyFill="1" applyBorder="1" applyAlignment="1" applyProtection="1">
      <protection locked="0"/>
    </xf>
    <xf numFmtId="49" fontId="29" fillId="2" borderId="20" xfId="0" applyNumberFormat="1" applyFont="1" applyFill="1" applyBorder="1" applyAlignment="1" applyProtection="1">
      <protection locked="0"/>
    </xf>
    <xf numFmtId="0" fontId="0" fillId="0" borderId="0" xfId="0" applyAlignment="1"/>
    <xf numFmtId="49" fontId="0" fillId="2" borderId="28" xfId="0" applyNumberFormat="1" applyFill="1" applyBorder="1" applyAlignment="1" applyProtection="1">
      <protection locked="0"/>
    </xf>
    <xf numFmtId="49" fontId="0" fillId="2" borderId="15" xfId="0" applyNumberFormat="1" applyFill="1" applyBorder="1" applyAlignment="1" applyProtection="1">
      <protection locked="0"/>
    </xf>
    <xf numFmtId="0" fontId="0" fillId="0" borderId="15" xfId="0" applyBorder="1" applyAlignment="1">
      <alignment wrapText="1"/>
    </xf>
    <xf numFmtId="0" fontId="31" fillId="0" borderId="0" xfId="0" applyFont="1" applyAlignment="1">
      <alignment horizontal="center"/>
    </xf>
    <xf numFmtId="49" fontId="0" fillId="0" borderId="19" xfId="0" applyNumberFormat="1" applyBorder="1" applyAlignment="1" applyProtection="1">
      <alignment shrinkToFit="1"/>
      <protection locked="0"/>
    </xf>
    <xf numFmtId="49" fontId="0" fillId="0" borderId="20" xfId="0" applyNumberFormat="1" applyBorder="1" applyAlignment="1" applyProtection="1">
      <alignment shrinkToFit="1"/>
      <protection locked="0"/>
    </xf>
    <xf numFmtId="0" fontId="0" fillId="0" borderId="19" xfId="0" applyBorder="1" applyAlignment="1" applyProtection="1">
      <alignment shrinkToFit="1"/>
      <protection locked="0"/>
    </xf>
    <xf numFmtId="0" fontId="0" fillId="0" borderId="20" xfId="0" applyBorder="1" applyAlignment="1" applyProtection="1">
      <alignment shrinkToFit="1"/>
      <protection locked="0"/>
    </xf>
    <xf numFmtId="3" fontId="0" fillId="0" borderId="19" xfId="0" applyNumberFormat="1" applyBorder="1" applyAlignment="1" applyProtection="1">
      <alignment shrinkToFit="1"/>
      <protection locked="0"/>
    </xf>
    <xf numFmtId="3" fontId="0" fillId="0" borderId="20" xfId="0" applyNumberFormat="1" applyBorder="1" applyAlignment="1" applyProtection="1">
      <alignment shrinkToFit="1"/>
      <protection locked="0"/>
    </xf>
    <xf numFmtId="0" fontId="35" fillId="0" borderId="0" xfId="0" applyFont="1" applyAlignment="1">
      <alignment vertical="justify" wrapText="1"/>
    </xf>
    <xf numFmtId="0" fontId="35" fillId="0" borderId="0" xfId="0" applyFont="1" applyAlignment="1"/>
    <xf numFmtId="165" fontId="29" fillId="4" borderId="18" xfId="2" applyNumberFormat="1" applyFont="1" applyFill="1" applyBorder="1" applyAlignment="1" applyProtection="1">
      <alignment shrinkToFit="1"/>
      <protection locked="0"/>
    </xf>
    <xf numFmtId="165" fontId="29" fillId="4" borderId="19" xfId="2" applyNumberFormat="1" applyFont="1" applyFill="1" applyBorder="1" applyAlignment="1" applyProtection="1">
      <alignment shrinkToFit="1"/>
      <protection locked="0"/>
    </xf>
    <xf numFmtId="165" fontId="29" fillId="4" borderId="20" xfId="2" applyNumberFormat="1" applyFont="1" applyFill="1" applyBorder="1" applyAlignment="1" applyProtection="1">
      <alignment shrinkToFit="1"/>
      <protection locked="0"/>
    </xf>
    <xf numFmtId="49" fontId="32" fillId="6" borderId="18" xfId="0" applyNumberFormat="1" applyFont="1" applyFill="1" applyBorder="1" applyAlignment="1" applyProtection="1">
      <protection locked="0"/>
    </xf>
    <xf numFmtId="49" fontId="32" fillId="6" borderId="19" xfId="0" applyNumberFormat="1" applyFont="1" applyFill="1" applyBorder="1" applyAlignment="1" applyProtection="1">
      <protection locked="0"/>
    </xf>
    <xf numFmtId="49" fontId="32" fillId="6" borderId="20" xfId="0" applyNumberFormat="1" applyFont="1" applyFill="1" applyBorder="1" applyAlignment="1" applyProtection="1">
      <protection locked="0"/>
    </xf>
    <xf numFmtId="49" fontId="29" fillId="6" borderId="18" xfId="0" applyNumberFormat="1" applyFont="1" applyFill="1" applyBorder="1" applyAlignment="1" applyProtection="1">
      <protection locked="0"/>
    </xf>
    <xf numFmtId="49" fontId="29" fillId="6" borderId="19" xfId="0" applyNumberFormat="1" applyFont="1" applyFill="1" applyBorder="1" applyAlignment="1" applyProtection="1">
      <protection locked="0"/>
    </xf>
    <xf numFmtId="49" fontId="29" fillId="6" borderId="20" xfId="0" applyNumberFormat="1" applyFont="1" applyFill="1" applyBorder="1" applyAlignment="1" applyProtection="1">
      <protection locked="0"/>
    </xf>
    <xf numFmtId="0" fontId="29" fillId="0" borderId="0" xfId="0" applyFont="1" applyBorder="1" applyAlignment="1"/>
    <xf numFmtId="0" fontId="29" fillId="0" borderId="15" xfId="0" applyFont="1" applyBorder="1" applyAlignment="1">
      <alignment wrapText="1"/>
    </xf>
    <xf numFmtId="49" fontId="29" fillId="6" borderId="28" xfId="0" applyNumberFormat="1" applyFont="1" applyFill="1" applyBorder="1" applyAlignment="1" applyProtection="1">
      <protection locked="0"/>
    </xf>
    <xf numFmtId="49" fontId="29" fillId="6" borderId="15" xfId="0" applyNumberFormat="1" applyFont="1" applyFill="1" applyBorder="1" applyAlignment="1" applyProtection="1">
      <protection locked="0"/>
    </xf>
    <xf numFmtId="165" fontId="29" fillId="12" borderId="18" xfId="0" applyNumberFormat="1" applyFont="1" applyFill="1" applyBorder="1" applyAlignment="1" applyProtection="1">
      <alignment shrinkToFit="1"/>
      <protection locked="0"/>
    </xf>
    <xf numFmtId="165" fontId="29" fillId="0" borderId="19" xfId="0" applyNumberFormat="1" applyFont="1" applyBorder="1" applyAlignment="1" applyProtection="1">
      <alignment shrinkToFit="1"/>
      <protection locked="0"/>
    </xf>
    <xf numFmtId="165" fontId="29" fillId="0" borderId="20" xfId="0" applyNumberFormat="1" applyFont="1" applyBorder="1" applyAlignment="1" applyProtection="1">
      <alignment shrinkToFit="1"/>
      <protection locked="0"/>
    </xf>
    <xf numFmtId="0" fontId="33" fillId="0" borderId="0" xfId="0" applyFont="1" applyBorder="1" applyAlignment="1">
      <alignment horizontal="center"/>
    </xf>
    <xf numFmtId="0" fontId="31" fillId="0" borderId="0" xfId="0" applyFont="1" applyBorder="1" applyAlignment="1">
      <alignment horizontal="center"/>
    </xf>
    <xf numFmtId="49" fontId="29" fillId="12" borderId="18" xfId="0" applyNumberFormat="1" applyFont="1" applyFill="1" applyBorder="1" applyAlignment="1" applyProtection="1">
      <alignment shrinkToFit="1"/>
      <protection locked="0"/>
    </xf>
    <xf numFmtId="49" fontId="29" fillId="12" borderId="19" xfId="0" applyNumberFormat="1" applyFont="1" applyFill="1" applyBorder="1" applyAlignment="1" applyProtection="1">
      <alignment shrinkToFit="1"/>
      <protection locked="0"/>
    </xf>
    <xf numFmtId="0" fontId="35" fillId="0" borderId="0" xfId="0" applyFont="1" applyBorder="1" applyAlignment="1">
      <alignment vertical="justify" wrapText="1"/>
    </xf>
    <xf numFmtId="0" fontId="35" fillId="0" borderId="0" xfId="0" applyFont="1" applyBorder="1" applyAlignment="1"/>
    <xf numFmtId="49" fontId="29" fillId="0" borderId="19" xfId="0" applyNumberFormat="1" applyFont="1" applyBorder="1" applyAlignment="1" applyProtection="1">
      <alignment shrinkToFit="1"/>
      <protection locked="0"/>
    </xf>
    <xf numFmtId="49" fontId="29" fillId="0" borderId="20" xfId="0" applyNumberFormat="1" applyFont="1" applyBorder="1" applyAlignment="1" applyProtection="1">
      <alignment shrinkToFit="1"/>
      <protection locked="0"/>
    </xf>
    <xf numFmtId="1" fontId="29" fillId="12" borderId="18" xfId="0" quotePrefix="1" applyNumberFormat="1" applyFont="1" applyFill="1" applyBorder="1" applyAlignment="1" applyProtection="1">
      <alignment shrinkToFit="1"/>
      <protection locked="0"/>
    </xf>
    <xf numFmtId="0" fontId="29" fillId="0" borderId="19" xfId="0" applyFont="1" applyBorder="1" applyAlignment="1" applyProtection="1">
      <alignment shrinkToFit="1"/>
      <protection locked="0"/>
    </xf>
    <xf numFmtId="0" fontId="29" fillId="0" borderId="20" xfId="0" applyFont="1" applyBorder="1" applyAlignment="1" applyProtection="1">
      <alignment shrinkToFit="1"/>
      <protection locked="0"/>
    </xf>
    <xf numFmtId="3" fontId="29" fillId="12" borderId="18" xfId="0" applyNumberFormat="1" applyFont="1" applyFill="1" applyBorder="1" applyAlignment="1" applyProtection="1">
      <alignment shrinkToFit="1"/>
      <protection locked="0"/>
    </xf>
    <xf numFmtId="3" fontId="29" fillId="0" borderId="19" xfId="0" applyNumberFormat="1" applyFont="1" applyBorder="1" applyAlignment="1" applyProtection="1">
      <alignment shrinkToFit="1"/>
      <protection locked="0"/>
    </xf>
    <xf numFmtId="3" fontId="29" fillId="0" borderId="20" xfId="0" applyNumberFormat="1" applyFont="1" applyBorder="1" applyAlignment="1" applyProtection="1">
      <alignment shrinkToFit="1"/>
      <protection locked="0"/>
    </xf>
    <xf numFmtId="49" fontId="29" fillId="0" borderId="0" xfId="52" applyNumberFormat="1" applyFont="1" applyFill="1" applyBorder="1" applyAlignment="1" applyProtection="1">
      <protection locked="0"/>
    </xf>
    <xf numFmtId="0" fontId="29" fillId="0" borderId="0" xfId="52" applyFont="1" applyFill="1" applyBorder="1" applyAlignment="1"/>
    <xf numFmtId="0" fontId="30" fillId="0" borderId="0" xfId="52" applyFont="1" applyFill="1" applyBorder="1" applyAlignment="1">
      <alignment wrapText="1"/>
    </xf>
    <xf numFmtId="0" fontId="29" fillId="0" borderId="0" xfId="52" applyFont="1" applyFill="1" applyBorder="1" applyAlignment="1">
      <alignment wrapText="1"/>
    </xf>
    <xf numFmtId="0" fontId="33" fillId="0" borderId="0" xfId="52" applyFont="1" applyBorder="1" applyAlignment="1">
      <alignment horizontal="center"/>
    </xf>
    <xf numFmtId="0" fontId="31" fillId="0" borderId="0" xfId="52" applyFont="1" applyBorder="1" applyAlignment="1">
      <alignment horizontal="center"/>
    </xf>
    <xf numFmtId="0" fontId="29" fillId="13" borderId="16" xfId="52" applyFont="1" applyFill="1" applyBorder="1"/>
    <xf numFmtId="49" fontId="29" fillId="13" borderId="18" xfId="52" applyNumberFormat="1" applyFont="1" applyFill="1" applyBorder="1" applyAlignment="1" applyProtection="1">
      <alignment shrinkToFit="1"/>
      <protection locked="0"/>
    </xf>
    <xf numFmtId="49" fontId="29" fillId="13" borderId="19" xfId="52" applyNumberFormat="1" applyFont="1" applyFill="1" applyBorder="1" applyAlignment="1" applyProtection="1">
      <alignment shrinkToFit="1"/>
      <protection locked="0"/>
    </xf>
    <xf numFmtId="49" fontId="29" fillId="13" borderId="20" xfId="52" applyNumberFormat="1" applyFont="1" applyFill="1" applyBorder="1" applyAlignment="1" applyProtection="1">
      <alignment shrinkToFit="1"/>
      <protection locked="0"/>
    </xf>
    <xf numFmtId="1" fontId="29" fillId="13" borderId="18" xfId="52" applyNumberFormat="1" applyFont="1" applyFill="1" applyBorder="1" applyAlignment="1" applyProtection="1">
      <alignment shrinkToFit="1"/>
      <protection locked="0"/>
    </xf>
    <xf numFmtId="0" fontId="29" fillId="13" borderId="19" xfId="52" applyFont="1" applyFill="1" applyBorder="1" applyAlignment="1" applyProtection="1">
      <alignment shrinkToFit="1"/>
      <protection locked="0"/>
    </xf>
    <xf numFmtId="0" fontId="29" fillId="13" borderId="20" xfId="52" applyFont="1" applyFill="1" applyBorder="1" applyAlignment="1" applyProtection="1">
      <alignment shrinkToFit="1"/>
      <protection locked="0"/>
    </xf>
    <xf numFmtId="3" fontId="29" fillId="13" borderId="18" xfId="52" applyNumberFormat="1" applyFont="1" applyFill="1" applyBorder="1" applyAlignment="1" applyProtection="1">
      <alignment horizontal="left" shrinkToFit="1"/>
      <protection locked="0"/>
    </xf>
    <xf numFmtId="3" fontId="29" fillId="13" borderId="19" xfId="52" applyNumberFormat="1" applyFont="1" applyFill="1" applyBorder="1" applyAlignment="1" applyProtection="1">
      <alignment horizontal="left" shrinkToFit="1"/>
      <protection locked="0"/>
    </xf>
    <xf numFmtId="3" fontId="29" fillId="13" borderId="20" xfId="52" applyNumberFormat="1" applyFont="1" applyFill="1" applyBorder="1" applyAlignment="1" applyProtection="1">
      <alignment horizontal="left" shrinkToFit="1"/>
      <protection locked="0"/>
    </xf>
    <xf numFmtId="165" fontId="29" fillId="13" borderId="18" xfId="52" applyNumberFormat="1" applyFont="1" applyFill="1" applyBorder="1" applyAlignment="1" applyProtection="1">
      <alignment shrinkToFit="1"/>
      <protection locked="0"/>
    </xf>
    <xf numFmtId="165" fontId="29" fillId="13" borderId="19" xfId="52" applyNumberFormat="1" applyFont="1" applyFill="1" applyBorder="1" applyAlignment="1" applyProtection="1">
      <alignment shrinkToFit="1"/>
      <protection locked="0"/>
    </xf>
    <xf numFmtId="165" fontId="29" fillId="13" borderId="20" xfId="52" applyNumberFormat="1" applyFont="1" applyFill="1" applyBorder="1" applyAlignment="1" applyProtection="1">
      <alignment shrinkToFit="1"/>
      <protection locked="0"/>
    </xf>
    <xf numFmtId="0" fontId="0" fillId="0" borderId="15" xfId="0" applyFont="1" applyBorder="1" applyAlignment="1">
      <alignment wrapText="1"/>
    </xf>
    <xf numFmtId="49" fontId="0" fillId="6" borderId="15" xfId="0" applyNumberFormat="1" applyFont="1" applyFill="1" applyBorder="1" applyAlignment="1" applyProtection="1">
      <protection locked="0"/>
    </xf>
    <xf numFmtId="49" fontId="0" fillId="6" borderId="20" xfId="0" applyNumberFormat="1" applyFont="1" applyFill="1" applyBorder="1" applyAlignment="1" applyProtection="1">
      <protection locked="0"/>
    </xf>
    <xf numFmtId="49" fontId="0" fillId="0" borderId="19" xfId="0" applyNumberFormat="1" applyFont="1" applyBorder="1" applyAlignment="1" applyProtection="1">
      <alignment shrinkToFit="1"/>
      <protection locked="0"/>
    </xf>
    <xf numFmtId="49" fontId="0" fillId="0" borderId="20" xfId="0" applyNumberFormat="1" applyFont="1" applyBorder="1" applyAlignment="1" applyProtection="1">
      <alignment shrinkToFit="1"/>
      <protection locked="0"/>
    </xf>
    <xf numFmtId="1" fontId="0" fillId="12" borderId="18" xfId="0" quotePrefix="1" applyNumberFormat="1" applyFont="1" applyFill="1" applyBorder="1" applyAlignment="1" applyProtection="1">
      <alignment shrinkToFit="1"/>
      <protection locked="0"/>
    </xf>
    <xf numFmtId="0" fontId="0" fillId="0" borderId="19" xfId="0" applyFont="1" applyBorder="1" applyAlignment="1" applyProtection="1">
      <alignment shrinkToFit="1"/>
      <protection locked="0"/>
    </xf>
    <xf numFmtId="0" fontId="0" fillId="0" borderId="20" xfId="0" applyFont="1" applyBorder="1" applyAlignment="1" applyProtection="1">
      <alignment shrinkToFit="1"/>
      <protection locked="0"/>
    </xf>
    <xf numFmtId="165" fontId="0" fillId="0" borderId="19" xfId="0" applyNumberFormat="1" applyFont="1" applyBorder="1" applyAlignment="1" applyProtection="1">
      <alignment shrinkToFit="1"/>
      <protection locked="0"/>
    </xf>
    <xf numFmtId="165" fontId="0" fillId="0" borderId="20" xfId="0" applyNumberFormat="1" applyFont="1" applyBorder="1" applyAlignment="1" applyProtection="1">
      <alignment shrinkToFit="1"/>
      <protection locked="0"/>
    </xf>
    <xf numFmtId="49" fontId="0" fillId="12" borderId="19" xfId="0" applyNumberFormat="1" applyFont="1" applyFill="1" applyBorder="1" applyAlignment="1" applyProtection="1">
      <alignment shrinkToFit="1"/>
      <protection locked="0"/>
    </xf>
    <xf numFmtId="3" fontId="0" fillId="12" borderId="18" xfId="0" applyNumberFormat="1" applyFont="1" applyFill="1" applyBorder="1" applyAlignment="1" applyProtection="1">
      <alignment shrinkToFit="1"/>
      <protection locked="0"/>
    </xf>
    <xf numFmtId="3" fontId="0" fillId="0" borderId="19" xfId="0" applyNumberFormat="1" applyFont="1" applyBorder="1" applyAlignment="1" applyProtection="1">
      <alignment shrinkToFit="1"/>
      <protection locked="0"/>
    </xf>
    <xf numFmtId="3" fontId="0" fillId="0" borderId="20" xfId="0" applyNumberFormat="1" applyFont="1" applyBorder="1" applyAlignment="1" applyProtection="1">
      <alignment shrinkToFit="1"/>
      <protection locked="0"/>
    </xf>
    <xf numFmtId="0" fontId="0" fillId="0" borderId="0" xfId="0" applyFont="1" applyBorder="1" applyAlignment="1"/>
    <xf numFmtId="49" fontId="0" fillId="6" borderId="19" xfId="0" applyNumberFormat="1" applyFont="1" applyFill="1" applyBorder="1" applyAlignment="1" applyProtection="1">
      <protection locked="0"/>
    </xf>
    <xf numFmtId="49" fontId="0" fillId="6" borderId="18" xfId="0" applyNumberFormat="1" applyFont="1" applyFill="1" applyBorder="1" applyAlignment="1" applyProtection="1">
      <protection locked="0"/>
    </xf>
    <xf numFmtId="3" fontId="12" fillId="4" borderId="18" xfId="52" applyNumberFormat="1" applyFill="1" applyBorder="1" applyAlignment="1" applyProtection="1">
      <alignment shrinkToFit="1"/>
      <protection locked="0"/>
    </xf>
    <xf numFmtId="3" fontId="12" fillId="4" borderId="19" xfId="52" applyNumberFormat="1" applyFill="1" applyBorder="1" applyAlignment="1" applyProtection="1">
      <alignment shrinkToFit="1"/>
      <protection locked="0"/>
    </xf>
    <xf numFmtId="3" fontId="12" fillId="4" borderId="20" xfId="52" applyNumberFormat="1" applyFill="1" applyBorder="1" applyAlignment="1" applyProtection="1">
      <alignment shrinkToFit="1"/>
      <protection locked="0"/>
    </xf>
    <xf numFmtId="49" fontId="65" fillId="4" borderId="18" xfId="34" applyNumberFormat="1" applyFill="1" applyBorder="1" applyAlignment="1" applyProtection="1">
      <alignment shrinkToFit="1"/>
      <protection locked="0"/>
    </xf>
    <xf numFmtId="49" fontId="65" fillId="4" borderId="19" xfId="34" applyNumberFormat="1" applyFill="1" applyBorder="1" applyAlignment="1" applyProtection="1">
      <alignment shrinkToFit="1"/>
      <protection locked="0"/>
    </xf>
    <xf numFmtId="49" fontId="64" fillId="2" borderId="18" xfId="52" applyNumberFormat="1" applyFont="1" applyFill="1" applyBorder="1" applyAlignment="1" applyProtection="1">
      <protection locked="0"/>
    </xf>
    <xf numFmtId="49" fontId="64" fillId="2" borderId="19" xfId="52" applyNumberFormat="1" applyFont="1" applyFill="1" applyBorder="1" applyAlignment="1" applyProtection="1">
      <protection locked="0"/>
    </xf>
    <xf numFmtId="49" fontId="64" fillId="2" borderId="20" xfId="52" applyNumberFormat="1" applyFont="1" applyFill="1" applyBorder="1" applyAlignment="1" applyProtection="1">
      <protection locked="0"/>
    </xf>
    <xf numFmtId="0" fontId="30" fillId="0" borderId="0" xfId="2" applyFont="1" applyAlignment="1">
      <alignment horizontal="center"/>
    </xf>
    <xf numFmtId="49" fontId="29" fillId="4" borderId="18" xfId="2" applyNumberFormat="1" applyFill="1" applyBorder="1" applyAlignment="1" applyProtection="1">
      <alignment horizontal="left" shrinkToFit="1"/>
      <protection locked="0"/>
    </xf>
    <xf numFmtId="49" fontId="29" fillId="4" borderId="19" xfId="2" applyNumberFormat="1" applyFill="1" applyBorder="1" applyAlignment="1" applyProtection="1">
      <alignment horizontal="left" shrinkToFit="1"/>
      <protection locked="0"/>
    </xf>
    <xf numFmtId="49" fontId="29" fillId="4" borderId="20" xfId="2" applyNumberFormat="1" applyFill="1" applyBorder="1" applyAlignment="1" applyProtection="1">
      <alignment horizontal="left" shrinkToFit="1"/>
      <protection locked="0"/>
    </xf>
    <xf numFmtId="1" fontId="29" fillId="4" borderId="18" xfId="0" quotePrefix="1" applyNumberFormat="1" applyFont="1" applyFill="1" applyBorder="1" applyAlignment="1" applyProtection="1">
      <alignment horizontal="left"/>
      <protection locked="0"/>
    </xf>
    <xf numFmtId="0" fontId="29" fillId="4" borderId="19" xfId="0" quotePrefix="1" applyFont="1" applyFill="1" applyBorder="1" applyAlignment="1" applyProtection="1">
      <alignment horizontal="left"/>
      <protection locked="0"/>
    </xf>
    <xf numFmtId="0" fontId="29" fillId="4" borderId="20" xfId="0" quotePrefix="1" applyFont="1" applyFill="1" applyBorder="1" applyAlignment="1" applyProtection="1">
      <alignment horizontal="left"/>
      <protection locked="0"/>
    </xf>
    <xf numFmtId="1" fontId="0" fillId="4" borderId="18" xfId="0" quotePrefix="1" applyNumberFormat="1" applyFill="1" applyBorder="1" applyAlignment="1" applyProtection="1">
      <alignment horizontal="left"/>
      <protection locked="0"/>
    </xf>
    <xf numFmtId="0" fontId="0" fillId="4" borderId="19" xfId="0" quotePrefix="1" applyFill="1" applyBorder="1" applyAlignment="1" applyProtection="1">
      <alignment horizontal="left"/>
      <protection locked="0"/>
    </xf>
    <xf numFmtId="0" fontId="0" fillId="4" borderId="20" xfId="0" quotePrefix="1" applyFill="1" applyBorder="1" applyAlignment="1" applyProtection="1">
      <alignment horizontal="left"/>
      <protection locked="0"/>
    </xf>
    <xf numFmtId="1" fontId="37" fillId="4" borderId="18" xfId="0" quotePrefix="1" applyNumberFormat="1" applyFont="1" applyFill="1" applyBorder="1" applyAlignment="1" applyProtection="1">
      <alignment horizontal="left"/>
      <protection locked="0"/>
    </xf>
    <xf numFmtId="0" fontId="37" fillId="4" borderId="19" xfId="0" quotePrefix="1" applyFont="1" applyFill="1" applyBorder="1" applyAlignment="1" applyProtection="1">
      <alignment horizontal="left"/>
      <protection locked="0"/>
    </xf>
    <xf numFmtId="0" fontId="37" fillId="4" borderId="20" xfId="0" quotePrefix="1" applyFont="1" applyFill="1" applyBorder="1" applyAlignment="1" applyProtection="1">
      <alignment horizontal="left"/>
      <protection locked="0"/>
    </xf>
    <xf numFmtId="1" fontId="29" fillId="4" borderId="18" xfId="2" quotePrefix="1" applyNumberFormat="1" applyFont="1" applyFill="1" applyBorder="1" applyAlignment="1" applyProtection="1">
      <alignment shrinkToFit="1"/>
      <protection locked="0"/>
    </xf>
    <xf numFmtId="0" fontId="29" fillId="4" borderId="19" xfId="2" quotePrefix="1" applyFont="1" applyFill="1" applyBorder="1" applyAlignment="1" applyProtection="1">
      <alignment shrinkToFit="1"/>
      <protection locked="0"/>
    </xf>
    <xf numFmtId="0" fontId="29" fillId="4" borderId="20" xfId="2" quotePrefix="1" applyFont="1" applyFill="1" applyBorder="1" applyAlignment="1" applyProtection="1">
      <alignment shrinkToFit="1"/>
      <protection locked="0"/>
    </xf>
    <xf numFmtId="0" fontId="29" fillId="2" borderId="18" xfId="2" applyFill="1" applyBorder="1" applyAlignment="1" applyProtection="1">
      <protection locked="0"/>
    </xf>
    <xf numFmtId="0" fontId="29" fillId="2" borderId="19" xfId="2" applyFill="1" applyBorder="1" applyAlignment="1" applyProtection="1">
      <protection locked="0"/>
    </xf>
    <xf numFmtId="0" fontId="29" fillId="2" borderId="20" xfId="2" applyFill="1" applyBorder="1" applyAlignment="1" applyProtection="1">
      <protection locked="0"/>
    </xf>
    <xf numFmtId="0" fontId="32" fillId="2" borderId="18" xfId="2" applyFont="1" applyFill="1" applyBorder="1" applyAlignment="1" applyProtection="1">
      <protection locked="0"/>
    </xf>
    <xf numFmtId="0" fontId="32" fillId="2" borderId="19" xfId="2" applyFont="1" applyFill="1" applyBorder="1" applyAlignment="1" applyProtection="1">
      <protection locked="0"/>
    </xf>
    <xf numFmtId="0" fontId="32" fillId="2" borderId="20" xfId="2" applyFont="1" applyFill="1" applyBorder="1" applyAlignment="1" applyProtection="1">
      <protection locked="0"/>
    </xf>
    <xf numFmtId="0" fontId="29" fillId="2" borderId="18" xfId="2" applyFont="1" applyFill="1" applyBorder="1" applyAlignment="1" applyProtection="1">
      <protection locked="0"/>
    </xf>
    <xf numFmtId="0" fontId="29" fillId="2" borderId="19" xfId="2" applyFont="1" applyFill="1" applyBorder="1" applyAlignment="1" applyProtection="1">
      <protection locked="0"/>
    </xf>
    <xf numFmtId="0" fontId="29" fillId="2" borderId="20" xfId="2" applyFont="1" applyFill="1" applyBorder="1" applyAlignment="1" applyProtection="1">
      <protection locked="0"/>
    </xf>
    <xf numFmtId="0" fontId="0" fillId="4" borderId="19" xfId="0" quotePrefix="1" applyFill="1" applyBorder="1" applyAlignment="1" applyProtection="1">
      <alignment shrinkToFit="1"/>
      <protection locked="0"/>
    </xf>
    <xf numFmtId="0" fontId="0" fillId="4" borderId="20" xfId="0" quotePrefix="1" applyFill="1" applyBorder="1" applyAlignment="1" applyProtection="1">
      <alignment shrinkToFit="1"/>
      <protection locked="0"/>
    </xf>
    <xf numFmtId="49" fontId="29" fillId="2" borderId="18" xfId="22" applyNumberFormat="1" applyFont="1" applyFill="1" applyBorder="1" applyAlignment="1" applyProtection="1">
      <protection locked="0"/>
    </xf>
    <xf numFmtId="49" fontId="29" fillId="2" borderId="19" xfId="22" applyNumberFormat="1" applyFont="1" applyFill="1" applyBorder="1" applyAlignment="1" applyProtection="1">
      <protection locked="0"/>
    </xf>
    <xf numFmtId="49" fontId="29" fillId="2" borderId="20" xfId="22" applyNumberFormat="1" applyFont="1" applyFill="1" applyBorder="1" applyAlignment="1" applyProtection="1">
      <protection locked="0"/>
    </xf>
    <xf numFmtId="49" fontId="29" fillId="2" borderId="18" xfId="62" applyNumberFormat="1" applyFont="1" applyFill="1" applyBorder="1" applyAlignment="1" applyProtection="1">
      <protection locked="0"/>
    </xf>
    <xf numFmtId="49" fontId="29" fillId="2" borderId="19" xfId="62" applyNumberFormat="1" applyFont="1" applyFill="1" applyBorder="1" applyAlignment="1" applyProtection="1">
      <protection locked="0"/>
    </xf>
    <xf numFmtId="49" fontId="29" fillId="2" borderId="20" xfId="62" applyNumberFormat="1" applyFont="1" applyFill="1" applyBorder="1" applyAlignment="1" applyProtection="1">
      <protection locked="0"/>
    </xf>
    <xf numFmtId="49" fontId="32" fillId="2" borderId="18" xfId="62" applyNumberFormat="1" applyFont="1" applyFill="1" applyBorder="1" applyAlignment="1" applyProtection="1">
      <protection locked="0"/>
    </xf>
    <xf numFmtId="49" fontId="32" fillId="2" borderId="19" xfId="62" applyNumberFormat="1" applyFont="1" applyFill="1" applyBorder="1" applyAlignment="1" applyProtection="1">
      <protection locked="0"/>
    </xf>
    <xf numFmtId="49" fontId="32" fillId="2" borderId="20" xfId="62" applyNumberFormat="1" applyFont="1" applyFill="1" applyBorder="1" applyAlignment="1" applyProtection="1">
      <protection locked="0"/>
    </xf>
    <xf numFmtId="0" fontId="30" fillId="0" borderId="15" xfId="62" applyFont="1" applyBorder="1" applyAlignment="1">
      <alignment wrapText="1"/>
    </xf>
    <xf numFmtId="49" fontId="11" fillId="2" borderId="18" xfId="62" applyNumberFormat="1" applyFill="1" applyBorder="1" applyAlignment="1" applyProtection="1">
      <protection locked="0"/>
    </xf>
    <xf numFmtId="49" fontId="11" fillId="2" borderId="19" xfId="62" applyNumberFormat="1" applyFill="1" applyBorder="1" applyAlignment="1" applyProtection="1">
      <protection locked="0"/>
    </xf>
    <xf numFmtId="49" fontId="11" fillId="2" borderId="20" xfId="62" applyNumberFormat="1" applyFill="1" applyBorder="1" applyAlignment="1" applyProtection="1">
      <protection locked="0"/>
    </xf>
    <xf numFmtId="0" fontId="29" fillId="0" borderId="15" xfId="62" applyFont="1" applyBorder="1" applyAlignment="1"/>
    <xf numFmtId="0" fontId="29" fillId="0" borderId="0" xfId="62" applyFont="1" applyAlignment="1"/>
    <xf numFmtId="0" fontId="33" fillId="0" borderId="0" xfId="62" applyFont="1" applyAlignment="1">
      <alignment horizontal="center"/>
    </xf>
    <xf numFmtId="49" fontId="11" fillId="4" borderId="18" xfId="62" applyNumberFormat="1" applyFill="1" applyBorder="1" applyAlignment="1" applyProtection="1">
      <alignment shrinkToFit="1"/>
      <protection locked="0"/>
    </xf>
    <xf numFmtId="49" fontId="11" fillId="4" borderId="19" xfId="62" applyNumberFormat="1" applyFill="1" applyBorder="1" applyAlignment="1" applyProtection="1">
      <alignment shrinkToFit="1"/>
      <protection locked="0"/>
    </xf>
    <xf numFmtId="49" fontId="11" fillId="4" borderId="20" xfId="62" applyNumberFormat="1" applyFill="1" applyBorder="1" applyAlignment="1" applyProtection="1">
      <alignment shrinkToFit="1"/>
      <protection locked="0"/>
    </xf>
    <xf numFmtId="1" fontId="11" fillId="4" borderId="18" xfId="62" quotePrefix="1" applyNumberFormat="1" applyFill="1" applyBorder="1" applyAlignment="1" applyProtection="1">
      <alignment shrinkToFit="1"/>
      <protection locked="0"/>
    </xf>
    <xf numFmtId="1" fontId="11" fillId="4" borderId="19" xfId="62" quotePrefix="1" applyNumberFormat="1" applyFill="1" applyBorder="1" applyAlignment="1" applyProtection="1">
      <alignment shrinkToFit="1"/>
      <protection locked="0"/>
    </xf>
    <xf numFmtId="1" fontId="11" fillId="4" borderId="20" xfId="62" quotePrefix="1" applyNumberFormat="1" applyFill="1" applyBorder="1" applyAlignment="1" applyProtection="1">
      <alignment shrinkToFit="1"/>
      <protection locked="0"/>
    </xf>
    <xf numFmtId="3" fontId="11" fillId="4" borderId="18" xfId="62" applyNumberFormat="1" applyFill="1" applyBorder="1" applyAlignment="1" applyProtection="1">
      <alignment shrinkToFit="1"/>
      <protection locked="0"/>
    </xf>
    <xf numFmtId="3" fontId="11" fillId="4" borderId="19" xfId="62" applyNumberFormat="1" applyFill="1" applyBorder="1" applyAlignment="1" applyProtection="1">
      <alignment shrinkToFit="1"/>
      <protection locked="0"/>
    </xf>
    <xf numFmtId="3" fontId="11" fillId="4" borderId="20" xfId="62" applyNumberFormat="1" applyFill="1" applyBorder="1" applyAlignment="1" applyProtection="1">
      <alignment shrinkToFit="1"/>
      <protection locked="0"/>
    </xf>
    <xf numFmtId="165" fontId="11" fillId="4" borderId="18" xfId="62" applyNumberFormat="1" applyFill="1" applyBorder="1" applyAlignment="1" applyProtection="1">
      <alignment shrinkToFit="1"/>
      <protection locked="0"/>
    </xf>
    <xf numFmtId="165" fontId="11" fillId="4" borderId="19" xfId="62" applyNumberFormat="1" applyFill="1" applyBorder="1" applyAlignment="1" applyProtection="1">
      <alignment shrinkToFit="1"/>
      <protection locked="0"/>
    </xf>
    <xf numFmtId="165" fontId="11" fillId="4" borderId="20" xfId="62" applyNumberFormat="1" applyFill="1" applyBorder="1" applyAlignment="1" applyProtection="1">
      <alignment shrinkToFit="1"/>
      <protection locked="0"/>
    </xf>
    <xf numFmtId="0" fontId="34" fillId="0" borderId="0" xfId="62" applyFont="1" applyFill="1" applyBorder="1" applyAlignment="1">
      <alignment vertical="justify" wrapText="1"/>
    </xf>
    <xf numFmtId="49" fontId="37" fillId="2" borderId="18" xfId="62" applyNumberFormat="1" applyFont="1" applyFill="1" applyBorder="1" applyAlignment="1" applyProtection="1">
      <protection locked="0"/>
    </xf>
    <xf numFmtId="49" fontId="37" fillId="2" borderId="19" xfId="62" applyNumberFormat="1" applyFont="1" applyFill="1" applyBorder="1" applyAlignment="1" applyProtection="1">
      <protection locked="0"/>
    </xf>
    <xf numFmtId="49" fontId="37" fillId="2" borderId="20" xfId="62" applyNumberFormat="1" applyFont="1" applyFill="1" applyBorder="1" applyAlignment="1" applyProtection="1">
      <protection locked="0"/>
    </xf>
    <xf numFmtId="49" fontId="74" fillId="2" borderId="18" xfId="62" applyNumberFormat="1" applyFont="1" applyFill="1" applyBorder="1" applyAlignment="1" applyProtection="1">
      <protection locked="0"/>
    </xf>
    <xf numFmtId="49" fontId="74" fillId="2" borderId="19" xfId="62" applyNumberFormat="1" applyFont="1" applyFill="1" applyBorder="1" applyAlignment="1" applyProtection="1">
      <protection locked="0"/>
    </xf>
    <xf numFmtId="49" fontId="74" fillId="2" borderId="20" xfId="62" applyNumberFormat="1" applyFont="1" applyFill="1" applyBorder="1" applyAlignment="1" applyProtection="1">
      <protection locked="0"/>
    </xf>
    <xf numFmtId="0" fontId="37" fillId="0" borderId="15" xfId="62" applyFont="1" applyBorder="1" applyAlignment="1"/>
    <xf numFmtId="0" fontId="37" fillId="0" borderId="0" xfId="62" applyFont="1" applyAlignment="1"/>
    <xf numFmtId="0" fontId="33" fillId="0" borderId="15" xfId="62" applyFont="1" applyBorder="1" applyAlignment="1">
      <alignment wrapText="1"/>
    </xf>
    <xf numFmtId="49" fontId="74" fillId="4" borderId="18" xfId="62" applyNumberFormat="1" applyFont="1" applyFill="1" applyBorder="1" applyAlignment="1" applyProtection="1">
      <alignment shrinkToFit="1"/>
      <protection locked="0"/>
    </xf>
    <xf numFmtId="49" fontId="74" fillId="4" borderId="19" xfId="62" applyNumberFormat="1" applyFont="1" applyFill="1" applyBorder="1" applyAlignment="1" applyProtection="1">
      <alignment shrinkToFit="1"/>
      <protection locked="0"/>
    </xf>
    <xf numFmtId="49" fontId="74" fillId="4" borderId="20" xfId="62" applyNumberFormat="1" applyFont="1" applyFill="1" applyBorder="1" applyAlignment="1" applyProtection="1">
      <alignment shrinkToFit="1"/>
      <protection locked="0"/>
    </xf>
    <xf numFmtId="1" fontId="74" fillId="4" borderId="18" xfId="62" quotePrefix="1" applyNumberFormat="1" applyFont="1" applyFill="1" applyBorder="1" applyAlignment="1" applyProtection="1">
      <alignment horizontal="left" shrinkToFit="1"/>
      <protection locked="0"/>
    </xf>
    <xf numFmtId="1" fontId="74" fillId="4" borderId="19" xfId="62" quotePrefix="1" applyNumberFormat="1" applyFont="1" applyFill="1" applyBorder="1" applyAlignment="1" applyProtection="1">
      <alignment horizontal="left" shrinkToFit="1"/>
      <protection locked="0"/>
    </xf>
    <xf numFmtId="1" fontId="74" fillId="4" borderId="20" xfId="62" quotePrefix="1" applyNumberFormat="1" applyFont="1" applyFill="1" applyBorder="1" applyAlignment="1" applyProtection="1">
      <alignment horizontal="left" shrinkToFit="1"/>
      <protection locked="0"/>
    </xf>
    <xf numFmtId="3" fontId="74" fillId="4" borderId="18" xfId="62" applyNumberFormat="1" applyFont="1" applyFill="1" applyBorder="1" applyAlignment="1" applyProtection="1">
      <alignment horizontal="left" shrinkToFit="1"/>
      <protection locked="0"/>
    </xf>
    <xf numFmtId="3" fontId="74" fillId="4" borderId="19" xfId="62" applyNumberFormat="1" applyFont="1" applyFill="1" applyBorder="1" applyAlignment="1" applyProtection="1">
      <alignment horizontal="left" shrinkToFit="1"/>
      <protection locked="0"/>
    </xf>
    <xf numFmtId="3" fontId="74" fillId="4" borderId="20" xfId="62" applyNumberFormat="1" applyFont="1" applyFill="1" applyBorder="1" applyAlignment="1" applyProtection="1">
      <alignment horizontal="left" shrinkToFit="1"/>
      <protection locked="0"/>
    </xf>
    <xf numFmtId="165" fontId="74" fillId="4" borderId="18" xfId="62" applyNumberFormat="1" applyFont="1" applyFill="1" applyBorder="1" applyAlignment="1" applyProtection="1">
      <alignment shrinkToFit="1"/>
      <protection locked="0"/>
    </xf>
    <xf numFmtId="165" fontId="74" fillId="4" borderId="19" xfId="62" applyNumberFormat="1" applyFont="1" applyFill="1" applyBorder="1" applyAlignment="1" applyProtection="1">
      <alignment shrinkToFit="1"/>
      <protection locked="0"/>
    </xf>
    <xf numFmtId="165" fontId="74" fillId="4" borderId="20" xfId="62" applyNumberFormat="1" applyFont="1" applyFill="1" applyBorder="1" applyAlignment="1" applyProtection="1">
      <alignment shrinkToFit="1"/>
      <protection locked="0"/>
    </xf>
    <xf numFmtId="0" fontId="52" fillId="0" borderId="0" xfId="62" applyFont="1" applyFill="1" applyBorder="1" applyAlignment="1">
      <alignment vertical="justify" wrapText="1"/>
    </xf>
    <xf numFmtId="3" fontId="29" fillId="4" borderId="18" xfId="0" quotePrefix="1" applyNumberFormat="1" applyFont="1" applyFill="1" applyBorder="1" applyAlignment="1" applyProtection="1">
      <alignment shrinkToFit="1"/>
      <protection locked="0"/>
    </xf>
    <xf numFmtId="3" fontId="29" fillId="4" borderId="19" xfId="0" quotePrefix="1" applyNumberFormat="1" applyFont="1" applyFill="1" applyBorder="1" applyAlignment="1" applyProtection="1">
      <alignment shrinkToFit="1"/>
      <protection locked="0"/>
    </xf>
    <xf numFmtId="3" fontId="29" fillId="4" borderId="20" xfId="0" quotePrefix="1" applyNumberFormat="1" applyFont="1" applyFill="1" applyBorder="1" applyAlignment="1" applyProtection="1">
      <alignment shrinkToFit="1"/>
      <protection locked="0"/>
    </xf>
    <xf numFmtId="0" fontId="11" fillId="0" borderId="0" xfId="62" applyAlignment="1"/>
    <xf numFmtId="0" fontId="30" fillId="0" borderId="0" xfId="62" applyFont="1" applyAlignment="1"/>
    <xf numFmtId="0" fontId="11" fillId="0" borderId="15" xfId="62" applyBorder="1" applyAlignment="1"/>
    <xf numFmtId="0" fontId="18" fillId="0" borderId="0" xfId="30" applyAlignment="1"/>
    <xf numFmtId="0" fontId="74" fillId="0" borderId="0" xfId="62" applyFont="1" applyAlignment="1"/>
    <xf numFmtId="0" fontId="33" fillId="0" borderId="0" xfId="62" applyFont="1" applyAlignment="1"/>
    <xf numFmtId="0" fontId="74" fillId="0" borderId="0" xfId="62" applyFont="1" applyBorder="1" applyAlignment="1"/>
    <xf numFmtId="0" fontId="73" fillId="0" borderId="0" xfId="62" applyFont="1" applyAlignment="1"/>
  </cellXfs>
  <cellStyles count="117">
    <cellStyle name="Comma" xfId="18" builtinId="3"/>
    <cellStyle name="Comma 10" xfId="84"/>
    <cellStyle name="Comma 10 2" xfId="59"/>
    <cellStyle name="Comma 2" xfId="5"/>
    <cellStyle name="Comma 2 2" xfId="45"/>
    <cellStyle name="Comma 2 2 2" xfId="102"/>
    <cellStyle name="Comma 2 3" xfId="50"/>
    <cellStyle name="Comma 2 3 2" xfId="107"/>
    <cellStyle name="Comma 2 4" xfId="56"/>
    <cellStyle name="Comma 2 5" xfId="76"/>
    <cellStyle name="Comma 3" xfId="14"/>
    <cellStyle name="Comma 3 2" xfId="70"/>
    <cellStyle name="Comma 4" xfId="25"/>
    <cellStyle name="Comma 4 2" xfId="67"/>
    <cellStyle name="Comma 4 3" xfId="88"/>
    <cellStyle name="Comma 5" xfId="35"/>
    <cellStyle name="Comma 5 2" xfId="95"/>
    <cellStyle name="Comma 6" xfId="37"/>
    <cellStyle name="Comma 7" xfId="38"/>
    <cellStyle name="Comma 8" xfId="41"/>
    <cellStyle name="Comma 8 2" xfId="98"/>
    <cellStyle name="Comma 9" xfId="64"/>
    <cellStyle name="Comma 9 2" xfId="115"/>
    <cellStyle name="Currency" xfId="19" builtinId="4"/>
    <cellStyle name="Currency 10 2" xfId="58"/>
    <cellStyle name="Currency 2" xfId="8"/>
    <cellStyle name="Currency 2 2" xfId="23"/>
    <cellStyle name="Currency 2 2 2" xfId="87"/>
    <cellStyle name="Currency 2 3" xfId="44"/>
    <cellStyle name="Currency 2 3 2" xfId="101"/>
    <cellStyle name="Currency 2 4" xfId="51"/>
    <cellStyle name="Currency 2 4 2" xfId="108"/>
    <cellStyle name="Currency 2 5" xfId="55"/>
    <cellStyle name="Currency 2 6" xfId="78"/>
    <cellStyle name="Currency 3" xfId="28"/>
    <cellStyle name="Currency 3 2" xfId="68"/>
    <cellStyle name="Currency 3 3" xfId="91"/>
    <cellStyle name="Currency 4" xfId="32"/>
    <cellStyle name="Currency 4 2" xfId="94"/>
    <cellStyle name="Currency 5" xfId="33"/>
    <cellStyle name="Currency 6" xfId="39"/>
    <cellStyle name="Currency 6 2" xfId="96"/>
    <cellStyle name="Currency 7" xfId="49"/>
    <cellStyle name="Currency 7 2" xfId="106"/>
    <cellStyle name="Currency 8" xfId="65"/>
    <cellStyle name="Currency 8 2" xfId="116"/>
    <cellStyle name="Currency 9" xfId="85"/>
    <cellStyle name="Hyperlink 2" xfId="16"/>
    <cellStyle name="Hyperlink 3" xfId="21"/>
    <cellStyle name="Hyperlink 4" xfId="34"/>
    <cellStyle name="Hyperlink 5" xfId="54"/>
    <cellStyle name="Normal" xfId="0" builtinId="0"/>
    <cellStyle name="Normal 10" xfId="27"/>
    <cellStyle name="Normal 10 2" xfId="90"/>
    <cellStyle name="Normal 11" xfId="30"/>
    <cellStyle name="Normal 11 2" xfId="92"/>
    <cellStyle name="Normal 12" xfId="36"/>
    <cellStyle name="Normal 13" xfId="46"/>
    <cellStyle name="Normal 13 2" xfId="103"/>
    <cellStyle name="Normal 14" xfId="48"/>
    <cellStyle name="Normal 14 2" xfId="105"/>
    <cellStyle name="Normal 15" xfId="57"/>
    <cellStyle name="Normal 15 2" xfId="111"/>
    <cellStyle name="Normal 16" xfId="62"/>
    <cellStyle name="Normal 16 2" xfId="113"/>
    <cellStyle name="Normal 17" xfId="71"/>
    <cellStyle name="Normal 18" xfId="73"/>
    <cellStyle name="Normal 19" xfId="72"/>
    <cellStyle name="Normal 2" xfId="2"/>
    <cellStyle name="Normal 2 2" xfId="52"/>
    <cellStyle name="Normal 2 2 2" xfId="109"/>
    <cellStyle name="Normal 2 3" xfId="66"/>
    <cellStyle name="Normal 3" xfId="3"/>
    <cellStyle name="Normal 3 2" xfId="7"/>
    <cellStyle name="Normal 3 3" xfId="10"/>
    <cellStyle name="Normal 3 3 2" xfId="80"/>
    <cellStyle name="Normal 3 4" xfId="29"/>
    <cellStyle name="Normal 3 5" xfId="42"/>
    <cellStyle name="Normal 3 5 2" xfId="99"/>
    <cellStyle name="Normal 3 6" xfId="75"/>
    <cellStyle name="Normal 4" xfId="4"/>
    <cellStyle name="Normal 5" xfId="9"/>
    <cellStyle name="Normal 5 2" xfId="79"/>
    <cellStyle name="Normal 6" xfId="12"/>
    <cellStyle name="Normal 6 2" xfId="22"/>
    <cellStyle name="Normal 6 3" xfId="81"/>
    <cellStyle name="Normal 7" xfId="13"/>
    <cellStyle name="Normal 7 2" xfId="82"/>
    <cellStyle name="Normal 8" xfId="17"/>
    <cellStyle name="Normal 8 2" xfId="83"/>
    <cellStyle name="Normal 9" xfId="20"/>
    <cellStyle name="Normal 9 2" xfId="86"/>
    <cellStyle name="Percent" xfId="1" builtinId="5"/>
    <cellStyle name="Percent 10" xfId="24"/>
    <cellStyle name="Percent 10 2 2" xfId="60"/>
    <cellStyle name="Percent 11" xfId="74"/>
    <cellStyle name="Percent 2" xfId="6"/>
    <cellStyle name="Percent 2 2" xfId="15"/>
    <cellStyle name="Percent 2 3" xfId="43"/>
    <cellStyle name="Percent 2 3 2" xfId="100"/>
    <cellStyle name="Percent 2 4" xfId="61"/>
    <cellStyle name="Percent 2 4 2" xfId="112"/>
    <cellStyle name="Percent 2 5" xfId="77"/>
    <cellStyle name="Percent 3" xfId="11"/>
    <cellStyle name="Percent 3 2" xfId="69"/>
    <cellStyle name="Percent 4" xfId="26"/>
    <cellStyle name="Percent 4 2" xfId="89"/>
    <cellStyle name="Percent 5" xfId="31"/>
    <cellStyle name="Percent 5 2" xfId="93"/>
    <cellStyle name="Percent 6" xfId="40"/>
    <cellStyle name="Percent 6 2" xfId="97"/>
    <cellStyle name="Percent 7" xfId="47"/>
    <cellStyle name="Percent 7 2" xfId="104"/>
    <cellStyle name="Percent 8" xfId="53"/>
    <cellStyle name="Percent 8 2" xfId="110"/>
    <cellStyle name="Percent 9" xfId="63"/>
    <cellStyle name="Percent 9 2" xfId="114"/>
  </cellStyles>
  <dxfs count="0"/>
  <tableStyles count="0" defaultTableStyle="TableStyleMedium9" defaultPivotStyle="PivotStyleLight16"/>
  <colors>
    <mruColors>
      <color rgb="FFB8CCE4"/>
      <color rgb="FFB8E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4.xml"/><Relationship Id="rId68" Type="http://schemas.openxmlformats.org/officeDocument/2006/relationships/externalLink" Target="externalLinks/externalLink9.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7.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5.xml"/><Relationship Id="rId69" Type="http://schemas.openxmlformats.org/officeDocument/2006/relationships/externalLink" Target="externalLinks/externalLink10.xml"/><Relationship Id="rId77"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70" Type="http://schemas.openxmlformats.org/officeDocument/2006/relationships/externalLink" Target="externalLinks/externalLink11.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externalLink" Target="externalLinks/externalLink6.xml"/><Relationship Id="rId73" Type="http://schemas.openxmlformats.org/officeDocument/2006/relationships/styles" Target="styles.xml"/><Relationship Id="rId78"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12.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FY2008 - FY2017 Rate Support for Charity Care</a:t>
            </a:r>
          </a:p>
          <a:p>
            <a:pPr>
              <a:defRPr/>
            </a:pPr>
            <a:r>
              <a:rPr lang="en-US" sz="1200" baseline="0"/>
              <a:t>(in millions)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8799531801311"/>
          <c:y val="0.22101851851851817"/>
          <c:w val="0.87140846625634893"/>
          <c:h val="0.5471602508019825"/>
        </c:manualLayout>
      </c:layout>
      <c:lineChart>
        <c:grouping val="standard"/>
        <c:varyColors val="0"/>
        <c:ser>
          <c:idx val="0"/>
          <c:order val="0"/>
          <c:tx>
            <c:strRef>
              <c:f>Charts!$B$21</c:f>
              <c:strCache>
                <c:ptCount val="1"/>
                <c:pt idx="0">
                  <c:v>Charity Care</c:v>
                </c:pt>
              </c:strCache>
            </c:strRef>
          </c:tx>
          <c:spPr>
            <a:ln w="28575" cap="rnd">
              <a:solidFill>
                <a:schemeClr val="accent1"/>
              </a:solidFill>
              <a:round/>
            </a:ln>
            <a:effectLst/>
          </c:spPr>
          <c:marker>
            <c:symbol val="none"/>
          </c:marker>
          <c:cat>
            <c:numRef>
              <c:f>Charts!$A$22:$A$31</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Charts!$B$22:$B$31</c:f>
              <c:numCache>
                <c:formatCode>"$"#,##0_);[Red]\("$"#,##0\)</c:formatCode>
                <c:ptCount val="10"/>
                <c:pt idx="0">
                  <c:v>256.01314300000001</c:v>
                </c:pt>
                <c:pt idx="1">
                  <c:v>269.06009499999999</c:v>
                </c:pt>
                <c:pt idx="2">
                  <c:v>312.049419</c:v>
                </c:pt>
                <c:pt idx="3">
                  <c:v>374.89863100000002</c:v>
                </c:pt>
                <c:pt idx="4">
                  <c:v>442.00888400000002</c:v>
                </c:pt>
                <c:pt idx="5">
                  <c:v>462.590418</c:v>
                </c:pt>
                <c:pt idx="6">
                  <c:v>463.908838</c:v>
                </c:pt>
                <c:pt idx="7">
                  <c:v>428.14220477171256</c:v>
                </c:pt>
                <c:pt idx="8">
                  <c:v>343.87975935278638</c:v>
                </c:pt>
                <c:pt idx="9">
                  <c:v>307.57910008206181</c:v>
                </c:pt>
              </c:numCache>
            </c:numRef>
          </c:val>
          <c:smooth val="0"/>
          <c:extLst xmlns:c16r2="http://schemas.microsoft.com/office/drawing/2015/06/chart">
            <c:ext xmlns:c16="http://schemas.microsoft.com/office/drawing/2014/chart" uri="{C3380CC4-5D6E-409C-BE32-E72D297353CC}">
              <c16:uniqueId val="{00000000-5FD8-4339-9B40-05942050F32A}"/>
            </c:ext>
          </c:extLst>
        </c:ser>
        <c:dLbls>
          <c:showLegendKey val="0"/>
          <c:showVal val="0"/>
          <c:showCatName val="0"/>
          <c:showSerName val="0"/>
          <c:showPercent val="0"/>
          <c:showBubbleSize val="0"/>
        </c:dLbls>
        <c:smooth val="0"/>
        <c:axId val="155664296"/>
        <c:axId val="155664688"/>
      </c:lineChart>
      <c:catAx>
        <c:axId val="15566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664688"/>
        <c:crosses val="autoZero"/>
        <c:auto val="1"/>
        <c:lblAlgn val="ctr"/>
        <c:lblOffset val="100"/>
        <c:noMultiLvlLbl val="0"/>
      </c:catAx>
      <c:valAx>
        <c:axId val="155664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664296"/>
        <c:crosses val="autoZero"/>
        <c:crossBetween val="between"/>
        <c:majorUnit val="1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FY2008-FY2017</a:t>
            </a:r>
            <a:r>
              <a:rPr lang="en-US" baseline="0"/>
              <a:t> Community Benefit Expense</a:t>
            </a:r>
          </a:p>
          <a:p>
            <a:pPr>
              <a:defRPr/>
            </a:pPr>
            <a:r>
              <a:rPr lang="en-US" sz="1100" baseline="0"/>
              <a:t>(in millions)</a:t>
            </a:r>
            <a:endParaRPr lang="en-US" sz="1100"/>
          </a:p>
        </c:rich>
      </c:tx>
      <c:layout>
        <c:manualLayout>
          <c:xMode val="edge"/>
          <c:yMode val="edge"/>
          <c:x val="0.32462787022401268"/>
          <c:y val="1.81818225201199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Charts!$B$44</c:f>
              <c:strCache>
                <c:ptCount val="1"/>
                <c:pt idx="0">
                  <c:v>CB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Charts!$A$45:$A$54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Charts!$B$45:$B$54</c:f>
              <c:numCache>
                <c:formatCode>"$"#,##0_);[Red]\("$"#,##0\)</c:formatCode>
                <c:ptCount val="10"/>
                <c:pt idx="0">
                  <c:v>861.08739786232854</c:v>
                </c:pt>
                <c:pt idx="1">
                  <c:v>946.2381640606277</c:v>
                </c:pt>
                <c:pt idx="2">
                  <c:v>1051.0517503757258</c:v>
                </c:pt>
                <c:pt idx="3">
                  <c:v>1203.0176928095927</c:v>
                </c:pt>
                <c:pt idx="4">
                  <c:v>1378.3019303951344</c:v>
                </c:pt>
                <c:pt idx="5">
                  <c:v>1505.554321846221</c:v>
                </c:pt>
                <c:pt idx="6">
                  <c:v>1498.125311</c:v>
                </c:pt>
                <c:pt idx="7">
                  <c:v>1477.3026560000001</c:v>
                </c:pt>
                <c:pt idx="8">
                  <c:v>1523.6728668289177</c:v>
                </c:pt>
                <c:pt idx="9">
                  <c:v>1562.51521254511</c:v>
                </c:pt>
              </c:numCache>
            </c:numRef>
          </c:val>
          <c:extLst xmlns:c16r2="http://schemas.microsoft.com/office/drawing/2015/06/chart">
            <c:ext xmlns:c16="http://schemas.microsoft.com/office/drawing/2014/chart" uri="{C3380CC4-5D6E-409C-BE32-E72D297353CC}">
              <c16:uniqueId val="{00000000-F6C5-4B70-9AED-B54BFF492E8C}"/>
            </c:ext>
          </c:extLst>
        </c:ser>
        <c:ser>
          <c:idx val="1"/>
          <c:order val="1"/>
          <c:tx>
            <c:strRef>
              <c:f>Charts!$C$44</c:f>
              <c:strCache>
                <c:ptCount val="1"/>
                <c:pt idx="0">
                  <c:v>CB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Charts!$A$45:$A$54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Charts!$C$45:$C$54</c:f>
              <c:numCache>
                <c:formatCode>"$"#,##0_);[Red]\("$"#,##0\)</c:formatCode>
                <c:ptCount val="10"/>
                <c:pt idx="0">
                  <c:v>415.96112386232852</c:v>
                </c:pt>
                <c:pt idx="1">
                  <c:v>452.96287606062765</c:v>
                </c:pt>
                <c:pt idx="2">
                  <c:v>515.46260137572574</c:v>
                </c:pt>
                <c:pt idx="3">
                  <c:v>580.41547980959274</c:v>
                </c:pt>
                <c:pt idx="4">
                  <c:v>651.68681639513431</c:v>
                </c:pt>
                <c:pt idx="5">
                  <c:v>713.44631884622095</c:v>
                </c:pt>
                <c:pt idx="6">
                  <c:v>724.6684919999999</c:v>
                </c:pt>
                <c:pt idx="7">
                  <c:v>731.20237529969745</c:v>
                </c:pt>
                <c:pt idx="8">
                  <c:v>827.66715307936329</c:v>
                </c:pt>
                <c:pt idx="9">
                  <c:v>895.94846326520815</c:v>
                </c:pt>
              </c:numCache>
            </c:numRef>
          </c:val>
          <c:extLst xmlns:c16r2="http://schemas.microsoft.com/office/drawing/2015/06/chart">
            <c:ext xmlns:c16="http://schemas.microsoft.com/office/drawing/2014/chart" uri="{C3380CC4-5D6E-409C-BE32-E72D297353CC}">
              <c16:uniqueId val="{00000001-F6C5-4B70-9AED-B54BFF492E8C}"/>
            </c:ext>
          </c:extLst>
        </c:ser>
        <c:dLbls>
          <c:showLegendKey val="0"/>
          <c:showVal val="0"/>
          <c:showCatName val="0"/>
          <c:showSerName val="0"/>
          <c:showPercent val="0"/>
          <c:showBubbleSize val="0"/>
        </c:dLbls>
        <c:gapWidth val="219"/>
        <c:overlap val="-27"/>
        <c:axId val="214186064"/>
        <c:axId val="214184888"/>
      </c:barChart>
      <c:catAx>
        <c:axId val="21418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84888"/>
        <c:crosses val="autoZero"/>
        <c:auto val="1"/>
        <c:lblAlgn val="ctr"/>
        <c:lblOffset val="100"/>
        <c:noMultiLvlLbl val="0"/>
      </c:catAx>
      <c:valAx>
        <c:axId val="2141848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86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FY2008-FY2017    </a:t>
            </a:r>
          </a:p>
          <a:p>
            <a:pPr algn="ctr" rtl="0">
              <a:defRPr lang="en-US">
                <a:solidFill>
                  <a:sysClr val="windowText" lastClr="000000">
                    <a:lumMod val="65000"/>
                    <a:lumOff val="35000"/>
                  </a:sysClr>
                </a:solidFill>
              </a:defRPr>
            </a:pPr>
            <a:r>
              <a:rPr lang="en-US" sz="1400" b="0" i="0" u="none" strike="noStrike" kern="1200" spc="0" baseline="0">
                <a:solidFill>
                  <a:sysClr val="windowText" lastClr="000000">
                    <a:lumMod val="65000"/>
                    <a:lumOff val="35000"/>
                  </a:sysClr>
                </a:solidFill>
                <a:latin typeface="+mn-lt"/>
                <a:ea typeface="+mn-ea"/>
                <a:cs typeface="+mn-cs"/>
              </a:rPr>
              <a:t> % of Operating Expense</a:t>
            </a:r>
          </a:p>
        </c:rich>
      </c:tx>
      <c:layout>
        <c:manualLayout>
          <c:xMode val="edge"/>
          <c:yMode val="edge"/>
          <c:x val="0.28953008489001641"/>
          <c:y val="3.2407407407407718E-2"/>
        </c:manualLayout>
      </c:layout>
      <c:overlay val="0"/>
      <c:spPr>
        <a:noFill/>
        <a:ln>
          <a:noFill/>
        </a:ln>
        <a:effectLst/>
      </c:spPr>
      <c:txPr>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Charts!$B$69</c:f>
              <c:strCache>
                <c:ptCount val="1"/>
                <c:pt idx="0">
                  <c:v>% of Operating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Charts!$A$70:$A$79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Charts!$B$70:$B$79</c:f>
              <c:numCache>
                <c:formatCode>0.0%</c:formatCode>
                <c:ptCount val="10"/>
                <c:pt idx="0">
                  <c:v>7.2237367452969423E-2</c:v>
                </c:pt>
                <c:pt idx="1">
                  <c:v>7.6047485522008823E-2</c:v>
                </c:pt>
                <c:pt idx="2">
                  <c:v>8.3101643398462613E-2</c:v>
                </c:pt>
                <c:pt idx="3">
                  <c:v>9.2258868211991238E-2</c:v>
                </c:pt>
                <c:pt idx="4">
                  <c:v>0.10185384603002651</c:v>
                </c:pt>
                <c:pt idx="5">
                  <c:v>0.1104988049791147</c:v>
                </c:pt>
                <c:pt idx="6">
                  <c:v>0.10620841479725308</c:v>
                </c:pt>
                <c:pt idx="7">
                  <c:v>0.10054156065587122</c:v>
                </c:pt>
                <c:pt idx="8">
                  <c:v>9.3308531422878357E-2</c:v>
                </c:pt>
                <c:pt idx="9">
                  <c:v>9.8678472024598021E-2</c:v>
                </c:pt>
              </c:numCache>
            </c:numRef>
          </c:val>
          <c:extLst xmlns:c16r2="http://schemas.microsoft.com/office/drawing/2015/06/chart">
            <c:ext xmlns:c16="http://schemas.microsoft.com/office/drawing/2014/chart" uri="{C3380CC4-5D6E-409C-BE32-E72D297353CC}">
              <c16:uniqueId val="{00000000-1C9D-4806-B6E4-77F6A94A2B72}"/>
            </c:ext>
          </c:extLst>
        </c:ser>
        <c:ser>
          <c:idx val="1"/>
          <c:order val="1"/>
          <c:tx>
            <c:strRef>
              <c:f>Charts!$C$69</c:f>
              <c:strCache>
                <c:ptCount val="1"/>
                <c:pt idx="0">
                  <c:v>% of Operating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Charts!$A$70:$A$79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Charts!$C$70:$C$79</c:f>
              <c:numCache>
                <c:formatCode>0.0%</c:formatCode>
                <c:ptCount val="10"/>
                <c:pt idx="0">
                  <c:v>3.4895338876388064E-2</c:v>
                </c:pt>
                <c:pt idx="1">
                  <c:v>3.6403824182493001E-2</c:v>
                </c:pt>
                <c:pt idx="2">
                  <c:v>4.0755166688468646E-2</c:v>
                </c:pt>
                <c:pt idx="3">
                  <c:v>4.4511793617010624E-2</c:v>
                </c:pt>
                <c:pt idx="4">
                  <c:v>4.8158394901093353E-2</c:v>
                </c:pt>
                <c:pt idx="5">
                  <c:v>5.2362750719338144E-2</c:v>
                </c:pt>
                <c:pt idx="6">
                  <c:v>5.1374802377152994E-2</c:v>
                </c:pt>
                <c:pt idx="7">
                  <c:v>4.9763823052323575E-2</c:v>
                </c:pt>
                <c:pt idx="8">
                  <c:v>5.0685687355920786E-2</c:v>
                </c:pt>
                <c:pt idx="9">
                  <c:v>5.6582377347730944E-2</c:v>
                </c:pt>
              </c:numCache>
            </c:numRef>
          </c:val>
          <c:extLst xmlns:c16r2="http://schemas.microsoft.com/office/drawing/2015/06/chart">
            <c:ext xmlns:c16="http://schemas.microsoft.com/office/drawing/2014/chart" uri="{C3380CC4-5D6E-409C-BE32-E72D297353CC}">
              <c16:uniqueId val="{00000001-1C9D-4806-B6E4-77F6A94A2B72}"/>
            </c:ext>
          </c:extLst>
        </c:ser>
        <c:dLbls>
          <c:showLegendKey val="0"/>
          <c:showVal val="1"/>
          <c:showCatName val="0"/>
          <c:showSerName val="0"/>
          <c:showPercent val="0"/>
          <c:showBubbleSize val="0"/>
        </c:dLbls>
        <c:gapWidth val="219"/>
        <c:overlap val="-27"/>
        <c:axId val="214180184"/>
        <c:axId val="214179008"/>
      </c:barChart>
      <c:catAx>
        <c:axId val="214180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79008"/>
        <c:crosses val="autoZero"/>
        <c:auto val="1"/>
        <c:lblAlgn val="ctr"/>
        <c:lblOffset val="100"/>
        <c:noMultiLvlLbl val="0"/>
      </c:catAx>
      <c:valAx>
        <c:axId val="214179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80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COMMUNITY BENEFIT Expenditures With and Without Rate Support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642923204464371E-2"/>
          <c:y val="0.19968425809503534"/>
          <c:w val="0.90858596445359274"/>
          <c:h val="0.36858281992287234"/>
        </c:manualLayout>
      </c:layout>
      <c:barChart>
        <c:barDir val="col"/>
        <c:grouping val="clustered"/>
        <c:varyColors val="0"/>
        <c:ser>
          <c:idx val="0"/>
          <c:order val="0"/>
          <c:tx>
            <c:strRef>
              <c:f>Charts!$B$2</c:f>
              <c:strCache>
                <c:ptCount val="1"/>
                <c:pt idx="0">
                  <c:v>Percent of Total CB Expenditures</c:v>
                </c:pt>
              </c:strCache>
            </c:strRef>
          </c:tx>
          <c:spPr>
            <a:solidFill>
              <a:schemeClr val="accent1"/>
            </a:solidFill>
            <a:ln>
              <a:noFill/>
            </a:ln>
            <a:effectLst/>
          </c:spPr>
          <c:invertIfNegative val="0"/>
          <c:dLbls>
            <c:dLbl>
              <c:idx val="1"/>
              <c:layout>
                <c:manualLayout>
                  <c:x val="-6.782273273811409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34-4DAF-8611-FA1E1772FAEB}"/>
                </c:ext>
                <c:ext xmlns:c15="http://schemas.microsoft.com/office/drawing/2012/chart" uri="{CE6537A1-D6FC-4f65-9D91-7224C49458BB}">
                  <c15:layout/>
                </c:ext>
              </c:extLst>
            </c:dLbl>
            <c:dLbl>
              <c:idx val="2"/>
              <c:layout>
                <c:manualLayout>
                  <c:x val="5.0867049553584304E-3"/>
                  <c:y val="-1.09546432484572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34-4DAF-8611-FA1E1772FAEB}"/>
                </c:ext>
                <c:ext xmlns:c15="http://schemas.microsoft.com/office/drawing/2012/chart" uri="{CE6537A1-D6FC-4f65-9D91-7224C49458BB}">
                  <c15:layout/>
                </c:ext>
              </c:extLst>
            </c:dLbl>
            <c:dLbl>
              <c:idx val="4"/>
              <c:layout>
                <c:manualLayout>
                  <c:x val="-5.0867049553586534E-3"/>
                  <c:y val="-5.477321624228623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34-4DAF-8611-FA1E1772FAEB}"/>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Charts!$A$3:$A$11</c:f>
              <c:strCache>
                <c:ptCount val="9"/>
                <c:pt idx="0">
                  <c:v>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Charts!$B$3:$B$11</c:f>
              <c:numCache>
                <c:formatCode>0%</c:formatCode>
                <c:ptCount val="9"/>
                <c:pt idx="0">
                  <c:v>0.18396710722355783</c:v>
                </c:pt>
                <c:pt idx="1">
                  <c:v>0.34026684715356365</c:v>
                </c:pt>
                <c:pt idx="2">
                  <c:v>0.31057134619355858</c:v>
                </c:pt>
                <c:pt idx="3">
                  <c:v>7.5161019299441204E-2</c:v>
                </c:pt>
                <c:pt idx="4">
                  <c:v>4.5246487817076179E-2</c:v>
                </c:pt>
                <c:pt idx="5">
                  <c:v>1.8629419015831192E-2</c:v>
                </c:pt>
                <c:pt idx="6">
                  <c:v>9.9534125434958889E-3</c:v>
                </c:pt>
                <c:pt idx="7">
                  <c:v>5.8874560614210697E-3</c:v>
                </c:pt>
                <c:pt idx="8">
                  <c:v>9.1589130418612899E-3</c:v>
                </c:pt>
              </c:numCache>
            </c:numRef>
          </c:val>
          <c:extLst xmlns:c16r2="http://schemas.microsoft.com/office/drawing/2015/06/chart">
            <c:ext xmlns:c16="http://schemas.microsoft.com/office/drawing/2014/chart" uri="{C3380CC4-5D6E-409C-BE32-E72D297353CC}">
              <c16:uniqueId val="{00000003-E034-4DAF-8611-FA1E1772FAEB}"/>
            </c:ext>
          </c:extLst>
        </c:ser>
        <c:ser>
          <c:idx val="1"/>
          <c:order val="1"/>
          <c:tx>
            <c:strRef>
              <c:f>Charts!$C$2</c:f>
              <c:strCache>
                <c:ptCount val="1"/>
                <c:pt idx="0">
                  <c:v>Percent of Total CB Expenditures w/o Rate Support</c:v>
                </c:pt>
              </c:strCache>
            </c:strRef>
          </c:tx>
          <c:spPr>
            <a:solidFill>
              <a:schemeClr val="accent2"/>
            </a:solidFill>
            <a:ln>
              <a:noFill/>
            </a:ln>
            <a:effectLst/>
          </c:spPr>
          <c:invertIfNegative val="0"/>
          <c:dLbls>
            <c:dLbl>
              <c:idx val="0"/>
              <c:layout>
                <c:manualLayout>
                  <c:x val="6.7822732738113478E-3"/>
                  <c:y val="1.919218994316231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34-4DAF-8611-FA1E1772FAEB}"/>
                </c:ext>
                <c:ext xmlns:c15="http://schemas.microsoft.com/office/drawing/2012/chart" uri="{CE6537A1-D6FC-4f65-9D91-7224C49458BB}">
                  <c15:layout/>
                </c:ext>
              </c:extLst>
            </c:dLbl>
            <c:dLbl>
              <c:idx val="1"/>
              <c:layout>
                <c:manualLayout>
                  <c:x val="3.3911366369056002E-3"/>
                  <c:y val="-2.510410077300076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34-4DAF-8611-FA1E1772FAEB}"/>
                </c:ext>
                <c:ext xmlns:c15="http://schemas.microsoft.com/office/drawing/2012/chart" uri="{CE6537A1-D6FC-4f65-9D91-7224C49458BB}">
                  <c15:layout/>
                </c:ext>
              </c:extLst>
            </c:dLbl>
            <c:dLbl>
              <c:idx val="2"/>
              <c:layout>
                <c:manualLayout>
                  <c:x val="1.186897822916994E-2"/>
                  <c:y val="-8.215982436342852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34-4DAF-8611-FA1E1772FAEB}"/>
                </c:ext>
                <c:ext xmlns:c15="http://schemas.microsoft.com/office/drawing/2012/chart" uri="{CE6537A1-D6FC-4f65-9D91-7224C49458BB}">
                  <c15:layout/>
                </c:ext>
              </c:extLst>
            </c:dLbl>
            <c:dLbl>
              <c:idx val="3"/>
              <c:layout>
                <c:manualLayout>
                  <c:x val="8.4778415922641247E-3"/>
                  <c:y val="-5.477321624228623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34-4DAF-8611-FA1E1772FAEB}"/>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Charts!$A$3:$A$11</c:f>
              <c:strCache>
                <c:ptCount val="9"/>
                <c:pt idx="0">
                  <c:v>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Charts!$C$3:$C$11</c:f>
              <c:numCache>
                <c:formatCode>0%</c:formatCode>
                <c:ptCount val="9"/>
                <c:pt idx="0">
                  <c:v>-2.246523931886223E-2</c:v>
                </c:pt>
                <c:pt idx="1">
                  <c:v>0.59341820099648035</c:v>
                </c:pt>
                <c:pt idx="2">
                  <c:v>0.14095096851849545</c:v>
                </c:pt>
                <c:pt idx="3">
                  <c:v>0.13107923158205045</c:v>
                </c:pt>
                <c:pt idx="4">
                  <c:v>7.8908919944530961E-2</c:v>
                </c:pt>
                <c:pt idx="5">
                  <c:v>3.2489313638583747E-2</c:v>
                </c:pt>
                <c:pt idx="6">
                  <c:v>1.7358541435191568E-2</c:v>
                </c:pt>
                <c:pt idx="7">
                  <c:v>1.0267599131800179E-2</c:v>
                </c:pt>
                <c:pt idx="8">
                  <c:v>1.5972951070168946E-2</c:v>
                </c:pt>
              </c:numCache>
            </c:numRef>
          </c:val>
          <c:extLst xmlns:c16r2="http://schemas.microsoft.com/office/drawing/2015/06/chart">
            <c:ext xmlns:c16="http://schemas.microsoft.com/office/drawing/2014/chart" uri="{C3380CC4-5D6E-409C-BE32-E72D297353CC}">
              <c16:uniqueId val="{00000008-E034-4DAF-8611-FA1E1772FAEB}"/>
            </c:ext>
          </c:extLst>
        </c:ser>
        <c:dLbls>
          <c:showLegendKey val="0"/>
          <c:showVal val="1"/>
          <c:showCatName val="0"/>
          <c:showSerName val="0"/>
          <c:showPercent val="0"/>
          <c:showBubbleSize val="0"/>
        </c:dLbls>
        <c:gapWidth val="219"/>
        <c:overlap val="-27"/>
        <c:axId val="214180576"/>
        <c:axId val="214183320"/>
      </c:barChart>
      <c:catAx>
        <c:axId val="2141805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83320"/>
        <c:crosses val="autoZero"/>
        <c:auto val="1"/>
        <c:lblAlgn val="ctr"/>
        <c:lblOffset val="300"/>
        <c:noMultiLvlLbl val="0"/>
      </c:catAx>
      <c:valAx>
        <c:axId val="214183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80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129887</xdr:colOff>
      <xdr:row>16</xdr:row>
      <xdr:rowOff>189057</xdr:rowOff>
    </xdr:from>
    <xdr:to>
      <xdr:col>14</xdr:col>
      <xdr:colOff>590264</xdr:colOff>
      <xdr:row>35</xdr:row>
      <xdr:rowOff>189057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115454</xdr:colOff>
      <xdr:row>40</xdr:row>
      <xdr:rowOff>134216</xdr:rowOff>
    </xdr:from>
    <xdr:to>
      <xdr:col>14</xdr:col>
      <xdr:colOff>525318</xdr:colOff>
      <xdr:row>61</xdr:row>
      <xdr:rowOff>134215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620402</xdr:colOff>
      <xdr:row>67</xdr:row>
      <xdr:rowOff>367855</xdr:rowOff>
    </xdr:from>
    <xdr:to>
      <xdr:col>13</xdr:col>
      <xdr:colOff>166501</xdr:colOff>
      <xdr:row>87</xdr:row>
      <xdr:rowOff>71787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44378</xdr:colOff>
      <xdr:row>1</xdr:row>
      <xdr:rowOff>27781</xdr:rowOff>
    </xdr:from>
    <xdr:to>
      <xdr:col>14</xdr:col>
      <xdr:colOff>589901</xdr:colOff>
      <xdr:row>16</xdr:row>
      <xdr:rowOff>41129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0.04846</cdr:x>
      <cdr:y>0.87404</cdr:y>
    </cdr:from>
    <cdr:to>
      <cdr:x>0.19751</cdr:x>
      <cdr:y>1</cdr:y>
    </cdr:to>
    <cdr:sp macro="" textlink="">
      <cdr:nvSpPr>
        <cdr:cNvPr id="2" name="TextBox 1"/>
        <cdr:cNvSpPr txBox="1"/>
      </cdr:nvSpPr>
      <cdr:spPr>
        <a:xfrm xmlns:a="http://schemas.openxmlformats.org/drawingml/2006/main">
          <a:off x="297296" y="3554916"/>
          <a:ext cx="914400" cy="512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0.03576</cdr:x>
      <cdr:y>0.94428</cdr:y>
    </cdr:from>
    <cdr:to>
      <cdr:x>0.1848</cdr:x>
      <cdr:y>1</cdr:y>
    </cdr:to>
    <cdr:sp macro="" textlink="">
      <cdr:nvSpPr>
        <cdr:cNvPr id="3" name="TextBox 2"/>
        <cdr:cNvSpPr txBox="1"/>
      </cdr:nvSpPr>
      <cdr:spPr>
        <a:xfrm xmlns:a="http://schemas.openxmlformats.org/drawingml/2006/main">
          <a:off x="271988" y="4127500"/>
          <a:ext cx="1133588" cy="2435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Financial%20Reporting\Community%20Benefit\Community%20Benefit%20SFY%202017\FY2017%20AHC_Community%20Benefit%20Financial%20Reporting_Master%20Data%20Collection%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Financial%20Reporting\Community%20Benefit\Community%20Benefit%20SFY%202017\7%20-%20Additional%20Reports\2016%20Financial%20Statement%20Worksheet%20File_Audited%20&amp;%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Users\majacobs\Documents\Community%20Benefit\FY17\CBR%202017%20su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VP%20&amp;%20DirF&amp;A\Sherry%20Fluke\EBCA%20Budget%20FY2014\EBCA_JHHS_FY2014_MasterBook_JUN2014_071414_S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Community%20Relations\Community%20Benefit\FY17\CBR%202017%20suppor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Community%20Benefits\FY17\Final\Copy%20of%20MHE%20DGH%20Inventory%202017%20FINAL%20Draft%20FF%20AF%20120817%20(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 Master List - FY17 &amp; CY16"/>
      <sheetName val="Main Notes"/>
      <sheetName val="Support Center Percentages"/>
      <sheetName val="Category T"/>
      <sheetName val="Category A"/>
      <sheetName val="Category B"/>
      <sheetName val="Category C"/>
      <sheetName val="Category D"/>
      <sheetName val="Category E"/>
      <sheetName val="Category F"/>
      <sheetName val="Category G"/>
      <sheetName val="Category H"/>
      <sheetName val="CY16 FY17 CB Planning-Contacts"/>
    </sheetNames>
    <sheetDataSet>
      <sheetData sheetId="0">
        <row r="11">
          <cell r="I11">
            <v>9168814.9220341016</v>
          </cell>
        </row>
        <row r="12">
          <cell r="K12">
            <v>7796492.9189298907</v>
          </cell>
          <cell r="AF12">
            <v>5094568.7910101097</v>
          </cell>
        </row>
        <row r="40">
          <cell r="G40">
            <v>8547.7855999054991</v>
          </cell>
          <cell r="H40">
            <v>4882.9926961871051</v>
          </cell>
          <cell r="I40">
            <v>446571.58033615683</v>
          </cell>
          <cell r="J40">
            <v>310806.99908981397</v>
          </cell>
          <cell r="K40">
            <v>27992.117749999998</v>
          </cell>
          <cell r="AB40">
            <v>8277.7100546584625</v>
          </cell>
          <cell r="AC40">
            <v>1785.543749928258</v>
          </cell>
          <cell r="AD40">
            <v>348789.03449530003</v>
          </cell>
          <cell r="AE40">
            <v>211614.76460126182</v>
          </cell>
          <cell r="AF40">
            <v>22158.560410900001</v>
          </cell>
          <cell r="AW40">
            <v>725.80757932701351</v>
          </cell>
          <cell r="AX40">
            <v>367.22654461405511</v>
          </cell>
          <cell r="AY40">
            <v>43796.905038949997</v>
          </cell>
          <cell r="AZ40">
            <v>52580.25238171927</v>
          </cell>
          <cell r="BA40">
            <v>2782.4165043499997</v>
          </cell>
          <cell r="CM40">
            <v>730.15866502066035</v>
          </cell>
          <cell r="CN40">
            <v>11.237009270581737</v>
          </cell>
          <cell r="CO40">
            <v>48026.787215749995</v>
          </cell>
          <cell r="CP40">
            <v>46749.046360591696</v>
          </cell>
          <cell r="CQ40">
            <v>3051.1408347500001</v>
          </cell>
        </row>
        <row r="59">
          <cell r="G59">
            <v>955.49175000000002</v>
          </cell>
          <cell r="I59">
            <v>56564.434249999998</v>
          </cell>
          <cell r="J59">
            <v>39367.982286785409</v>
          </cell>
          <cell r="K59">
            <v>18218.486124999999</v>
          </cell>
          <cell r="AB59">
            <v>756.36726930000009</v>
          </cell>
          <cell r="AD59">
            <v>44776.406152299998</v>
          </cell>
          <cell r="AE59">
            <v>27166.4178356993</v>
          </cell>
          <cell r="AF59">
            <v>14421.753616550001</v>
          </cell>
          <cell r="AW59">
            <v>94.975879950000007</v>
          </cell>
          <cell r="AY59">
            <v>5622.5047644500009</v>
          </cell>
          <cell r="AZ59">
            <v>6750.0824377723584</v>
          </cell>
          <cell r="BA59">
            <v>1810.9175208250001</v>
          </cell>
          <cell r="CM59">
            <v>244.14860074999999</v>
          </cell>
          <cell r="CN59">
            <v>535</v>
          </cell>
          <cell r="CO59">
            <v>20946.183333249999</v>
          </cell>
          <cell r="CP59">
            <v>20388.915280229943</v>
          </cell>
          <cell r="CQ59">
            <v>1985.814987625</v>
          </cell>
        </row>
        <row r="63">
          <cell r="G63">
            <v>1355.1659999999999</v>
          </cell>
          <cell r="I63">
            <v>51157.680500000002</v>
          </cell>
          <cell r="J63">
            <v>35604.964258208376</v>
          </cell>
          <cell r="K63">
            <v>0</v>
          </cell>
          <cell r="AB63">
            <v>1072.7494055999998</v>
          </cell>
          <cell r="AD63">
            <v>25317.489883799997</v>
          </cell>
          <cell r="AE63">
            <v>15360.444659069</v>
          </cell>
          <cell r="AW63">
            <v>134.7035004</v>
          </cell>
          <cell r="AY63">
            <v>3179.0784417</v>
          </cell>
          <cell r="AZ63">
            <v>3816.6337702906389</v>
          </cell>
          <cell r="CM63">
            <v>147.71309399999998</v>
          </cell>
          <cell r="CO63">
            <v>3486.1121745</v>
          </cell>
          <cell r="CP63">
            <v>3393.3650179805927</v>
          </cell>
        </row>
        <row r="75">
          <cell r="G75">
            <v>6377.8000000000011</v>
          </cell>
          <cell r="H75">
            <v>1442</v>
          </cell>
          <cell r="I75">
            <v>580464.05000000005</v>
          </cell>
          <cell r="J75">
            <v>403994.11293529772</v>
          </cell>
          <cell r="K75">
            <v>0</v>
          </cell>
          <cell r="AB75">
            <v>584</v>
          </cell>
          <cell r="AC75">
            <v>1905</v>
          </cell>
          <cell r="CM75">
            <v>8112</v>
          </cell>
          <cell r="CN75">
            <v>5000</v>
          </cell>
          <cell r="CO75">
            <v>566600.28</v>
          </cell>
          <cell r="CP75">
            <v>551526.01898295828</v>
          </cell>
          <cell r="CQ75">
            <v>316440</v>
          </cell>
        </row>
        <row r="92">
          <cell r="G92">
            <v>3480.7284999999988</v>
          </cell>
          <cell r="I92">
            <v>114097.82850000002</v>
          </cell>
          <cell r="J92">
            <v>79410.345933914825</v>
          </cell>
          <cell r="K92">
            <v>4118.1445000000003</v>
          </cell>
          <cell r="AB92">
            <v>2755.3446805999993</v>
          </cell>
          <cell r="AD92">
            <v>90319.841040600004</v>
          </cell>
          <cell r="AE92">
            <v>54798.201807825208</v>
          </cell>
          <cell r="AF92">
            <v>3259.9231861999997</v>
          </cell>
          <cell r="AW92">
            <v>345.98441289999994</v>
          </cell>
          <cell r="AY92">
            <v>11341.324152900001</v>
          </cell>
          <cell r="AZ92">
            <v>13615.795129177175</v>
          </cell>
          <cell r="BA92">
            <v>409.34356330000003</v>
          </cell>
          <cell r="CM92">
            <v>379.39940649999994</v>
          </cell>
          <cell r="CO92">
            <v>12436.663306499999</v>
          </cell>
          <cell r="CP92">
            <v>12105.788939718455</v>
          </cell>
          <cell r="CQ92">
            <v>448.87775050000005</v>
          </cell>
        </row>
        <row r="120">
          <cell r="G120">
            <v>5868.6754999999994</v>
          </cell>
          <cell r="I120">
            <v>2127816.0325000002</v>
          </cell>
          <cell r="J120">
            <v>1456160.3900092801</v>
          </cell>
          <cell r="AB120">
            <v>22999.563525799986</v>
          </cell>
          <cell r="AD120">
            <v>3330202.9017889998</v>
          </cell>
          <cell r="AE120">
            <v>1998691.490030197</v>
          </cell>
          <cell r="AW120">
            <v>31.676344699999994</v>
          </cell>
          <cell r="AY120">
            <v>440108.11916349997</v>
          </cell>
          <cell r="AZ120">
            <v>524307.25279418193</v>
          </cell>
          <cell r="CM120">
            <v>34.735629499999995</v>
          </cell>
          <cell r="CO120">
            <v>88420.701547500023</v>
          </cell>
          <cell r="CP120">
            <v>86068.290541919589</v>
          </cell>
        </row>
        <row r="135">
          <cell r="G135">
            <v>176.56375000000003</v>
          </cell>
          <cell r="I135">
            <v>7438.6548750000002</v>
          </cell>
          <cell r="J135">
            <v>5177.1901768205162</v>
          </cell>
          <cell r="K135">
            <v>1005.1861250000001</v>
          </cell>
          <cell r="AB135">
            <v>139.76786450000003</v>
          </cell>
          <cell r="AD135">
            <v>5888.4391990499998</v>
          </cell>
          <cell r="AE135">
            <v>4098.2637439711207</v>
          </cell>
          <cell r="AF135">
            <v>795.70533654999997</v>
          </cell>
          <cell r="AW135">
            <v>23.550436750000003</v>
          </cell>
          <cell r="AY135">
            <v>739.40229457500004</v>
          </cell>
          <cell r="AZ135">
            <v>514.61270357595936</v>
          </cell>
          <cell r="BA135">
            <v>99.915500825000009</v>
          </cell>
          <cell r="CM135">
            <v>19.245448750000001</v>
          </cell>
          <cell r="CO135">
            <v>810.81338137500006</v>
          </cell>
          <cell r="CP135">
            <v>789.24189089328524</v>
          </cell>
          <cell r="CQ135">
            <v>109.56528762500001</v>
          </cell>
        </row>
        <row r="155">
          <cell r="G155">
            <v>3972</v>
          </cell>
          <cell r="H155">
            <v>1185</v>
          </cell>
          <cell r="I155">
            <v>339921.86</v>
          </cell>
          <cell r="J155">
            <v>0</v>
          </cell>
          <cell r="K155">
            <v>0</v>
          </cell>
          <cell r="AB155">
            <v>14636</v>
          </cell>
          <cell r="AC155">
            <v>4652</v>
          </cell>
          <cell r="AD155">
            <v>658775.39</v>
          </cell>
          <cell r="AF155">
            <v>71333.359999999986</v>
          </cell>
        </row>
        <row r="165">
          <cell r="G165">
            <v>12086</v>
          </cell>
          <cell r="H165">
            <v>3978.6666666666665</v>
          </cell>
          <cell r="I165">
            <v>340500</v>
          </cell>
          <cell r="AB165">
            <v>4933</v>
          </cell>
          <cell r="AC165">
            <v>4346</v>
          </cell>
          <cell r="AD165">
            <v>207186</v>
          </cell>
        </row>
        <row r="188">
          <cell r="G188">
            <v>2753.3886631736773</v>
          </cell>
          <cell r="H188">
            <v>78</v>
          </cell>
          <cell r="I188">
            <v>118156.48875000002</v>
          </cell>
          <cell r="K188">
            <v>9460.9295000000002</v>
          </cell>
          <cell r="AB188">
            <v>19301.900093077522</v>
          </cell>
          <cell r="AC188">
            <v>2198.6459648012979</v>
          </cell>
          <cell r="AD188">
            <v>812736.3515344999</v>
          </cell>
          <cell r="AF188">
            <v>7489.2717922000002</v>
          </cell>
          <cell r="AW188">
            <v>220.23417712273945</v>
          </cell>
          <cell r="AX188">
            <v>0.64536446593551544</v>
          </cell>
          <cell r="AY188">
            <v>9505.7103417500002</v>
          </cell>
          <cell r="BA188">
            <v>940.41639229999998</v>
          </cell>
          <cell r="CM188">
            <v>8802.8382758654861</v>
          </cell>
          <cell r="CN188">
            <v>1939.7091316529979</v>
          </cell>
          <cell r="CO188">
            <v>438927.43687375</v>
          </cell>
          <cell r="CQ188">
            <v>1031.2413154999999</v>
          </cell>
        </row>
        <row r="219">
          <cell r="G219">
            <v>54223.68</v>
          </cell>
          <cell r="H219">
            <v>3385.4719999999998</v>
          </cell>
          <cell r="I219">
            <v>7769671.8600000003</v>
          </cell>
          <cell r="AB219">
            <v>43407.013333333329</v>
          </cell>
          <cell r="AC219">
            <v>0</v>
          </cell>
          <cell r="AD219">
            <v>10436391.766666669</v>
          </cell>
          <cell r="AF219">
            <v>608125.85666666657</v>
          </cell>
          <cell r="AW219">
            <v>41600</v>
          </cell>
          <cell r="AX219">
            <v>0</v>
          </cell>
          <cell r="AY219">
            <v>848395.2</v>
          </cell>
        </row>
        <row r="229">
          <cell r="G229">
            <v>101088</v>
          </cell>
          <cell r="H229">
            <v>2808</v>
          </cell>
          <cell r="I229">
            <v>1256149.45</v>
          </cell>
          <cell r="AB229">
            <v>81120</v>
          </cell>
          <cell r="AC229">
            <v>2080</v>
          </cell>
          <cell r="AD229">
            <v>1654266.7600000002</v>
          </cell>
        </row>
        <row r="243">
          <cell r="G243">
            <v>0</v>
          </cell>
          <cell r="I243">
            <v>4281180.753903864</v>
          </cell>
          <cell r="AB243">
            <v>0</v>
          </cell>
          <cell r="AD243">
            <v>5832915.4290961372</v>
          </cell>
          <cell r="AW243">
            <v>0</v>
          </cell>
          <cell r="AY243">
            <v>2675195.6430000002</v>
          </cell>
          <cell r="CO243">
            <v>221647.94500000001</v>
          </cell>
        </row>
        <row r="261">
          <cell r="G261">
            <v>14421.099999999997</v>
          </cell>
          <cell r="I261">
            <v>1020038.325</v>
          </cell>
          <cell r="K261">
            <v>90450.62</v>
          </cell>
          <cell r="AB261">
            <v>586.56999999999994</v>
          </cell>
          <cell r="AD261">
            <v>392392.51</v>
          </cell>
          <cell r="AF261">
            <v>234792</v>
          </cell>
        </row>
        <row r="270">
          <cell r="I270">
            <v>27041.505000000001</v>
          </cell>
          <cell r="AD270">
            <v>27041.505000000001</v>
          </cell>
        </row>
        <row r="292">
          <cell r="G292">
            <v>57.245940356424988</v>
          </cell>
          <cell r="I292">
            <v>522690.23000000004</v>
          </cell>
          <cell r="AB292">
            <v>45.324074596046302</v>
          </cell>
          <cell r="AD292">
            <v>619894.2919999999</v>
          </cell>
          <cell r="AW292">
            <v>5.6841716422781934</v>
          </cell>
          <cell r="AY292">
            <v>57542.378000000004</v>
          </cell>
          <cell r="CM292">
            <v>6.2458134052505283</v>
          </cell>
          <cell r="CO292">
            <v>47891.33</v>
          </cell>
        </row>
        <row r="307">
          <cell r="G307">
            <v>166.99003703192508</v>
          </cell>
          <cell r="AB307">
            <v>127.23200839728395</v>
          </cell>
          <cell r="AC307">
            <v>50</v>
          </cell>
          <cell r="AD307">
            <v>39300.75</v>
          </cell>
          <cell r="AW307">
            <v>13.949801148298448</v>
          </cell>
          <cell r="CM307">
            <v>15.328153422492562</v>
          </cell>
        </row>
        <row r="332">
          <cell r="I332">
            <v>14866.44573360958</v>
          </cell>
          <cell r="J332">
            <v>10346.819164167606</v>
          </cell>
          <cell r="AD332">
            <v>11770.40487435316</v>
          </cell>
          <cell r="AE332">
            <v>7141.2550579520948</v>
          </cell>
          <cell r="AY332">
            <v>1476.14710727635</v>
          </cell>
          <cell r="AZ332">
            <v>1027.3758403575807</v>
          </cell>
          <cell r="CO332">
            <v>1622.0022847609123</v>
          </cell>
          <cell r="CP332">
            <v>1578.849313126793</v>
          </cell>
        </row>
        <row r="340">
          <cell r="G340">
            <v>7.9994327135615704</v>
          </cell>
          <cell r="AB340">
            <v>51.333495140058872</v>
          </cell>
          <cell r="AW340">
            <v>0.79429472730524975</v>
          </cell>
          <cell r="CM340">
            <v>0.87277741907430961</v>
          </cell>
        </row>
        <row r="350">
          <cell r="G350">
            <v>10.249273164250763</v>
          </cell>
          <cell r="H350">
            <v>12.499113614939954</v>
          </cell>
          <cell r="I350">
            <v>47020.800000000003</v>
          </cell>
          <cell r="J350">
            <v>32725.758615900584</v>
          </cell>
          <cell r="AB350">
            <v>22.11479064820043</v>
          </cell>
          <cell r="AC350">
            <v>10.896086156341987</v>
          </cell>
          <cell r="AD350">
            <v>20560.8</v>
          </cell>
          <cell r="AE350">
            <v>12474.500118128726</v>
          </cell>
          <cell r="AW350">
            <v>1.0176901193598513</v>
          </cell>
          <cell r="AY350">
            <v>17968.8</v>
          </cell>
          <cell r="AZ350">
            <v>21572.392801646431</v>
          </cell>
          <cell r="CM350">
            <v>1.1182460681889592</v>
          </cell>
          <cell r="CO350">
            <v>19912.8</v>
          </cell>
          <cell r="CP350">
            <v>19383.024856259955</v>
          </cell>
        </row>
        <row r="366">
          <cell r="G366">
            <v>11.999149070342355</v>
          </cell>
          <cell r="AB366">
            <v>9.5002427100883082</v>
          </cell>
          <cell r="AW366">
            <v>1.1914420909578747</v>
          </cell>
          <cell r="CM366">
            <v>1.3091661286114644</v>
          </cell>
        </row>
        <row r="375">
          <cell r="G375">
            <v>991.50976953988425</v>
          </cell>
          <cell r="I375">
            <v>67230.86725000001</v>
          </cell>
          <cell r="J375">
            <v>46791.656738319129</v>
          </cell>
          <cell r="K375">
            <v>8838.32</v>
          </cell>
          <cell r="AB375">
            <v>769.9958984006488</v>
          </cell>
          <cell r="AD375">
            <v>53219.954515100006</v>
          </cell>
          <cell r="AE375">
            <v>32630.37721470643</v>
          </cell>
          <cell r="AF375">
            <v>6996.4141119999995</v>
          </cell>
          <cell r="AW375">
            <v>95.673493999999977</v>
          </cell>
          <cell r="AY375">
            <v>6682.7482046500008</v>
          </cell>
          <cell r="AZ375">
            <v>7780.8369031717939</v>
          </cell>
          <cell r="BA375">
            <v>878.52900799999998</v>
          </cell>
          <cell r="CM375">
            <v>104.91358999999999</v>
          </cell>
          <cell r="CO375">
            <v>7328.164530250001</v>
          </cell>
          <cell r="CP375">
            <v>6987.2267283872243</v>
          </cell>
          <cell r="CQ375">
            <v>963.37687999999991</v>
          </cell>
        </row>
        <row r="387">
          <cell r="G387">
            <v>6101.666180431921</v>
          </cell>
          <cell r="I387">
            <v>579122.32773006044</v>
          </cell>
          <cell r="J387">
            <v>403060.29472855467</v>
          </cell>
          <cell r="AB387">
            <v>4846.4470304870629</v>
          </cell>
          <cell r="AD387">
            <v>458507.39212808135</v>
          </cell>
          <cell r="AE387">
            <v>278182.2943302131</v>
          </cell>
          <cell r="AW387">
            <v>687.19373418999442</v>
          </cell>
          <cell r="AY387">
            <v>62596.317398304396</v>
          </cell>
          <cell r="AZ387">
            <v>75149.834538352996</v>
          </cell>
          <cell r="CM387">
            <v>606.38619089102463</v>
          </cell>
          <cell r="CO387">
            <v>58092.151493554084</v>
          </cell>
          <cell r="CP387">
            <v>56546.624098729349</v>
          </cell>
        </row>
        <row r="395">
          <cell r="G395">
            <v>875.84987590609126</v>
          </cell>
          <cell r="H395">
            <v>2698.5250000000001</v>
          </cell>
          <cell r="I395">
            <v>36712.19999999999</v>
          </cell>
          <cell r="J395">
            <v>25551.130466913899</v>
          </cell>
        </row>
        <row r="421">
          <cell r="G421">
            <v>8231.8395225344593</v>
          </cell>
          <cell r="H421">
            <v>52</v>
          </cell>
          <cell r="I421">
            <v>400775.36225000001</v>
          </cell>
          <cell r="J421">
            <v>278933.53078198619</v>
          </cell>
          <cell r="K421">
            <v>30978.168750000004</v>
          </cell>
          <cell r="AB421">
            <v>4772.0344564070774</v>
          </cell>
          <cell r="AD421">
            <v>245346.29939710003</v>
          </cell>
          <cell r="AE421">
            <v>149390.32840175738</v>
          </cell>
          <cell r="AF421">
            <v>24522.318382499998</v>
          </cell>
          <cell r="AW421">
            <v>577.13301110273005</v>
          </cell>
          <cell r="AY421">
            <v>30843.790647650003</v>
          </cell>
          <cell r="AZ421">
            <v>36649.311488597392</v>
          </cell>
          <cell r="BA421">
            <v>3079.2299737500002</v>
          </cell>
          <cell r="CM421">
            <v>631.56200995573249</v>
          </cell>
          <cell r="CO421">
            <v>33327.756605250004</v>
          </cell>
          <cell r="CP421">
            <v>29650.89731808424</v>
          </cell>
          <cell r="CQ421">
            <v>3376.6203937499999</v>
          </cell>
        </row>
        <row r="430">
          <cell r="G430">
            <v>17.248776788617135</v>
          </cell>
          <cell r="AB430">
            <v>13.656598895751943</v>
          </cell>
          <cell r="AW430">
            <v>1.7126980057519448</v>
          </cell>
          <cell r="CM430">
            <v>1.88192630987898</v>
          </cell>
        </row>
        <row r="438">
          <cell r="G438">
            <v>2730.16</v>
          </cell>
          <cell r="I438">
            <v>162527.18675000002</v>
          </cell>
          <cell r="J438">
            <v>113116.4395778442</v>
          </cell>
          <cell r="K438">
            <v>15423.994000000001</v>
          </cell>
          <cell r="AB438">
            <v>2161.1946559999997</v>
          </cell>
          <cell r="AD438">
            <v>128656.52103130001</v>
          </cell>
          <cell r="AE438">
            <v>0</v>
          </cell>
          <cell r="AF438">
            <v>12209.633650399999</v>
          </cell>
          <cell r="AW438">
            <v>271.37790399999994</v>
          </cell>
          <cell r="AY438">
            <v>16155.202362950002</v>
          </cell>
          <cell r="AZ438">
            <v>19395.083208875607</v>
          </cell>
          <cell r="BA438">
            <v>1533.1450036000001</v>
          </cell>
          <cell r="CM438">
            <v>297.58744000000002</v>
          </cell>
          <cell r="CO438">
            <v>17715.463355750002</v>
          </cell>
          <cell r="CP438">
            <v>17244.147812696592</v>
          </cell>
          <cell r="CQ438">
            <v>1681.215346</v>
          </cell>
        </row>
        <row r="459">
          <cell r="L459">
            <v>3646550.9999999991</v>
          </cell>
          <cell r="AG459">
            <v>7442496.9999999991</v>
          </cell>
          <cell r="BB459">
            <v>1451432</v>
          </cell>
          <cell r="CR459">
            <v>502712</v>
          </cell>
        </row>
        <row r="463">
          <cell r="L463">
            <v>0.69598472624669472</v>
          </cell>
          <cell r="AG463">
            <v>0.60671277956736736</v>
          </cell>
          <cell r="BB463">
            <v>1.2005472152645937</v>
          </cell>
          <cell r="CR463">
            <v>0.97339524608593253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BS"/>
      <sheetName val="Liabilities &amp; Net Assets BS"/>
      <sheetName val="Statement of Operations"/>
      <sheetName val="Statement of Changes in NA's"/>
      <sheetName val="Statement of Cash Flows-Part I"/>
      <sheetName val="Statement of Cash Flows-Part II"/>
      <sheetName val="ConsolidatING Balance Sheet"/>
      <sheetName val="ConsolidatING P&amp;L"/>
      <sheetName val="ConsolidatING Net Assets"/>
      <sheetName val="Foundation BS Consolidation"/>
      <sheetName val="Foundation P&amp;L Consolidation"/>
      <sheetName val="SGMC Foundation BS"/>
      <sheetName val="SGMC Foundation SCNA"/>
      <sheetName val="WAH Foundation BS"/>
      <sheetName val="WAH Foundation SCNA"/>
      <sheetName val="HRMC Foundation BS"/>
      <sheetName val="HRMC Foundation SCNA "/>
      <sheetName val="BHWS Foundation BS"/>
      <sheetName val="BHWS Foundation SCNA"/>
      <sheetName val="Topside Entries"/>
      <sheetName val="Adjustments Booked to the GL"/>
      <sheetName val="Tab A - Cash Flow Worksheet"/>
      <sheetName val="Tab B - Non Cash Items"/>
      <sheetName val="Tab C-Real &amp; Unreal G&amp;L's"/>
      <sheetName val="Tab D - Patient AR"/>
      <sheetName val="Tab E - PIG Rollforward"/>
      <sheetName val="Tab F - Fixed Asset Rollforward"/>
      <sheetName val="Tab G - Inv in Sub Rollforward"/>
      <sheetName val="Tab H-Land Held for HC Dvlpt"/>
      <sheetName val="Tab I - Def Financing Roll"/>
      <sheetName val="Tab J-Rollforward of Intangible"/>
      <sheetName val="Tab K - Debt Rollforward"/>
      <sheetName val="Tab L - Swap Rollforward"/>
      <sheetName val="Tab M-Restricted Contributions"/>
      <sheetName val="Tab N - Interest Paid"/>
      <sheetName val="Tab O - HRMC Sale Detail"/>
      <sheetName val="Original 2015 AFS P&amp;L"/>
    </sheetNames>
    <sheetDataSet>
      <sheetData sheetId="0"/>
      <sheetData sheetId="1"/>
      <sheetData sheetId="2"/>
      <sheetData sheetId="3"/>
      <sheetData sheetId="4"/>
      <sheetData sheetId="5"/>
      <sheetData sheetId="6"/>
      <sheetData sheetId="7">
        <row r="74">
          <cell r="F74">
            <v>10910205</v>
          </cell>
          <cell r="K74">
            <v>348239281</v>
          </cell>
          <cell r="Q74">
            <v>227124985</v>
          </cell>
          <cell r="Y74">
            <v>5608335</v>
          </cell>
          <cell r="AE74">
            <v>41510023</v>
          </cell>
          <cell r="AK74">
            <v>43087720</v>
          </cell>
        </row>
        <row r="120">
          <cell r="F120">
            <v>278511</v>
          </cell>
          <cell r="K120">
            <v>7437662</v>
          </cell>
          <cell r="Q120">
            <v>4644770</v>
          </cell>
          <cell r="Y120">
            <v>1098002</v>
          </cell>
          <cell r="AE120">
            <v>7591109</v>
          </cell>
          <cell r="AK120">
            <v>3011361</v>
          </cell>
        </row>
        <row r="485">
          <cell r="F485">
            <v>11222811</v>
          </cell>
          <cell r="K485">
            <v>334868690</v>
          </cell>
          <cell r="Q485">
            <v>219120045</v>
          </cell>
          <cell r="Y485">
            <v>10001541</v>
          </cell>
          <cell r="AC485">
            <v>-547786</v>
          </cell>
          <cell r="AE485">
            <v>49658682</v>
          </cell>
          <cell r="AK485">
            <v>43589181</v>
          </cell>
        </row>
        <row r="505">
          <cell r="F505">
            <v>-32347</v>
          </cell>
          <cell r="K505">
            <v>958955</v>
          </cell>
          <cell r="Q505">
            <v>-366429</v>
          </cell>
          <cell r="Y505">
            <v>0</v>
          </cell>
          <cell r="AE505">
            <v>-20155</v>
          </cell>
          <cell r="AK505">
            <v>97526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10 Indirect Exp Calc"/>
      <sheetName val="A30 Healthcare Support"/>
      <sheetName val="Payor Mix"/>
      <sheetName val="B10 Med Students"/>
      <sheetName val="B20 Nurse Students"/>
      <sheetName val="Section C DHA"/>
      <sheetName val="Section i P&amp;L"/>
    </sheetNames>
    <sheetDataSet>
      <sheetData sheetId="0">
        <row r="21">
          <cell r="D21">
            <v>0.86758918108952032</v>
          </cell>
        </row>
      </sheetData>
      <sheetData sheetId="1">
        <row r="20">
          <cell r="G20">
            <v>231115.5867065347</v>
          </cell>
        </row>
      </sheetData>
      <sheetData sheetId="2"/>
      <sheetData sheetId="3"/>
      <sheetData sheetId="4"/>
      <sheetData sheetId="5">
        <row r="303">
          <cell r="D303">
            <v>803841.2</v>
          </cell>
        </row>
        <row r="304">
          <cell r="D304">
            <v>5705538.7497872561</v>
          </cell>
          <cell r="F304">
            <v>254600.4</v>
          </cell>
        </row>
        <row r="305">
          <cell r="D305">
            <v>294651.38221455552</v>
          </cell>
          <cell r="F305">
            <v>20403.22</v>
          </cell>
        </row>
        <row r="307">
          <cell r="D307">
            <v>600535.71</v>
          </cell>
        </row>
        <row r="308">
          <cell r="D308">
            <v>1151995.9296107569</v>
          </cell>
          <cell r="F308">
            <v>546956.04999999993</v>
          </cell>
        </row>
        <row r="309">
          <cell r="D309">
            <v>1087082.92</v>
          </cell>
        </row>
        <row r="312">
          <cell r="D312">
            <v>1611856.32</v>
          </cell>
        </row>
      </sheetData>
      <sheetData sheetId="6">
        <row r="6">
          <cell r="H6">
            <v>2521365</v>
          </cell>
        </row>
        <row r="8">
          <cell r="H8">
            <v>81678210</v>
          </cell>
        </row>
        <row r="9">
          <cell r="H9">
            <v>326652</v>
          </cell>
        </row>
        <row r="12">
          <cell r="H12">
            <v>93884647</v>
          </cell>
        </row>
        <row r="16">
          <cell r="H16">
            <v>6357783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v>0</v>
          </cell>
          <cell r="M976">
            <v>0</v>
          </cell>
          <cell r="N976">
            <v>0</v>
          </cell>
          <cell r="O976">
            <v>0</v>
          </cell>
          <cell r="P976">
            <v>0</v>
          </cell>
          <cell r="Q976">
            <v>0</v>
          </cell>
          <cell r="R976" t="str">
            <v>Augustin, W</v>
          </cell>
          <cell r="S976">
            <v>0</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v>0</v>
          </cell>
          <cell r="M977">
            <v>0</v>
          </cell>
          <cell r="N977">
            <v>0</v>
          </cell>
          <cell r="O977">
            <v>0</v>
          </cell>
          <cell r="P977">
            <v>0</v>
          </cell>
          <cell r="Q977">
            <v>0</v>
          </cell>
          <cell r="R977" t="str">
            <v>Augustin, W</v>
          </cell>
          <cell r="S977">
            <v>0</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v>0</v>
          </cell>
          <cell r="M978">
            <v>0</v>
          </cell>
          <cell r="N978">
            <v>0</v>
          </cell>
          <cell r="O978">
            <v>0</v>
          </cell>
          <cell r="P978">
            <v>0</v>
          </cell>
          <cell r="Q978">
            <v>0</v>
          </cell>
          <cell r="R978" t="str">
            <v>Augustin, W</v>
          </cell>
          <cell r="S978">
            <v>0</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v>0</v>
          </cell>
          <cell r="M979">
            <v>0</v>
          </cell>
          <cell r="N979">
            <v>0</v>
          </cell>
          <cell r="O979">
            <v>0</v>
          </cell>
          <cell r="P979">
            <v>0</v>
          </cell>
          <cell r="Q979">
            <v>0</v>
          </cell>
          <cell r="R979" t="str">
            <v>Augustin, W</v>
          </cell>
          <cell r="S979">
            <v>0</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v>0</v>
          </cell>
          <cell r="M980">
            <v>0</v>
          </cell>
          <cell r="N980">
            <v>0</v>
          </cell>
          <cell r="O980">
            <v>0</v>
          </cell>
          <cell r="P980" t="str">
            <v>Hernandez, Alexis</v>
          </cell>
          <cell r="Q980">
            <v>0</v>
          </cell>
          <cell r="R980" t="str">
            <v>Augustin, W</v>
          </cell>
          <cell r="S980">
            <v>0</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v>0</v>
          </cell>
          <cell r="M981">
            <v>0</v>
          </cell>
          <cell r="N981">
            <v>0</v>
          </cell>
          <cell r="O981">
            <v>0</v>
          </cell>
          <cell r="P981">
            <v>0</v>
          </cell>
          <cell r="Q981">
            <v>0</v>
          </cell>
          <cell r="R981" t="str">
            <v>Augustin, W</v>
          </cell>
          <cell r="S981">
            <v>0</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v>0</v>
          </cell>
          <cell r="M982">
            <v>0</v>
          </cell>
          <cell r="N982">
            <v>0</v>
          </cell>
          <cell r="O982">
            <v>0</v>
          </cell>
          <cell r="P982">
            <v>0</v>
          </cell>
          <cell r="Q982">
            <v>0</v>
          </cell>
          <cell r="R982" t="str">
            <v>Augustin, W</v>
          </cell>
          <cell r="S982">
            <v>0</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v>0</v>
          </cell>
          <cell r="M983">
            <v>0</v>
          </cell>
          <cell r="N983">
            <v>0</v>
          </cell>
          <cell r="O983">
            <v>0</v>
          </cell>
          <cell r="P983">
            <v>0</v>
          </cell>
          <cell r="Q983">
            <v>0</v>
          </cell>
          <cell r="R983" t="str">
            <v>Augustin, W</v>
          </cell>
          <cell r="S983">
            <v>0</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v>0</v>
          </cell>
          <cell r="M984">
            <v>0</v>
          </cell>
          <cell r="N984">
            <v>0</v>
          </cell>
          <cell r="O984">
            <v>0</v>
          </cell>
          <cell r="P984">
            <v>0</v>
          </cell>
          <cell r="Q984">
            <v>0</v>
          </cell>
          <cell r="R984" t="str">
            <v>Augustin, W</v>
          </cell>
          <cell r="S984">
            <v>0</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v>0</v>
          </cell>
          <cell r="M985">
            <v>0</v>
          </cell>
          <cell r="N985">
            <v>0</v>
          </cell>
          <cell r="O985">
            <v>0</v>
          </cell>
          <cell r="P985">
            <v>0</v>
          </cell>
          <cell r="Q985">
            <v>0</v>
          </cell>
          <cell r="R985" t="str">
            <v>Augustin, W</v>
          </cell>
          <cell r="S985">
            <v>0</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v>0</v>
          </cell>
          <cell r="M986">
            <v>0</v>
          </cell>
          <cell r="N986">
            <v>0</v>
          </cell>
          <cell r="O986">
            <v>0</v>
          </cell>
          <cell r="P986">
            <v>0</v>
          </cell>
          <cell r="Q986">
            <v>0</v>
          </cell>
          <cell r="R986" t="str">
            <v>Augustin, W</v>
          </cell>
          <cell r="S986">
            <v>0</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v>0</v>
          </cell>
          <cell r="M987">
            <v>0</v>
          </cell>
          <cell r="N987">
            <v>0</v>
          </cell>
          <cell r="O987">
            <v>0</v>
          </cell>
          <cell r="P987">
            <v>0</v>
          </cell>
          <cell r="Q987">
            <v>0</v>
          </cell>
          <cell r="R987" t="str">
            <v>Augustin, W</v>
          </cell>
          <cell r="S987">
            <v>0</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v>0</v>
          </cell>
          <cell r="M988">
            <v>0</v>
          </cell>
          <cell r="N988">
            <v>0</v>
          </cell>
          <cell r="O988">
            <v>0</v>
          </cell>
          <cell r="P988">
            <v>0</v>
          </cell>
          <cell r="Q988">
            <v>0</v>
          </cell>
          <cell r="R988" t="str">
            <v>Augustin, W</v>
          </cell>
          <cell r="S988">
            <v>0</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v>0</v>
          </cell>
          <cell r="M989">
            <v>0</v>
          </cell>
          <cell r="N989">
            <v>0</v>
          </cell>
          <cell r="O989">
            <v>0</v>
          </cell>
          <cell r="P989">
            <v>0</v>
          </cell>
          <cell r="Q989">
            <v>0</v>
          </cell>
          <cell r="R989" t="str">
            <v>Augustin, W</v>
          </cell>
          <cell r="S989">
            <v>0</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v>0</v>
          </cell>
          <cell r="M990">
            <v>0</v>
          </cell>
          <cell r="N990">
            <v>0</v>
          </cell>
          <cell r="O990">
            <v>0</v>
          </cell>
          <cell r="P990">
            <v>0</v>
          </cell>
          <cell r="Q990">
            <v>0</v>
          </cell>
          <cell r="R990" t="str">
            <v>Augustin, W</v>
          </cell>
          <cell r="S990">
            <v>0</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v>0</v>
          </cell>
          <cell r="M991">
            <v>0</v>
          </cell>
          <cell r="N991">
            <v>0</v>
          </cell>
          <cell r="O991">
            <v>0</v>
          </cell>
          <cell r="P991">
            <v>0</v>
          </cell>
          <cell r="Q991">
            <v>0</v>
          </cell>
          <cell r="R991" t="str">
            <v>Augustin, W</v>
          </cell>
          <cell r="S991">
            <v>0</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v>0</v>
          </cell>
          <cell r="M992">
            <v>0</v>
          </cell>
          <cell r="N992">
            <v>0</v>
          </cell>
          <cell r="O992">
            <v>0</v>
          </cell>
          <cell r="P992">
            <v>0</v>
          </cell>
          <cell r="Q992">
            <v>0</v>
          </cell>
          <cell r="R992" t="str">
            <v>Augustin, W</v>
          </cell>
          <cell r="S992">
            <v>0</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v>0</v>
          </cell>
          <cell r="M993">
            <v>0</v>
          </cell>
          <cell r="N993">
            <v>0</v>
          </cell>
          <cell r="O993">
            <v>0</v>
          </cell>
          <cell r="P993">
            <v>0</v>
          </cell>
          <cell r="Q993">
            <v>0</v>
          </cell>
          <cell r="R993" t="str">
            <v>Augustin, W</v>
          </cell>
          <cell r="S993">
            <v>0</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v>0</v>
          </cell>
          <cell r="M994">
            <v>0</v>
          </cell>
          <cell r="N994">
            <v>0</v>
          </cell>
          <cell r="O994">
            <v>0</v>
          </cell>
          <cell r="P994">
            <v>0</v>
          </cell>
          <cell r="Q994">
            <v>0</v>
          </cell>
          <cell r="R994" t="str">
            <v>Augustin, W</v>
          </cell>
          <cell r="S994">
            <v>0</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v>0</v>
          </cell>
          <cell r="M995">
            <v>0</v>
          </cell>
          <cell r="N995">
            <v>0</v>
          </cell>
          <cell r="O995">
            <v>0</v>
          </cell>
          <cell r="P995">
            <v>0</v>
          </cell>
          <cell r="Q995">
            <v>0</v>
          </cell>
          <cell r="R995" t="str">
            <v>Augustin, W</v>
          </cell>
          <cell r="S995">
            <v>0</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v>0</v>
          </cell>
          <cell r="M996">
            <v>0</v>
          </cell>
          <cell r="N996">
            <v>0</v>
          </cell>
          <cell r="O996">
            <v>0</v>
          </cell>
          <cell r="P996">
            <v>0</v>
          </cell>
          <cell r="Q996">
            <v>0</v>
          </cell>
          <cell r="R996" t="str">
            <v>Augustin, W</v>
          </cell>
          <cell r="S996">
            <v>0</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v>0</v>
          </cell>
          <cell r="M997">
            <v>0</v>
          </cell>
          <cell r="N997">
            <v>0</v>
          </cell>
          <cell r="O997">
            <v>0</v>
          </cell>
          <cell r="P997">
            <v>0</v>
          </cell>
          <cell r="Q997">
            <v>0</v>
          </cell>
          <cell r="R997" t="str">
            <v>Augustin, W</v>
          </cell>
          <cell r="S997">
            <v>0</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v>0</v>
          </cell>
          <cell r="M998">
            <v>0</v>
          </cell>
          <cell r="N998">
            <v>0</v>
          </cell>
          <cell r="O998">
            <v>0</v>
          </cell>
          <cell r="P998">
            <v>0</v>
          </cell>
          <cell r="Q998">
            <v>0</v>
          </cell>
          <cell r="R998" t="str">
            <v>Augustin, W</v>
          </cell>
          <cell r="S998">
            <v>0</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v>0</v>
          </cell>
          <cell r="M999">
            <v>0</v>
          </cell>
          <cell r="N999">
            <v>0</v>
          </cell>
          <cell r="O999">
            <v>0</v>
          </cell>
          <cell r="P999">
            <v>0</v>
          </cell>
          <cell r="Q999">
            <v>0</v>
          </cell>
          <cell r="R999" t="str">
            <v>Augustin, W</v>
          </cell>
          <cell r="S999">
            <v>0</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v>0</v>
          </cell>
          <cell r="M1000">
            <v>0</v>
          </cell>
          <cell r="N1000">
            <v>0</v>
          </cell>
          <cell r="O1000">
            <v>0</v>
          </cell>
          <cell r="P1000">
            <v>0</v>
          </cell>
          <cell r="Q1000">
            <v>0</v>
          </cell>
          <cell r="R1000" t="str">
            <v>Augustin, W</v>
          </cell>
          <cell r="S1000">
            <v>0</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v>0</v>
          </cell>
          <cell r="M1001">
            <v>0</v>
          </cell>
          <cell r="N1001">
            <v>0</v>
          </cell>
          <cell r="O1001">
            <v>0</v>
          </cell>
          <cell r="P1001">
            <v>0</v>
          </cell>
          <cell r="Q1001">
            <v>0</v>
          </cell>
          <cell r="R1001" t="str">
            <v>Augustin, W</v>
          </cell>
          <cell r="S1001">
            <v>0</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v>0</v>
          </cell>
          <cell r="M1002">
            <v>0</v>
          </cell>
          <cell r="N1002">
            <v>0</v>
          </cell>
          <cell r="O1002">
            <v>0</v>
          </cell>
          <cell r="P1002">
            <v>0</v>
          </cell>
          <cell r="Q1002">
            <v>0</v>
          </cell>
          <cell r="R1002" t="str">
            <v>Augustin, W</v>
          </cell>
          <cell r="S1002">
            <v>0</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v>0</v>
          </cell>
          <cell r="M1003">
            <v>0</v>
          </cell>
          <cell r="N1003">
            <v>0</v>
          </cell>
          <cell r="O1003">
            <v>0</v>
          </cell>
          <cell r="P1003">
            <v>0</v>
          </cell>
          <cell r="Q1003">
            <v>0</v>
          </cell>
          <cell r="R1003" t="str">
            <v>Augustin, W</v>
          </cell>
          <cell r="S1003">
            <v>0</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v>0</v>
          </cell>
          <cell r="M1004">
            <v>0</v>
          </cell>
          <cell r="N1004">
            <v>0</v>
          </cell>
          <cell r="O1004">
            <v>0</v>
          </cell>
          <cell r="P1004">
            <v>0</v>
          </cell>
          <cell r="Q1004">
            <v>0</v>
          </cell>
          <cell r="R1004" t="str">
            <v>Augustin, W</v>
          </cell>
          <cell r="S1004">
            <v>0</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v>0</v>
          </cell>
          <cell r="M1005">
            <v>0</v>
          </cell>
          <cell r="N1005">
            <v>0</v>
          </cell>
          <cell r="O1005">
            <v>0</v>
          </cell>
          <cell r="P1005">
            <v>0</v>
          </cell>
          <cell r="Q1005">
            <v>0</v>
          </cell>
          <cell r="R1005" t="str">
            <v>Augustin, W</v>
          </cell>
          <cell r="S1005">
            <v>0</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v>0</v>
          </cell>
          <cell r="M1006">
            <v>0</v>
          </cell>
          <cell r="N1006">
            <v>0</v>
          </cell>
          <cell r="O1006">
            <v>0</v>
          </cell>
          <cell r="P1006">
            <v>0</v>
          </cell>
          <cell r="Q1006">
            <v>0</v>
          </cell>
          <cell r="R1006" t="str">
            <v>Augustin, W</v>
          </cell>
          <cell r="S1006">
            <v>0</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v>0</v>
          </cell>
          <cell r="M1007">
            <v>0</v>
          </cell>
          <cell r="N1007">
            <v>0</v>
          </cell>
          <cell r="O1007">
            <v>0</v>
          </cell>
          <cell r="P1007">
            <v>0</v>
          </cell>
          <cell r="Q1007">
            <v>0</v>
          </cell>
          <cell r="R1007" t="str">
            <v>Augustin, W</v>
          </cell>
          <cell r="S1007">
            <v>0</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v>0</v>
          </cell>
          <cell r="M1008">
            <v>0</v>
          </cell>
          <cell r="N1008">
            <v>0</v>
          </cell>
          <cell r="O1008">
            <v>0</v>
          </cell>
          <cell r="P1008">
            <v>0</v>
          </cell>
          <cell r="Q1008">
            <v>0</v>
          </cell>
          <cell r="R1008" t="str">
            <v>Augustin, W</v>
          </cell>
          <cell r="S1008">
            <v>0</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v>0</v>
          </cell>
          <cell r="M1009">
            <v>0</v>
          </cell>
          <cell r="N1009">
            <v>0</v>
          </cell>
          <cell r="O1009">
            <v>0</v>
          </cell>
          <cell r="P1009">
            <v>0</v>
          </cell>
          <cell r="Q1009">
            <v>0</v>
          </cell>
          <cell r="R1009" t="str">
            <v>Augustin, W</v>
          </cell>
          <cell r="S1009">
            <v>0</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v>0</v>
          </cell>
          <cell r="M1010">
            <v>0</v>
          </cell>
          <cell r="N1010">
            <v>0</v>
          </cell>
          <cell r="O1010">
            <v>0</v>
          </cell>
          <cell r="P1010">
            <v>0</v>
          </cell>
          <cell r="Q1010">
            <v>0</v>
          </cell>
          <cell r="R1010" t="str">
            <v>Augustin, W</v>
          </cell>
          <cell r="S1010">
            <v>0</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v>0</v>
          </cell>
          <cell r="M1011">
            <v>0</v>
          </cell>
          <cell r="N1011">
            <v>0</v>
          </cell>
          <cell r="O1011">
            <v>0</v>
          </cell>
          <cell r="P1011">
            <v>0</v>
          </cell>
          <cell r="Q1011">
            <v>0</v>
          </cell>
          <cell r="R1011" t="str">
            <v>Augustin, W</v>
          </cell>
          <cell r="S1011">
            <v>0</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v>0</v>
          </cell>
          <cell r="M1012">
            <v>0</v>
          </cell>
          <cell r="N1012">
            <v>0</v>
          </cell>
          <cell r="O1012">
            <v>0</v>
          </cell>
          <cell r="P1012">
            <v>0</v>
          </cell>
          <cell r="Q1012">
            <v>0</v>
          </cell>
          <cell r="R1012" t="str">
            <v>Augustin, W</v>
          </cell>
          <cell r="S1012">
            <v>0</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v>0</v>
          </cell>
          <cell r="M1013">
            <v>0</v>
          </cell>
          <cell r="N1013">
            <v>0</v>
          </cell>
          <cell r="O1013">
            <v>0</v>
          </cell>
          <cell r="P1013">
            <v>0</v>
          </cell>
          <cell r="Q1013">
            <v>0</v>
          </cell>
          <cell r="R1013" t="str">
            <v>Augustin, W</v>
          </cell>
          <cell r="S1013">
            <v>0</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v>0</v>
          </cell>
          <cell r="M1014">
            <v>0</v>
          </cell>
          <cell r="N1014">
            <v>0</v>
          </cell>
          <cell r="O1014">
            <v>0</v>
          </cell>
          <cell r="P1014">
            <v>0</v>
          </cell>
          <cell r="Q1014">
            <v>0</v>
          </cell>
          <cell r="R1014" t="str">
            <v>Augustin, W</v>
          </cell>
          <cell r="S1014">
            <v>0</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v>0</v>
          </cell>
          <cell r="M1015">
            <v>0</v>
          </cell>
          <cell r="N1015">
            <v>0</v>
          </cell>
          <cell r="O1015">
            <v>0</v>
          </cell>
          <cell r="P1015">
            <v>0</v>
          </cell>
          <cell r="Q1015">
            <v>0</v>
          </cell>
          <cell r="R1015" t="str">
            <v>Augustin, W</v>
          </cell>
          <cell r="S1015">
            <v>0</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v>0</v>
          </cell>
          <cell r="M1016">
            <v>0</v>
          </cell>
          <cell r="N1016">
            <v>0</v>
          </cell>
          <cell r="O1016">
            <v>0</v>
          </cell>
          <cell r="P1016">
            <v>0</v>
          </cell>
          <cell r="Q1016">
            <v>0</v>
          </cell>
          <cell r="R1016" t="str">
            <v>Augustin, W</v>
          </cell>
          <cell r="S1016">
            <v>0</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v>0</v>
          </cell>
          <cell r="M1017">
            <v>0</v>
          </cell>
          <cell r="N1017">
            <v>0</v>
          </cell>
          <cell r="O1017">
            <v>0</v>
          </cell>
          <cell r="P1017">
            <v>0</v>
          </cell>
          <cell r="Q1017">
            <v>0</v>
          </cell>
          <cell r="R1017" t="str">
            <v>Augustin, W</v>
          </cell>
          <cell r="S1017">
            <v>0</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v>0</v>
          </cell>
          <cell r="M1018">
            <v>0</v>
          </cell>
          <cell r="N1018">
            <v>0</v>
          </cell>
          <cell r="O1018">
            <v>0</v>
          </cell>
          <cell r="P1018">
            <v>0</v>
          </cell>
          <cell r="Q1018">
            <v>0</v>
          </cell>
          <cell r="R1018" t="str">
            <v>Augustin, W</v>
          </cell>
          <cell r="S1018">
            <v>0</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v>0</v>
          </cell>
          <cell r="M1019">
            <v>0</v>
          </cell>
          <cell r="N1019">
            <v>0</v>
          </cell>
          <cell r="O1019">
            <v>0</v>
          </cell>
          <cell r="P1019">
            <v>0</v>
          </cell>
          <cell r="Q1019">
            <v>0</v>
          </cell>
          <cell r="R1019" t="str">
            <v>Augustin, W</v>
          </cell>
          <cell r="S1019">
            <v>0</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v>0</v>
          </cell>
          <cell r="M1020">
            <v>0</v>
          </cell>
          <cell r="N1020">
            <v>0</v>
          </cell>
          <cell r="O1020">
            <v>0</v>
          </cell>
          <cell r="P1020">
            <v>0</v>
          </cell>
          <cell r="Q1020">
            <v>0</v>
          </cell>
          <cell r="R1020" t="str">
            <v>Augustin, W</v>
          </cell>
          <cell r="S1020">
            <v>0</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v>0</v>
          </cell>
          <cell r="M1021">
            <v>0</v>
          </cell>
          <cell r="N1021">
            <v>0</v>
          </cell>
          <cell r="O1021">
            <v>0</v>
          </cell>
          <cell r="P1021">
            <v>0</v>
          </cell>
          <cell r="Q1021">
            <v>0</v>
          </cell>
          <cell r="R1021" t="str">
            <v>Augustin, W</v>
          </cell>
          <cell r="S1021">
            <v>0</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v>0</v>
          </cell>
          <cell r="M1022">
            <v>0</v>
          </cell>
          <cell r="N1022">
            <v>0</v>
          </cell>
          <cell r="O1022">
            <v>0</v>
          </cell>
          <cell r="P1022">
            <v>0</v>
          </cell>
          <cell r="Q1022">
            <v>0</v>
          </cell>
          <cell r="R1022" t="str">
            <v>Augustin, W</v>
          </cell>
          <cell r="S1022">
            <v>0</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v>0</v>
          </cell>
          <cell r="M136">
            <v>0</v>
          </cell>
          <cell r="N136">
            <v>0</v>
          </cell>
          <cell r="O136">
            <v>0</v>
          </cell>
          <cell r="P136">
            <v>0</v>
          </cell>
          <cell r="Q136">
            <v>0</v>
          </cell>
          <cell r="R136" t="str">
            <v>Augustin, W</v>
          </cell>
          <cell r="S136">
            <v>0</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v>0</v>
          </cell>
          <cell r="M137">
            <v>0</v>
          </cell>
          <cell r="N137">
            <v>0</v>
          </cell>
          <cell r="O137">
            <v>0</v>
          </cell>
          <cell r="P137">
            <v>0</v>
          </cell>
          <cell r="Q137">
            <v>0</v>
          </cell>
          <cell r="R137" t="str">
            <v>Augustin, W</v>
          </cell>
          <cell r="S137">
            <v>0</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v>0</v>
          </cell>
          <cell r="M138">
            <v>0</v>
          </cell>
          <cell r="N138">
            <v>0</v>
          </cell>
          <cell r="O138">
            <v>0</v>
          </cell>
          <cell r="P138">
            <v>0</v>
          </cell>
          <cell r="Q138">
            <v>0</v>
          </cell>
          <cell r="R138" t="str">
            <v>Augustin, W</v>
          </cell>
          <cell r="S138">
            <v>0</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v>0</v>
          </cell>
          <cell r="M139">
            <v>0</v>
          </cell>
          <cell r="N139">
            <v>0</v>
          </cell>
          <cell r="O139">
            <v>0</v>
          </cell>
          <cell r="P139">
            <v>0</v>
          </cell>
          <cell r="Q139">
            <v>0</v>
          </cell>
          <cell r="R139" t="str">
            <v>Augustin, W</v>
          </cell>
          <cell r="S139">
            <v>0</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v>0</v>
          </cell>
          <cell r="M140" t="str">
            <v>Zanti, Laura</v>
          </cell>
          <cell r="N140" t="str">
            <v>Rorison, David</v>
          </cell>
          <cell r="O140">
            <v>0</v>
          </cell>
          <cell r="P140">
            <v>0</v>
          </cell>
          <cell r="Q140">
            <v>0</v>
          </cell>
          <cell r="R140" t="str">
            <v>Augustin, W</v>
          </cell>
          <cell r="S140">
            <v>0</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v>0</v>
          </cell>
          <cell r="M208">
            <v>0</v>
          </cell>
          <cell r="N208">
            <v>0</v>
          </cell>
          <cell r="O208">
            <v>0</v>
          </cell>
          <cell r="P208">
            <v>0</v>
          </cell>
          <cell r="Q208">
            <v>0</v>
          </cell>
          <cell r="R208" t="str">
            <v>Augustin, W</v>
          </cell>
          <cell r="S208">
            <v>0</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v>0</v>
          </cell>
          <cell r="M209">
            <v>0</v>
          </cell>
          <cell r="N209">
            <v>0</v>
          </cell>
          <cell r="O209">
            <v>0</v>
          </cell>
          <cell r="P209">
            <v>0</v>
          </cell>
          <cell r="Q209">
            <v>0</v>
          </cell>
          <cell r="R209" t="str">
            <v>Augustin, W</v>
          </cell>
          <cell r="S209">
            <v>0</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v>0</v>
          </cell>
          <cell r="M210">
            <v>0</v>
          </cell>
          <cell r="N210">
            <v>0</v>
          </cell>
          <cell r="O210">
            <v>0</v>
          </cell>
          <cell r="P210">
            <v>0</v>
          </cell>
          <cell r="Q210">
            <v>0</v>
          </cell>
          <cell r="R210" t="str">
            <v>Augustin, W</v>
          </cell>
          <cell r="S210">
            <v>0</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v>0</v>
          </cell>
          <cell r="M211">
            <v>0</v>
          </cell>
          <cell r="N211">
            <v>0</v>
          </cell>
          <cell r="O211">
            <v>0</v>
          </cell>
          <cell r="P211">
            <v>0</v>
          </cell>
          <cell r="Q211">
            <v>0</v>
          </cell>
          <cell r="R211" t="str">
            <v>Augustin, W</v>
          </cell>
          <cell r="S211">
            <v>0</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v>0</v>
          </cell>
          <cell r="M212">
            <v>0</v>
          </cell>
          <cell r="N212">
            <v>0</v>
          </cell>
          <cell r="O212">
            <v>0</v>
          </cell>
          <cell r="P212">
            <v>0</v>
          </cell>
          <cell r="Q212">
            <v>0</v>
          </cell>
          <cell r="R212" t="str">
            <v>Augustin, W</v>
          </cell>
          <cell r="S212">
            <v>0</v>
          </cell>
          <cell r="T212" t="str">
            <v>Franey, Hank</v>
          </cell>
          <cell r="U212" t="str">
            <v>Schimpff, Stephen</v>
          </cell>
          <cell r="V212" t="str">
            <v>Ashworth, John</v>
          </cell>
          <cell r="W212" t="str">
            <v>Inactive</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14 Summary_EBCA"/>
      <sheetName val="Community Assist GL"/>
      <sheetName val="SPONSORSHIPS"/>
      <sheetName val="HELA"/>
      <sheetName val="Carolyn's Pgms"/>
      <sheetName val="SAP Summary"/>
      <sheetName val="SAP Detail"/>
      <sheetName val="SAP Budget"/>
      <sheetName val="Absence &amp; Attendance Detail"/>
      <sheetName val="Employ Master Data"/>
      <sheetName val="FY2014 Budget Load"/>
      <sheetName val="FY2013 Schedule A "/>
    </sheetNames>
    <sheetDataSet>
      <sheetData sheetId="0" refreshError="1"/>
      <sheetData sheetId="1" refreshError="1"/>
      <sheetData sheetId="2" refreshError="1"/>
      <sheetData sheetId="3" refreshError="1"/>
      <sheetData sheetId="4" refreshError="1"/>
      <sheetData sheetId="5">
        <row r="4">
          <cell r="C4" t="str">
            <v>453013</v>
          </cell>
          <cell r="E4">
            <v>0</v>
          </cell>
          <cell r="F4">
            <v>0</v>
          </cell>
          <cell r="G4">
            <v>0</v>
          </cell>
          <cell r="H4">
            <v>0</v>
          </cell>
          <cell r="I4">
            <v>0</v>
          </cell>
          <cell r="J4">
            <v>-1575</v>
          </cell>
          <cell r="K4">
            <v>0</v>
          </cell>
          <cell r="L4">
            <v>0</v>
          </cell>
          <cell r="M4">
            <v>0</v>
          </cell>
          <cell r="N4">
            <v>0</v>
          </cell>
          <cell r="O4">
            <v>0</v>
          </cell>
          <cell r="P4">
            <v>0</v>
          </cell>
        </row>
        <row r="5">
          <cell r="C5" t="str">
            <v>453015</v>
          </cell>
          <cell r="E5">
            <v>0</v>
          </cell>
          <cell r="F5">
            <v>0</v>
          </cell>
          <cell r="G5">
            <v>0</v>
          </cell>
          <cell r="H5">
            <v>0</v>
          </cell>
          <cell r="I5">
            <v>0</v>
          </cell>
          <cell r="J5">
            <v>0</v>
          </cell>
          <cell r="K5">
            <v>0</v>
          </cell>
          <cell r="L5">
            <v>0</v>
          </cell>
          <cell r="M5">
            <v>0</v>
          </cell>
          <cell r="N5">
            <v>-900</v>
          </cell>
          <cell r="O5">
            <v>0</v>
          </cell>
          <cell r="P5">
            <v>0</v>
          </cell>
        </row>
        <row r="6">
          <cell r="C6" t="str">
            <v>610001</v>
          </cell>
          <cell r="E6">
            <v>12079.35</v>
          </cell>
          <cell r="F6">
            <v>12076.67</v>
          </cell>
          <cell r="G6">
            <v>17385.61</v>
          </cell>
          <cell r="H6">
            <v>17990.82</v>
          </cell>
          <cell r="I6">
            <v>15019.84</v>
          </cell>
          <cell r="J6">
            <v>12553.64</v>
          </cell>
          <cell r="K6">
            <v>12874.39</v>
          </cell>
          <cell r="L6">
            <v>15071.73</v>
          </cell>
          <cell r="M6">
            <v>15296.03</v>
          </cell>
          <cell r="N6">
            <v>11871.28</v>
          </cell>
          <cell r="O6">
            <v>16264.81</v>
          </cell>
          <cell r="P6">
            <v>12876.6</v>
          </cell>
        </row>
        <row r="7">
          <cell r="C7" t="str">
            <v>610019</v>
          </cell>
          <cell r="E7">
            <v>3527.32</v>
          </cell>
          <cell r="F7">
            <v>2063.6</v>
          </cell>
          <cell r="G7">
            <v>1444.1</v>
          </cell>
          <cell r="H7">
            <v>1063.52</v>
          </cell>
          <cell r="I7">
            <v>704.54</v>
          </cell>
          <cell r="J7">
            <v>1530.46</v>
          </cell>
          <cell r="K7">
            <v>1347.68</v>
          </cell>
          <cell r="L7">
            <v>-35.78</v>
          </cell>
          <cell r="M7">
            <v>889.51</v>
          </cell>
          <cell r="N7">
            <v>3792.16</v>
          </cell>
          <cell r="O7">
            <v>-320.70999999999998</v>
          </cell>
          <cell r="P7">
            <v>1649.75</v>
          </cell>
        </row>
        <row r="8">
          <cell r="C8" t="str">
            <v>610020</v>
          </cell>
          <cell r="E8">
            <v>58.42</v>
          </cell>
          <cell r="F8">
            <v>279.39999999999998</v>
          </cell>
          <cell r="G8">
            <v>76.2</v>
          </cell>
          <cell r="H8">
            <v>280.81</v>
          </cell>
          <cell r="I8">
            <v>0</v>
          </cell>
          <cell r="J8">
            <v>482.88</v>
          </cell>
          <cell r="K8">
            <v>344.91</v>
          </cell>
          <cell r="L8">
            <v>-103.47</v>
          </cell>
          <cell r="M8">
            <v>0</v>
          </cell>
          <cell r="N8">
            <v>0</v>
          </cell>
          <cell r="O8">
            <v>241.44</v>
          </cell>
          <cell r="P8">
            <v>406.11</v>
          </cell>
        </row>
        <row r="9">
          <cell r="C9" t="str">
            <v>610021</v>
          </cell>
          <cell r="E9">
            <v>876.16</v>
          </cell>
          <cell r="F9">
            <v>0</v>
          </cell>
          <cell r="G9">
            <v>873.2</v>
          </cell>
          <cell r="H9">
            <v>0</v>
          </cell>
          <cell r="I9">
            <v>0</v>
          </cell>
          <cell r="J9">
            <v>1618.56</v>
          </cell>
          <cell r="K9">
            <v>1618.54</v>
          </cell>
          <cell r="L9">
            <v>-313.26</v>
          </cell>
          <cell r="M9">
            <v>0</v>
          </cell>
          <cell r="N9">
            <v>0</v>
          </cell>
          <cell r="O9">
            <v>0</v>
          </cell>
          <cell r="P9">
            <v>730.96</v>
          </cell>
        </row>
        <row r="10">
          <cell r="C10" t="str">
            <v>610022</v>
          </cell>
          <cell r="E10">
            <v>253.11</v>
          </cell>
          <cell r="F10">
            <v>140.61000000000001</v>
          </cell>
          <cell r="G10">
            <v>992.62</v>
          </cell>
          <cell r="H10">
            <v>0</v>
          </cell>
          <cell r="I10">
            <v>0</v>
          </cell>
          <cell r="J10">
            <v>0</v>
          </cell>
          <cell r="K10">
            <v>0</v>
          </cell>
          <cell r="L10">
            <v>0</v>
          </cell>
          <cell r="M10">
            <v>0</v>
          </cell>
          <cell r="N10">
            <v>0</v>
          </cell>
          <cell r="O10">
            <v>0</v>
          </cell>
          <cell r="P10">
            <v>0</v>
          </cell>
        </row>
        <row r="11">
          <cell r="C11" t="str">
            <v>612004</v>
          </cell>
          <cell r="E11">
            <v>816.15</v>
          </cell>
          <cell r="F11">
            <v>1314.9</v>
          </cell>
          <cell r="G11">
            <v>0</v>
          </cell>
          <cell r="H11">
            <v>0</v>
          </cell>
          <cell r="I11">
            <v>0</v>
          </cell>
          <cell r="J11">
            <v>0</v>
          </cell>
          <cell r="K11">
            <v>71.25</v>
          </cell>
          <cell r="L11">
            <v>0</v>
          </cell>
          <cell r="M11">
            <v>0</v>
          </cell>
          <cell r="N11">
            <v>0</v>
          </cell>
          <cell r="O11">
            <v>0</v>
          </cell>
          <cell r="P11">
            <v>498.75</v>
          </cell>
        </row>
        <row r="12">
          <cell r="C12" t="str">
            <v>620002</v>
          </cell>
          <cell r="E12">
            <v>65.290000000000006</v>
          </cell>
          <cell r="F12">
            <v>105.2</v>
          </cell>
          <cell r="G12">
            <v>0</v>
          </cell>
          <cell r="H12">
            <v>0</v>
          </cell>
          <cell r="I12">
            <v>0</v>
          </cell>
          <cell r="J12">
            <v>0</v>
          </cell>
          <cell r="K12">
            <v>5.7</v>
          </cell>
          <cell r="L12">
            <v>0</v>
          </cell>
          <cell r="M12">
            <v>0</v>
          </cell>
          <cell r="N12">
            <v>0</v>
          </cell>
          <cell r="O12">
            <v>0</v>
          </cell>
          <cell r="P12">
            <v>39.9</v>
          </cell>
        </row>
        <row r="13">
          <cell r="C13" t="str">
            <v>620011</v>
          </cell>
          <cell r="E13">
            <v>5374.22</v>
          </cell>
          <cell r="F13">
            <v>4659.2700000000004</v>
          </cell>
          <cell r="G13">
            <v>6646.95</v>
          </cell>
          <cell r="H13">
            <v>6187.25</v>
          </cell>
          <cell r="I13">
            <v>5031.8</v>
          </cell>
          <cell r="J13">
            <v>5179.38</v>
          </cell>
          <cell r="K13">
            <v>5179.3900000000003</v>
          </cell>
          <cell r="L13">
            <v>4678.1499999999996</v>
          </cell>
          <cell r="M13">
            <v>5179.37</v>
          </cell>
          <cell r="N13">
            <v>5012.3100000000004</v>
          </cell>
          <cell r="O13">
            <v>5179.38</v>
          </cell>
          <cell r="P13">
            <v>5012.3</v>
          </cell>
        </row>
        <row r="14">
          <cell r="C14" t="str">
            <v>631003</v>
          </cell>
          <cell r="E14">
            <v>0</v>
          </cell>
          <cell r="F14">
            <v>56.58</v>
          </cell>
          <cell r="G14">
            <v>-56.58</v>
          </cell>
          <cell r="H14">
            <v>0</v>
          </cell>
          <cell r="I14">
            <v>0</v>
          </cell>
          <cell r="J14">
            <v>0</v>
          </cell>
          <cell r="K14">
            <v>0</v>
          </cell>
          <cell r="L14">
            <v>0</v>
          </cell>
          <cell r="M14">
            <v>0</v>
          </cell>
          <cell r="N14">
            <v>0</v>
          </cell>
          <cell r="O14">
            <v>0</v>
          </cell>
          <cell r="P14">
            <v>0</v>
          </cell>
        </row>
        <row r="15">
          <cell r="C15" t="str">
            <v>633032</v>
          </cell>
          <cell r="E15">
            <v>7111.34</v>
          </cell>
          <cell r="F15">
            <v>676.74</v>
          </cell>
          <cell r="G15">
            <v>57.94</v>
          </cell>
          <cell r="H15">
            <v>180</v>
          </cell>
          <cell r="I15">
            <v>0</v>
          </cell>
          <cell r="J15">
            <v>136.35</v>
          </cell>
          <cell r="K15">
            <v>124</v>
          </cell>
          <cell r="L15">
            <v>-42.3</v>
          </cell>
          <cell r="M15">
            <v>-0.61</v>
          </cell>
          <cell r="N15">
            <v>177.08</v>
          </cell>
          <cell r="O15">
            <v>128</v>
          </cell>
          <cell r="P15">
            <v>208.94</v>
          </cell>
        </row>
        <row r="16">
          <cell r="C16" t="str">
            <v>633037</v>
          </cell>
          <cell r="E16">
            <v>0</v>
          </cell>
          <cell r="F16">
            <v>0</v>
          </cell>
          <cell r="G16">
            <v>295</v>
          </cell>
          <cell r="H16">
            <v>0</v>
          </cell>
          <cell r="I16">
            <v>0</v>
          </cell>
          <cell r="J16">
            <v>0</v>
          </cell>
          <cell r="K16">
            <v>0</v>
          </cell>
          <cell r="L16">
            <v>0</v>
          </cell>
          <cell r="M16">
            <v>0</v>
          </cell>
          <cell r="N16">
            <v>0</v>
          </cell>
          <cell r="O16">
            <v>-295</v>
          </cell>
          <cell r="P16">
            <v>0</v>
          </cell>
        </row>
        <row r="17">
          <cell r="C17" t="str">
            <v>637001</v>
          </cell>
          <cell r="E17">
            <v>0</v>
          </cell>
          <cell r="F17">
            <v>97.27</v>
          </cell>
          <cell r="G17">
            <v>0</v>
          </cell>
          <cell r="H17">
            <v>30</v>
          </cell>
          <cell r="I17">
            <v>0</v>
          </cell>
          <cell r="J17">
            <v>0</v>
          </cell>
          <cell r="K17">
            <v>0</v>
          </cell>
          <cell r="L17">
            <v>0</v>
          </cell>
          <cell r="M17">
            <v>0</v>
          </cell>
          <cell r="N17">
            <v>0</v>
          </cell>
          <cell r="O17">
            <v>0</v>
          </cell>
          <cell r="P17">
            <v>0</v>
          </cell>
        </row>
        <row r="18">
          <cell r="C18" t="str">
            <v>640202</v>
          </cell>
          <cell r="E18">
            <v>0</v>
          </cell>
          <cell r="F18">
            <v>0</v>
          </cell>
          <cell r="G18">
            <v>0</v>
          </cell>
          <cell r="H18">
            <v>0</v>
          </cell>
          <cell r="I18">
            <v>264.47000000000003</v>
          </cell>
          <cell r="J18">
            <v>0</v>
          </cell>
          <cell r="K18">
            <v>0</v>
          </cell>
          <cell r="L18">
            <v>0</v>
          </cell>
          <cell r="M18">
            <v>0</v>
          </cell>
          <cell r="N18">
            <v>0</v>
          </cell>
          <cell r="O18">
            <v>0</v>
          </cell>
          <cell r="P18">
            <v>0</v>
          </cell>
        </row>
        <row r="19">
          <cell r="C19" t="str">
            <v>640281</v>
          </cell>
          <cell r="E19">
            <v>0</v>
          </cell>
          <cell r="F19">
            <v>0</v>
          </cell>
          <cell r="G19">
            <v>0</v>
          </cell>
          <cell r="H19">
            <v>0</v>
          </cell>
          <cell r="I19">
            <v>0</v>
          </cell>
          <cell r="J19">
            <v>0</v>
          </cell>
          <cell r="K19">
            <v>0</v>
          </cell>
          <cell r="L19">
            <v>0</v>
          </cell>
          <cell r="M19">
            <v>224.7</v>
          </cell>
          <cell r="N19">
            <v>0</v>
          </cell>
          <cell r="O19">
            <v>0</v>
          </cell>
          <cell r="P19">
            <v>0</v>
          </cell>
        </row>
        <row r="20">
          <cell r="C20" t="str">
            <v>640282</v>
          </cell>
          <cell r="E20">
            <v>211.58</v>
          </cell>
          <cell r="F20">
            <v>245.34</v>
          </cell>
          <cell r="G20">
            <v>272.82</v>
          </cell>
          <cell r="H20">
            <v>47.76</v>
          </cell>
          <cell r="I20">
            <v>283.14999999999998</v>
          </cell>
          <cell r="J20">
            <v>47.76</v>
          </cell>
          <cell r="K20">
            <v>55.72</v>
          </cell>
          <cell r="L20">
            <v>31.84</v>
          </cell>
          <cell r="M20">
            <v>66.040000000000006</v>
          </cell>
          <cell r="N20">
            <v>79.599999999999994</v>
          </cell>
          <cell r="O20">
            <v>31.84</v>
          </cell>
          <cell r="P20">
            <v>63.68</v>
          </cell>
        </row>
        <row r="21">
          <cell r="C21" t="str">
            <v>640301</v>
          </cell>
          <cell r="E21">
            <v>0</v>
          </cell>
          <cell r="F21">
            <v>0</v>
          </cell>
          <cell r="G21">
            <v>0</v>
          </cell>
          <cell r="H21">
            <v>0</v>
          </cell>
          <cell r="I21">
            <v>0</v>
          </cell>
          <cell r="J21">
            <v>4542.5</v>
          </cell>
          <cell r="K21">
            <v>0</v>
          </cell>
          <cell r="L21">
            <v>3678.95</v>
          </cell>
          <cell r="M21">
            <v>0</v>
          </cell>
          <cell r="N21">
            <v>0</v>
          </cell>
          <cell r="O21">
            <v>0</v>
          </cell>
          <cell r="P21">
            <v>160</v>
          </cell>
        </row>
        <row r="22">
          <cell r="C22" t="str">
            <v>640304</v>
          </cell>
          <cell r="E22">
            <v>0</v>
          </cell>
          <cell r="F22">
            <v>0</v>
          </cell>
          <cell r="G22">
            <v>3500</v>
          </cell>
          <cell r="H22">
            <v>612.5</v>
          </cell>
          <cell r="I22">
            <v>0</v>
          </cell>
          <cell r="J22">
            <v>0</v>
          </cell>
          <cell r="K22">
            <v>0</v>
          </cell>
          <cell r="L22">
            <v>0</v>
          </cell>
          <cell r="M22">
            <v>0</v>
          </cell>
          <cell r="N22">
            <v>0</v>
          </cell>
          <cell r="O22">
            <v>0</v>
          </cell>
          <cell r="P22">
            <v>0</v>
          </cell>
        </row>
        <row r="23">
          <cell r="C23" t="str">
            <v>640381</v>
          </cell>
          <cell r="E23">
            <v>0</v>
          </cell>
          <cell r="F23">
            <v>0</v>
          </cell>
          <cell r="G23">
            <v>1000</v>
          </cell>
          <cell r="H23">
            <v>0</v>
          </cell>
          <cell r="I23">
            <v>0</v>
          </cell>
          <cell r="J23">
            <v>3050</v>
          </cell>
          <cell r="K23">
            <v>0</v>
          </cell>
          <cell r="L23">
            <v>0</v>
          </cell>
          <cell r="M23">
            <v>0</v>
          </cell>
          <cell r="N23">
            <v>30000</v>
          </cell>
          <cell r="O23">
            <v>0</v>
          </cell>
          <cell r="P23">
            <v>432</v>
          </cell>
        </row>
        <row r="24">
          <cell r="C24" t="str">
            <v>641405</v>
          </cell>
          <cell r="E24">
            <v>0</v>
          </cell>
          <cell r="F24">
            <v>0</v>
          </cell>
          <cell r="G24">
            <v>40</v>
          </cell>
          <cell r="H24">
            <v>40</v>
          </cell>
          <cell r="I24">
            <v>0</v>
          </cell>
          <cell r="J24">
            <v>0</v>
          </cell>
          <cell r="K24">
            <v>0</v>
          </cell>
          <cell r="L24">
            <v>0</v>
          </cell>
          <cell r="M24">
            <v>0</v>
          </cell>
          <cell r="N24">
            <v>0</v>
          </cell>
          <cell r="O24">
            <v>0</v>
          </cell>
          <cell r="P24">
            <v>60</v>
          </cell>
        </row>
        <row r="25">
          <cell r="C25" t="str">
            <v>641508</v>
          </cell>
          <cell r="E25">
            <v>82.9</v>
          </cell>
          <cell r="F25">
            <v>0</v>
          </cell>
          <cell r="G25">
            <v>0</v>
          </cell>
          <cell r="H25">
            <v>0</v>
          </cell>
          <cell r="I25">
            <v>0</v>
          </cell>
          <cell r="J25">
            <v>750</v>
          </cell>
          <cell r="K25">
            <v>0</v>
          </cell>
          <cell r="L25">
            <v>0</v>
          </cell>
          <cell r="M25">
            <v>0</v>
          </cell>
          <cell r="N25">
            <v>0</v>
          </cell>
          <cell r="O25">
            <v>0</v>
          </cell>
          <cell r="P25">
            <v>0</v>
          </cell>
        </row>
        <row r="26">
          <cell r="C26" t="str">
            <v>642003</v>
          </cell>
          <cell r="E26">
            <v>1153.8</v>
          </cell>
          <cell r="F26">
            <v>792.35</v>
          </cell>
          <cell r="G26">
            <v>490.58</v>
          </cell>
          <cell r="H26">
            <v>1007.45</v>
          </cell>
          <cell r="I26">
            <v>169.96</v>
          </cell>
          <cell r="J26">
            <v>1503.74</v>
          </cell>
          <cell r="K26">
            <v>2030.21</v>
          </cell>
          <cell r="L26">
            <v>2041.75</v>
          </cell>
          <cell r="M26">
            <v>447.49</v>
          </cell>
          <cell r="N26">
            <v>159.72</v>
          </cell>
          <cell r="O26">
            <v>328.08</v>
          </cell>
          <cell r="P26">
            <v>0</v>
          </cell>
        </row>
        <row r="27">
          <cell r="C27" t="str">
            <v>642101</v>
          </cell>
          <cell r="E27">
            <v>0</v>
          </cell>
          <cell r="F27">
            <v>0</v>
          </cell>
          <cell r="G27">
            <v>0</v>
          </cell>
          <cell r="H27">
            <v>0</v>
          </cell>
          <cell r="I27">
            <v>0</v>
          </cell>
          <cell r="J27">
            <v>0</v>
          </cell>
          <cell r="K27">
            <v>1578</v>
          </cell>
          <cell r="L27">
            <v>0</v>
          </cell>
          <cell r="M27">
            <v>0</v>
          </cell>
          <cell r="N27">
            <v>0</v>
          </cell>
          <cell r="O27">
            <v>0</v>
          </cell>
          <cell r="P27">
            <v>0</v>
          </cell>
        </row>
        <row r="28">
          <cell r="C28" t="str">
            <v>647001</v>
          </cell>
          <cell r="E28">
            <v>0</v>
          </cell>
          <cell r="F28">
            <v>0</v>
          </cell>
          <cell r="G28">
            <v>0</v>
          </cell>
          <cell r="H28">
            <v>0</v>
          </cell>
          <cell r="I28">
            <v>0</v>
          </cell>
          <cell r="J28">
            <v>0</v>
          </cell>
          <cell r="K28">
            <v>550</v>
          </cell>
          <cell r="L28">
            <v>0</v>
          </cell>
          <cell r="M28">
            <v>0</v>
          </cell>
          <cell r="N28">
            <v>0</v>
          </cell>
          <cell r="O28">
            <v>0</v>
          </cell>
          <cell r="P28">
            <v>0</v>
          </cell>
        </row>
        <row r="29">
          <cell r="C29" t="str">
            <v>647002</v>
          </cell>
          <cell r="E29">
            <v>-750</v>
          </cell>
          <cell r="F29">
            <v>0</v>
          </cell>
          <cell r="G29">
            <v>329.9</v>
          </cell>
          <cell r="H29">
            <v>0</v>
          </cell>
          <cell r="I29">
            <v>0</v>
          </cell>
          <cell r="J29">
            <v>0</v>
          </cell>
          <cell r="K29">
            <v>0</v>
          </cell>
          <cell r="L29">
            <v>0</v>
          </cell>
          <cell r="M29">
            <v>0</v>
          </cell>
          <cell r="N29">
            <v>395</v>
          </cell>
          <cell r="O29">
            <v>0</v>
          </cell>
          <cell r="P29">
            <v>0</v>
          </cell>
        </row>
        <row r="30">
          <cell r="C30" t="str">
            <v>652001</v>
          </cell>
          <cell r="E30">
            <v>77.11</v>
          </cell>
          <cell r="F30">
            <v>209.94</v>
          </cell>
          <cell r="G30">
            <v>22.04</v>
          </cell>
          <cell r="H30">
            <v>187.27</v>
          </cell>
          <cell r="I30">
            <v>6.78</v>
          </cell>
          <cell r="J30">
            <v>0</v>
          </cell>
          <cell r="K30">
            <v>346</v>
          </cell>
          <cell r="L30">
            <v>62.94</v>
          </cell>
          <cell r="M30">
            <v>13.88</v>
          </cell>
          <cell r="N30">
            <v>218.08</v>
          </cell>
          <cell r="O30">
            <v>195.43</v>
          </cell>
          <cell r="P30">
            <v>770.62</v>
          </cell>
        </row>
        <row r="31">
          <cell r="C31" t="str">
            <v>654305</v>
          </cell>
          <cell r="E31">
            <v>44118.81</v>
          </cell>
          <cell r="F31">
            <v>4492.26</v>
          </cell>
          <cell r="G31">
            <v>27239.85</v>
          </cell>
          <cell r="H31">
            <v>8078.98</v>
          </cell>
          <cell r="I31">
            <v>16542.89</v>
          </cell>
          <cell r="J31">
            <v>21972.62</v>
          </cell>
          <cell r="K31">
            <v>36240.870000000003</v>
          </cell>
          <cell r="L31">
            <v>7314.07</v>
          </cell>
          <cell r="M31">
            <v>7860.38</v>
          </cell>
          <cell r="N31">
            <v>37714.07</v>
          </cell>
          <cell r="O31">
            <v>29705.68</v>
          </cell>
          <cell r="P31">
            <v>27989.72</v>
          </cell>
        </row>
        <row r="32">
          <cell r="C32" t="str">
            <v>654307</v>
          </cell>
          <cell r="E32">
            <v>0</v>
          </cell>
          <cell r="F32">
            <v>1050</v>
          </cell>
          <cell r="G32">
            <v>0</v>
          </cell>
          <cell r="H32">
            <v>0</v>
          </cell>
          <cell r="I32">
            <v>0</v>
          </cell>
          <cell r="J32">
            <v>0</v>
          </cell>
          <cell r="K32">
            <v>0</v>
          </cell>
          <cell r="L32">
            <v>0</v>
          </cell>
          <cell r="M32">
            <v>0</v>
          </cell>
          <cell r="N32">
            <v>0</v>
          </cell>
          <cell r="O32">
            <v>0</v>
          </cell>
          <cell r="P32">
            <v>0</v>
          </cell>
        </row>
        <row r="33">
          <cell r="C33" t="str">
            <v>900106</v>
          </cell>
          <cell r="E33">
            <v>-55283.75</v>
          </cell>
          <cell r="F33">
            <v>-55283.75</v>
          </cell>
          <cell r="G33">
            <v>-55283.75</v>
          </cell>
          <cell r="H33">
            <v>-55283.75</v>
          </cell>
          <cell r="I33">
            <v>-55283.75</v>
          </cell>
          <cell r="J33">
            <v>-55283.75</v>
          </cell>
          <cell r="K33">
            <v>-55283.75</v>
          </cell>
          <cell r="L33">
            <v>-55283.75</v>
          </cell>
          <cell r="M33">
            <v>-55283.75</v>
          </cell>
          <cell r="N33">
            <v>-55283.75</v>
          </cell>
          <cell r="O33">
            <v>-55283.75</v>
          </cell>
          <cell r="P33">
            <v>-55283.75</v>
          </cell>
        </row>
        <row r="34">
          <cell r="C34" t="str">
            <v>921200</v>
          </cell>
          <cell r="E34">
            <v>2643.33</v>
          </cell>
          <cell r="F34">
            <v>0</v>
          </cell>
          <cell r="G34">
            <v>0</v>
          </cell>
          <cell r="H34">
            <v>0</v>
          </cell>
          <cell r="I34">
            <v>0</v>
          </cell>
          <cell r="J34">
            <v>0</v>
          </cell>
          <cell r="K34">
            <v>0</v>
          </cell>
          <cell r="L34">
            <v>0</v>
          </cell>
          <cell r="M34">
            <v>0</v>
          </cell>
          <cell r="N34">
            <v>0</v>
          </cell>
          <cell r="O34">
            <v>0</v>
          </cell>
          <cell r="P34">
            <v>0</v>
          </cell>
        </row>
        <row r="35">
          <cell r="C35" t="str">
            <v>921203</v>
          </cell>
          <cell r="E35">
            <v>0</v>
          </cell>
          <cell r="F35">
            <v>0</v>
          </cell>
          <cell r="G35">
            <v>0</v>
          </cell>
          <cell r="H35">
            <v>0</v>
          </cell>
          <cell r="I35">
            <v>0</v>
          </cell>
          <cell r="J35">
            <v>0</v>
          </cell>
          <cell r="K35">
            <v>0</v>
          </cell>
          <cell r="L35">
            <v>0</v>
          </cell>
          <cell r="M35">
            <v>0</v>
          </cell>
          <cell r="N35">
            <v>625</v>
          </cell>
          <cell r="O35">
            <v>0</v>
          </cell>
          <cell r="P35">
            <v>0</v>
          </cell>
        </row>
        <row r="36">
          <cell r="C36" t="str">
            <v>921206</v>
          </cell>
          <cell r="E36">
            <v>118</v>
          </cell>
          <cell r="F36">
            <v>118</v>
          </cell>
          <cell r="G36">
            <v>118</v>
          </cell>
          <cell r="H36">
            <v>118</v>
          </cell>
          <cell r="I36">
            <v>118</v>
          </cell>
          <cell r="J36">
            <v>118</v>
          </cell>
          <cell r="K36">
            <v>118</v>
          </cell>
          <cell r="L36">
            <v>118</v>
          </cell>
          <cell r="M36">
            <v>118</v>
          </cell>
          <cell r="N36">
            <v>118</v>
          </cell>
          <cell r="O36">
            <v>118</v>
          </cell>
          <cell r="P36">
            <v>118</v>
          </cell>
        </row>
        <row r="37">
          <cell r="C37" t="str">
            <v>921213</v>
          </cell>
          <cell r="E37">
            <v>0</v>
          </cell>
          <cell r="F37">
            <v>0</v>
          </cell>
          <cell r="G37">
            <v>307.5</v>
          </cell>
          <cell r="H37">
            <v>0</v>
          </cell>
          <cell r="I37">
            <v>0</v>
          </cell>
          <cell r="J37">
            <v>0</v>
          </cell>
          <cell r="K37">
            <v>0</v>
          </cell>
          <cell r="L37">
            <v>0</v>
          </cell>
          <cell r="M37">
            <v>0</v>
          </cell>
          <cell r="N37">
            <v>0</v>
          </cell>
          <cell r="O37">
            <v>862.5</v>
          </cell>
          <cell r="P37">
            <v>2023.75</v>
          </cell>
        </row>
        <row r="38">
          <cell r="C38" t="str">
            <v>921308</v>
          </cell>
          <cell r="E38">
            <v>0</v>
          </cell>
          <cell r="F38">
            <v>0</v>
          </cell>
          <cell r="G38">
            <v>0</v>
          </cell>
          <cell r="H38">
            <v>311.83999999999997</v>
          </cell>
          <cell r="I38">
            <v>144.94999999999999</v>
          </cell>
          <cell r="J38">
            <v>0</v>
          </cell>
          <cell r="K38">
            <v>0</v>
          </cell>
          <cell r="L38">
            <v>0</v>
          </cell>
          <cell r="M38">
            <v>0</v>
          </cell>
          <cell r="N38">
            <v>0</v>
          </cell>
          <cell r="O38">
            <v>0</v>
          </cell>
          <cell r="P38">
            <v>0</v>
          </cell>
        </row>
        <row r="39">
          <cell r="C39" t="str">
            <v>921374</v>
          </cell>
          <cell r="E39">
            <v>0</v>
          </cell>
          <cell r="F39">
            <v>0</v>
          </cell>
          <cell r="G39">
            <v>0</v>
          </cell>
          <cell r="H39">
            <v>0</v>
          </cell>
          <cell r="I39">
            <v>0</v>
          </cell>
          <cell r="J39">
            <v>0</v>
          </cell>
          <cell r="K39">
            <v>0</v>
          </cell>
          <cell r="L39">
            <v>0</v>
          </cell>
          <cell r="M39">
            <v>0</v>
          </cell>
          <cell r="N39">
            <v>0</v>
          </cell>
          <cell r="O39">
            <v>3735</v>
          </cell>
          <cell r="P39">
            <v>0</v>
          </cell>
        </row>
        <row r="40">
          <cell r="C40" t="str">
            <v>921395</v>
          </cell>
          <cell r="E40">
            <v>50</v>
          </cell>
          <cell r="F40">
            <v>50</v>
          </cell>
          <cell r="G40">
            <v>30</v>
          </cell>
          <cell r="H40">
            <v>30</v>
          </cell>
          <cell r="I40">
            <v>0</v>
          </cell>
          <cell r="J40">
            <v>0</v>
          </cell>
          <cell r="K40">
            <v>0</v>
          </cell>
          <cell r="L40">
            <v>0</v>
          </cell>
          <cell r="M40">
            <v>0</v>
          </cell>
          <cell r="N40">
            <v>0</v>
          </cell>
          <cell r="O40">
            <v>0</v>
          </cell>
          <cell r="P40">
            <v>0</v>
          </cell>
        </row>
        <row r="41">
          <cell r="C41" t="str">
            <v>921409</v>
          </cell>
          <cell r="E41">
            <v>0</v>
          </cell>
          <cell r="F41">
            <v>228</v>
          </cell>
          <cell r="G41">
            <v>0</v>
          </cell>
          <cell r="H41">
            <v>0</v>
          </cell>
          <cell r="I41">
            <v>0</v>
          </cell>
          <cell r="J41">
            <v>0</v>
          </cell>
          <cell r="K41">
            <v>0</v>
          </cell>
          <cell r="L41">
            <v>0</v>
          </cell>
          <cell r="M41">
            <v>511</v>
          </cell>
          <cell r="N41">
            <v>0</v>
          </cell>
          <cell r="O41">
            <v>322</v>
          </cell>
          <cell r="P41">
            <v>0</v>
          </cell>
        </row>
        <row r="42">
          <cell r="C42" t="str">
            <v>924001</v>
          </cell>
          <cell r="E42">
            <v>0</v>
          </cell>
          <cell r="F42">
            <v>0</v>
          </cell>
          <cell r="G42">
            <v>0</v>
          </cell>
          <cell r="H42">
            <v>0</v>
          </cell>
          <cell r="I42">
            <v>0</v>
          </cell>
          <cell r="J42">
            <v>0</v>
          </cell>
          <cell r="K42">
            <v>0</v>
          </cell>
          <cell r="L42">
            <v>0</v>
          </cell>
          <cell r="M42">
            <v>594</v>
          </cell>
          <cell r="N42">
            <v>0</v>
          </cell>
          <cell r="O42">
            <v>1039.6199999999999</v>
          </cell>
          <cell r="P42">
            <v>0</v>
          </cell>
        </row>
        <row r="43">
          <cell r="C43" t="str">
            <v>924212</v>
          </cell>
          <cell r="E43">
            <v>0</v>
          </cell>
          <cell r="F43">
            <v>0</v>
          </cell>
          <cell r="G43">
            <v>0</v>
          </cell>
          <cell r="H43">
            <v>0</v>
          </cell>
          <cell r="I43">
            <v>232.79</v>
          </cell>
          <cell r="J43">
            <v>228.72</v>
          </cell>
          <cell r="K43">
            <v>184.14</v>
          </cell>
          <cell r="L43">
            <v>257.91000000000003</v>
          </cell>
          <cell r="M43">
            <v>108.35</v>
          </cell>
          <cell r="N43">
            <v>204.12</v>
          </cell>
          <cell r="O43">
            <v>543.16999999999996</v>
          </cell>
          <cell r="P43">
            <v>-1800</v>
          </cell>
        </row>
        <row r="44">
          <cell r="C44" t="str">
            <v>924902</v>
          </cell>
          <cell r="E44">
            <v>120</v>
          </cell>
          <cell r="F44">
            <v>585</v>
          </cell>
          <cell r="G44">
            <v>125</v>
          </cell>
          <cell r="H44">
            <v>125</v>
          </cell>
          <cell r="I44">
            <v>125</v>
          </cell>
          <cell r="J44">
            <v>125</v>
          </cell>
          <cell r="K44">
            <v>125</v>
          </cell>
          <cell r="L44">
            <v>125</v>
          </cell>
          <cell r="M44">
            <v>875</v>
          </cell>
          <cell r="N44">
            <v>125</v>
          </cell>
          <cell r="O44">
            <v>185</v>
          </cell>
          <cell r="P44">
            <v>0</v>
          </cell>
        </row>
        <row r="45">
          <cell r="C45" t="str">
            <v>924904</v>
          </cell>
          <cell r="E45">
            <v>0</v>
          </cell>
          <cell r="F45">
            <v>0</v>
          </cell>
          <cell r="G45">
            <v>0</v>
          </cell>
          <cell r="H45">
            <v>0</v>
          </cell>
          <cell r="I45">
            <v>4160</v>
          </cell>
          <cell r="J45">
            <v>0</v>
          </cell>
          <cell r="K45">
            <v>0</v>
          </cell>
          <cell r="L45">
            <v>0</v>
          </cell>
          <cell r="M45">
            <v>0</v>
          </cell>
          <cell r="N45">
            <v>0</v>
          </cell>
          <cell r="O45">
            <v>0</v>
          </cell>
          <cell r="P45">
            <v>0</v>
          </cell>
        </row>
        <row r="46">
          <cell r="C46" t="str">
            <v>924905</v>
          </cell>
          <cell r="E46">
            <v>0</v>
          </cell>
          <cell r="F46">
            <v>0</v>
          </cell>
          <cell r="G46">
            <v>0</v>
          </cell>
          <cell r="H46">
            <v>0</v>
          </cell>
          <cell r="I46">
            <v>0</v>
          </cell>
          <cell r="J46">
            <v>0</v>
          </cell>
          <cell r="K46">
            <v>0</v>
          </cell>
          <cell r="L46">
            <v>0</v>
          </cell>
          <cell r="M46">
            <v>47.5</v>
          </cell>
          <cell r="N46">
            <v>0</v>
          </cell>
          <cell r="O46">
            <v>0</v>
          </cell>
          <cell r="P46">
            <v>0</v>
          </cell>
        </row>
        <row r="47">
          <cell r="C47" t="str">
            <v>960100</v>
          </cell>
          <cell r="E47">
            <v>0</v>
          </cell>
          <cell r="F47">
            <v>0</v>
          </cell>
          <cell r="G47">
            <v>0</v>
          </cell>
          <cell r="H47">
            <v>-6892.04</v>
          </cell>
          <cell r="I47">
            <v>6357.87</v>
          </cell>
          <cell r="J47">
            <v>-6357.87</v>
          </cell>
          <cell r="K47">
            <v>845.69</v>
          </cell>
          <cell r="L47">
            <v>-743.25</v>
          </cell>
          <cell r="M47">
            <v>0</v>
          </cell>
          <cell r="N47">
            <v>0</v>
          </cell>
          <cell r="O47">
            <v>0</v>
          </cell>
          <cell r="P47">
            <v>0</v>
          </cell>
        </row>
        <row r="48">
          <cell r="C48" t="str">
            <v>960200</v>
          </cell>
          <cell r="E48">
            <v>0</v>
          </cell>
          <cell r="F48">
            <v>0</v>
          </cell>
          <cell r="G48">
            <v>0</v>
          </cell>
          <cell r="H48">
            <v>-2343.29</v>
          </cell>
          <cell r="I48">
            <v>2161.6799999999998</v>
          </cell>
          <cell r="J48">
            <v>-2161.6799999999998</v>
          </cell>
          <cell r="K48">
            <v>287.54000000000002</v>
          </cell>
          <cell r="L48">
            <v>-252.71</v>
          </cell>
          <cell r="M48">
            <v>0</v>
          </cell>
          <cell r="N48">
            <v>0</v>
          </cell>
          <cell r="O48">
            <v>0</v>
          </cell>
          <cell r="P48">
            <v>0</v>
          </cell>
        </row>
        <row r="49">
          <cell r="C49" t="str">
            <v>960300</v>
          </cell>
          <cell r="E49">
            <v>0</v>
          </cell>
          <cell r="F49">
            <v>0</v>
          </cell>
          <cell r="G49">
            <v>0</v>
          </cell>
          <cell r="H49">
            <v>-537.29999999999995</v>
          </cell>
          <cell r="I49">
            <v>2311.4</v>
          </cell>
          <cell r="J49">
            <v>-2311.4</v>
          </cell>
          <cell r="K49">
            <v>546.53</v>
          </cell>
          <cell r="L49">
            <v>-546.53</v>
          </cell>
          <cell r="M49">
            <v>0</v>
          </cell>
          <cell r="N49">
            <v>0</v>
          </cell>
          <cell r="O49">
            <v>0</v>
          </cell>
          <cell r="P49">
            <v>0</v>
          </cell>
        </row>
        <row r="50">
          <cell r="C50" t="str">
            <v>960400</v>
          </cell>
          <cell r="E50">
            <v>0</v>
          </cell>
          <cell r="F50">
            <v>0</v>
          </cell>
          <cell r="G50">
            <v>0</v>
          </cell>
          <cell r="H50">
            <v>0</v>
          </cell>
          <cell r="I50">
            <v>0</v>
          </cell>
          <cell r="J50">
            <v>0</v>
          </cell>
          <cell r="K50">
            <v>0</v>
          </cell>
          <cell r="L50">
            <v>2068.4899999999998</v>
          </cell>
          <cell r="M50">
            <v>0</v>
          </cell>
          <cell r="N50">
            <v>0</v>
          </cell>
          <cell r="O50">
            <v>0</v>
          </cell>
          <cell r="P50">
            <v>0</v>
          </cell>
        </row>
        <row r="51">
          <cell r="C51" t="str">
            <v>970003</v>
          </cell>
          <cell r="E51">
            <v>-9.6</v>
          </cell>
          <cell r="F51">
            <v>0</v>
          </cell>
          <cell r="G51">
            <v>0.3</v>
          </cell>
          <cell r="H51">
            <v>0.9</v>
          </cell>
          <cell r="I51">
            <v>1.1000000000000001</v>
          </cell>
          <cell r="J51">
            <v>0.3</v>
          </cell>
          <cell r="K51">
            <v>0.6</v>
          </cell>
          <cell r="L51">
            <v>0.6</v>
          </cell>
          <cell r="M51">
            <v>1</v>
          </cell>
          <cell r="N51">
            <v>-0.8</v>
          </cell>
          <cell r="O51">
            <v>0</v>
          </cell>
          <cell r="P51">
            <v>0.6</v>
          </cell>
        </row>
        <row r="52">
          <cell r="C52" t="str">
            <v>970004</v>
          </cell>
          <cell r="E52">
            <v>8.61</v>
          </cell>
          <cell r="F52">
            <v>5.3</v>
          </cell>
          <cell r="G52">
            <v>2.2599999999999998</v>
          </cell>
          <cell r="H52">
            <v>-1.34</v>
          </cell>
          <cell r="I52">
            <v>6.77</v>
          </cell>
          <cell r="J52">
            <v>-1.4</v>
          </cell>
          <cell r="K52">
            <v>1.23</v>
          </cell>
          <cell r="L52">
            <v>3.49</v>
          </cell>
          <cell r="M52">
            <v>4.1500000000000004</v>
          </cell>
          <cell r="N52">
            <v>0.05</v>
          </cell>
          <cell r="O52">
            <v>0.8</v>
          </cell>
          <cell r="P52">
            <v>1.45</v>
          </cell>
        </row>
        <row r="53">
          <cell r="C53" t="str">
            <v>970005</v>
          </cell>
          <cell r="E53">
            <v>194.62</v>
          </cell>
          <cell r="F53">
            <v>-75.180000000000007</v>
          </cell>
          <cell r="G53">
            <v>121.06</v>
          </cell>
          <cell r="H53">
            <v>72</v>
          </cell>
          <cell r="I53">
            <v>72</v>
          </cell>
          <cell r="J53">
            <v>72</v>
          </cell>
          <cell r="K53">
            <v>72</v>
          </cell>
          <cell r="L53">
            <v>72</v>
          </cell>
          <cell r="M53">
            <v>72</v>
          </cell>
          <cell r="N53">
            <v>72</v>
          </cell>
          <cell r="O53">
            <v>72</v>
          </cell>
          <cell r="P53">
            <v>72</v>
          </cell>
        </row>
        <row r="54">
          <cell r="C54" t="str">
            <v>970008</v>
          </cell>
          <cell r="E54">
            <v>67</v>
          </cell>
          <cell r="F54">
            <v>80.5</v>
          </cell>
          <cell r="G54">
            <v>80.5</v>
          </cell>
          <cell r="H54">
            <v>80.5</v>
          </cell>
          <cell r="I54">
            <v>80.5</v>
          </cell>
          <cell r="J54">
            <v>80.5</v>
          </cell>
          <cell r="K54">
            <v>80.5</v>
          </cell>
          <cell r="L54">
            <v>80.5</v>
          </cell>
          <cell r="M54">
            <v>80.5</v>
          </cell>
          <cell r="N54">
            <v>80.5</v>
          </cell>
          <cell r="O54">
            <v>80.5</v>
          </cell>
          <cell r="P54">
            <v>80.5</v>
          </cell>
        </row>
        <row r="55">
          <cell r="C55" t="str">
            <v>970023</v>
          </cell>
          <cell r="E55">
            <v>0</v>
          </cell>
          <cell r="F55">
            <v>0</v>
          </cell>
          <cell r="G55">
            <v>0</v>
          </cell>
          <cell r="H55">
            <v>0</v>
          </cell>
          <cell r="I55">
            <v>0</v>
          </cell>
          <cell r="J55">
            <v>30</v>
          </cell>
          <cell r="K55">
            <v>0</v>
          </cell>
          <cell r="L55">
            <v>0</v>
          </cell>
          <cell r="M55">
            <v>0</v>
          </cell>
          <cell r="N55">
            <v>0</v>
          </cell>
          <cell r="O55">
            <v>20</v>
          </cell>
          <cell r="P55">
            <v>0</v>
          </cell>
        </row>
        <row r="56">
          <cell r="C56" t="str">
            <v>970024</v>
          </cell>
          <cell r="E56">
            <v>240</v>
          </cell>
          <cell r="F56">
            <v>240</v>
          </cell>
          <cell r="G56">
            <v>240</v>
          </cell>
          <cell r="H56">
            <v>240</v>
          </cell>
          <cell r="I56">
            <v>240</v>
          </cell>
          <cell r="J56">
            <v>240</v>
          </cell>
          <cell r="K56">
            <v>240</v>
          </cell>
          <cell r="L56">
            <v>240</v>
          </cell>
          <cell r="M56">
            <v>240</v>
          </cell>
          <cell r="N56">
            <v>240</v>
          </cell>
          <cell r="O56">
            <v>240</v>
          </cell>
          <cell r="P56">
            <v>240</v>
          </cell>
        </row>
        <row r="57">
          <cell r="C57" t="str">
            <v>970180</v>
          </cell>
          <cell r="E57">
            <v>0</v>
          </cell>
          <cell r="F57">
            <v>0</v>
          </cell>
          <cell r="G57">
            <v>0</v>
          </cell>
          <cell r="H57">
            <v>0</v>
          </cell>
          <cell r="I57">
            <v>30</v>
          </cell>
          <cell r="J57">
            <v>30</v>
          </cell>
          <cell r="K57">
            <v>30</v>
          </cell>
          <cell r="L57">
            <v>30</v>
          </cell>
          <cell r="M57">
            <v>30</v>
          </cell>
          <cell r="N57">
            <v>25</v>
          </cell>
          <cell r="O57">
            <v>25</v>
          </cell>
          <cell r="P57">
            <v>25</v>
          </cell>
        </row>
        <row r="58">
          <cell r="C58" t="str">
            <v>995300</v>
          </cell>
          <cell r="E58">
            <v>0</v>
          </cell>
          <cell r="F58">
            <v>0</v>
          </cell>
          <cell r="G58">
            <v>0</v>
          </cell>
          <cell r="H58">
            <v>0</v>
          </cell>
          <cell r="I58">
            <v>0</v>
          </cell>
          <cell r="J58">
            <v>0</v>
          </cell>
          <cell r="K58">
            <v>0</v>
          </cell>
          <cell r="L58">
            <v>0</v>
          </cell>
          <cell r="M58">
            <v>0</v>
          </cell>
          <cell r="N58">
            <v>202.5</v>
          </cell>
          <cell r="O58">
            <v>0</v>
          </cell>
          <cell r="P58">
            <v>0</v>
          </cell>
        </row>
        <row r="59">
          <cell r="C59" t="str">
            <v>995402</v>
          </cell>
          <cell r="E59">
            <v>317</v>
          </cell>
          <cell r="F59">
            <v>418.5</v>
          </cell>
          <cell r="G59">
            <v>262</v>
          </cell>
          <cell r="H59">
            <v>0</v>
          </cell>
          <cell r="I59">
            <v>165</v>
          </cell>
          <cell r="J59">
            <v>0</v>
          </cell>
          <cell r="K59">
            <v>0</v>
          </cell>
          <cell r="L59">
            <v>0</v>
          </cell>
          <cell r="M59">
            <v>2029.5</v>
          </cell>
          <cell r="N59">
            <v>2555</v>
          </cell>
          <cell r="O59">
            <v>15000</v>
          </cell>
          <cell r="P59">
            <v>11568.5</v>
          </cell>
        </row>
        <row r="60">
          <cell r="E60">
            <v>23520.77</v>
          </cell>
          <cell r="F60">
            <v>-25373.5</v>
          </cell>
          <cell r="G60">
            <v>6613.1</v>
          </cell>
          <cell r="H60">
            <v>-28373.119999999999</v>
          </cell>
          <cell r="I60">
            <v>-1053.26</v>
          </cell>
          <cell r="J60">
            <v>-13398.69</v>
          </cell>
          <cell r="K60">
            <v>9614.14</v>
          </cell>
          <cell r="L60">
            <v>-21445.63</v>
          </cell>
          <cell r="M60">
            <v>-20595.96</v>
          </cell>
          <cell r="N60">
            <v>37481.919999999998</v>
          </cell>
          <cell r="O60">
            <v>18418.79</v>
          </cell>
        </row>
      </sheetData>
      <sheetData sheetId="6">
        <row r="153">
          <cell r="R153">
            <v>76.45</v>
          </cell>
        </row>
      </sheetData>
      <sheetData sheetId="7" refreshError="1"/>
      <sheetData sheetId="8" refreshError="1"/>
      <sheetData sheetId="9">
        <row r="3">
          <cell r="L3">
            <v>49275</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10 Indirect Exp Calc"/>
      <sheetName val="A30 Healthcare Support"/>
      <sheetName val="Payor Mix"/>
      <sheetName val="B10 Med Students"/>
      <sheetName val="B20 Nurse Students"/>
      <sheetName val="Section C DHA"/>
      <sheetName val="Section i P&amp;L"/>
    </sheetNames>
    <sheetDataSet>
      <sheetData sheetId="0">
        <row r="21">
          <cell r="C21">
            <v>0.74853352453987287</v>
          </cell>
        </row>
      </sheetData>
      <sheetData sheetId="1">
        <row r="21">
          <cell r="G21">
            <v>1084184.8432934657</v>
          </cell>
        </row>
      </sheetData>
      <sheetData sheetId="2" refreshError="1"/>
      <sheetData sheetId="3">
        <row r="68">
          <cell r="C68">
            <v>4399736.8499999987</v>
          </cell>
        </row>
      </sheetData>
      <sheetData sheetId="4">
        <row r="21">
          <cell r="C21">
            <v>756952.72000000009</v>
          </cell>
        </row>
      </sheetData>
      <sheetData sheetId="5">
        <row r="283">
          <cell r="D283">
            <v>7591457.8600000003</v>
          </cell>
        </row>
        <row r="284">
          <cell r="D284">
            <v>5942799.972376327</v>
          </cell>
          <cell r="F284">
            <v>856159.92999999993</v>
          </cell>
        </row>
        <row r="285">
          <cell r="D285">
            <v>5849192.781932815</v>
          </cell>
          <cell r="F285">
            <v>1138410.8499999999</v>
          </cell>
        </row>
        <row r="286">
          <cell r="D286">
            <v>7159624.0100426208</v>
          </cell>
          <cell r="F286">
            <v>2065640.8400000003</v>
          </cell>
        </row>
        <row r="287">
          <cell r="D287">
            <v>4375487.4317364786</v>
          </cell>
          <cell r="F287">
            <v>239016.77999999997</v>
          </cell>
        </row>
        <row r="288">
          <cell r="D288">
            <v>6605242.7944946606</v>
          </cell>
          <cell r="F288">
            <v>2080322.9000000001</v>
          </cell>
        </row>
        <row r="289">
          <cell r="D289">
            <v>1211064.6599999999</v>
          </cell>
        </row>
        <row r="290">
          <cell r="D290">
            <v>2348308.1578045315</v>
          </cell>
          <cell r="F290">
            <v>750930.7799999998</v>
          </cell>
        </row>
        <row r="291">
          <cell r="D291">
            <v>708978.41999999981</v>
          </cell>
        </row>
        <row r="292">
          <cell r="D292">
            <v>1900527.77</v>
          </cell>
        </row>
      </sheetData>
      <sheetData sheetId="6">
        <row r="6">
          <cell r="D6">
            <v>9166191</v>
          </cell>
        </row>
        <row r="8">
          <cell r="D8">
            <v>249393121</v>
          </cell>
        </row>
        <row r="9">
          <cell r="D9">
            <v>5003030</v>
          </cell>
        </row>
        <row r="12">
          <cell r="D12">
            <v>286955092</v>
          </cell>
        </row>
        <row r="16">
          <cell r="D16">
            <v>19445979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H 2017"/>
      <sheetName val="2017 CBR Initiatives"/>
      <sheetName val="Phy Svcs C"/>
      <sheetName val="MHE 2017"/>
      <sheetName val="MHE CBR FY2017"/>
      <sheetName val="EST UMMS FSS FIN DATA 2017"/>
      <sheetName val="2014 CBR Initiatives (2)"/>
      <sheetName val="2015 CBR Iniatives"/>
      <sheetName val="2016 CBR Activities"/>
      <sheetName val="EST UMMS FSS FIN DATA 2016 (2)"/>
      <sheetName val="SHS MHE DGH Com Ben Rpt 2013 cc"/>
      <sheetName val="Activities Comm Ben 2012"/>
      <sheetName val="SHS MHE DGH 2012"/>
      <sheetName val="DGH CBR FY2017"/>
    </sheetNames>
    <sheetDataSet>
      <sheetData sheetId="0">
        <row r="18">
          <cell r="D18">
            <v>318.84770000000003</v>
          </cell>
        </row>
        <row r="24">
          <cell r="E24">
            <v>173000</v>
          </cell>
          <cell r="G24">
            <v>4992</v>
          </cell>
        </row>
        <row r="25">
          <cell r="G25">
            <v>9</v>
          </cell>
        </row>
        <row r="85">
          <cell r="I85">
            <v>380127</v>
          </cell>
        </row>
        <row r="89">
          <cell r="I89">
            <v>1261357</v>
          </cell>
          <cell r="O89">
            <v>10950</v>
          </cell>
        </row>
        <row r="90">
          <cell r="O90">
            <v>19857</v>
          </cell>
        </row>
        <row r="95">
          <cell r="I95">
            <v>162600</v>
          </cell>
        </row>
        <row r="100">
          <cell r="I100">
            <v>1029073</v>
          </cell>
        </row>
        <row r="105">
          <cell r="I105">
            <v>157608.78</v>
          </cell>
        </row>
        <row r="206">
          <cell r="D206">
            <v>906923</v>
          </cell>
          <cell r="E206">
            <v>1073031</v>
          </cell>
        </row>
        <row r="209">
          <cell r="D209">
            <v>-1191492</v>
          </cell>
        </row>
      </sheetData>
      <sheetData sheetId="1">
        <row r="9">
          <cell r="E9">
            <v>32</v>
          </cell>
          <cell r="F9">
            <v>198</v>
          </cell>
          <cell r="G9">
            <v>1081.2405111336034</v>
          </cell>
          <cell r="H9">
            <v>586.65512278637175</v>
          </cell>
          <cell r="I9">
            <v>0</v>
          </cell>
          <cell r="J9">
            <v>1667.8956339199751</v>
          </cell>
        </row>
        <row r="11">
          <cell r="E11">
            <v>40</v>
          </cell>
          <cell r="F11">
            <v>106</v>
          </cell>
          <cell r="G11">
            <v>1351.5506389170041</v>
          </cell>
          <cell r="H11">
            <v>733.31890348296463</v>
          </cell>
          <cell r="I11">
            <v>0</v>
          </cell>
          <cell r="J11">
            <v>2084.8695423999689</v>
          </cell>
        </row>
        <row r="13">
          <cell r="E13">
            <v>46</v>
          </cell>
          <cell r="F13">
            <v>8</v>
          </cell>
          <cell r="G13">
            <v>1754.2832347545548</v>
          </cell>
          <cell r="H13">
            <v>951.83193368144043</v>
          </cell>
          <cell r="I13">
            <v>0</v>
          </cell>
          <cell r="J13">
            <v>2706.1151684359952</v>
          </cell>
        </row>
        <row r="16">
          <cell r="E16">
            <v>80</v>
          </cell>
          <cell r="F16">
            <v>125</v>
          </cell>
          <cell r="G16">
            <v>1928.1297084957482</v>
          </cell>
          <cell r="H16">
            <v>1046.1568533902762</v>
          </cell>
          <cell r="I16">
            <v>0</v>
          </cell>
          <cell r="J16">
            <v>2974.2865618860242</v>
          </cell>
        </row>
        <row r="18">
          <cell r="E18">
            <v>2496</v>
          </cell>
          <cell r="F18">
            <v>51</v>
          </cell>
          <cell r="G18">
            <v>113908.84988810719</v>
          </cell>
          <cell r="H18">
            <v>61804.205104653774</v>
          </cell>
          <cell r="I18">
            <v>0</v>
          </cell>
        </row>
        <row r="21">
          <cell r="E21">
            <v>340</v>
          </cell>
          <cell r="F21">
            <v>962</v>
          </cell>
          <cell r="G21">
            <v>124253.66322456083</v>
          </cell>
          <cell r="H21">
            <v>67417.052270116124</v>
          </cell>
          <cell r="I21">
            <v>0</v>
          </cell>
        </row>
        <row r="23">
          <cell r="E23">
            <v>0</v>
          </cell>
          <cell r="F23">
            <v>0</v>
          </cell>
          <cell r="G23">
            <v>1730</v>
          </cell>
          <cell r="H23">
            <v>938.65643394766903</v>
          </cell>
          <cell r="I23">
            <v>0</v>
          </cell>
          <cell r="J23">
            <v>2668.656433947669</v>
          </cell>
        </row>
        <row r="27">
          <cell r="E27">
            <v>150</v>
          </cell>
          <cell r="F27">
            <v>0</v>
          </cell>
          <cell r="G27">
            <v>6868.3148959387654</v>
          </cell>
          <cell r="H27">
            <v>3726.5826401453974</v>
          </cell>
          <cell r="I27">
            <v>0</v>
          </cell>
          <cell r="J27">
            <v>10594.897536084163</v>
          </cell>
        </row>
        <row r="29">
          <cell r="E29">
            <v>90</v>
          </cell>
          <cell r="F29">
            <v>62</v>
          </cell>
          <cell r="G29">
            <v>5429.6318506925654</v>
          </cell>
          <cell r="H29">
            <v>2945.9877864854138</v>
          </cell>
          <cell r="I29">
            <v>0</v>
          </cell>
          <cell r="J29">
            <v>8375.6196371779788</v>
          </cell>
        </row>
        <row r="31">
          <cell r="E31">
            <v>200</v>
          </cell>
          <cell r="F31">
            <v>0</v>
          </cell>
          <cell r="G31">
            <v>5429.6318506925654</v>
          </cell>
          <cell r="H31">
            <v>2945.9877864854138</v>
          </cell>
          <cell r="I31">
            <v>0</v>
          </cell>
          <cell r="J31">
            <v>8375.6196371779788</v>
          </cell>
        </row>
        <row r="33">
          <cell r="E33">
            <v>275</v>
          </cell>
          <cell r="F33">
            <v>0</v>
          </cell>
          <cell r="G33">
            <v>9291.9106425544032</v>
          </cell>
          <cell r="H33">
            <v>5041.5674614453819</v>
          </cell>
          <cell r="I33">
            <v>0</v>
          </cell>
          <cell r="J33">
            <v>14333.478103999785</v>
          </cell>
        </row>
      </sheetData>
      <sheetData sheetId="2">
        <row r="61">
          <cell r="E61">
            <v>964</v>
          </cell>
        </row>
      </sheetData>
      <sheetData sheetId="3">
        <row r="65">
          <cell r="D65">
            <v>-425311.77999999956</v>
          </cell>
        </row>
      </sheetData>
      <sheetData sheetId="4">
        <row r="21">
          <cell r="D21">
            <v>1135.4522999999999</v>
          </cell>
        </row>
      </sheetData>
      <sheetData sheetId="5">
        <row r="8">
          <cell r="S8">
            <v>43310</v>
          </cell>
        </row>
        <row r="9">
          <cell r="S9">
            <v>335</v>
          </cell>
        </row>
        <row r="12">
          <cell r="S12">
            <v>42909</v>
          </cell>
        </row>
        <row r="16">
          <cell r="S16">
            <v>-751</v>
          </cell>
        </row>
        <row r="17">
          <cell r="BB17">
            <v>0.63924466825883475</v>
          </cell>
        </row>
        <row r="29">
          <cell r="S29">
            <v>647.36199999999997</v>
          </cell>
        </row>
      </sheetData>
      <sheetData sheetId="6">
        <row r="8">
          <cell r="AE8">
            <v>197851</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tiebert@jhu.edu"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Beth.E.Kelly@medstar.net"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rsamuels@adventisthealthcare.com"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breilly@aahs.org"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Beth.E.Kelly@medstar.net"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mailto:PaulNicholson@umm.edu"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mailto:rsamuels@adventisthealthcare.com"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mailto:rsamuels@adventisthealthcare.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6"/>
  <sheetViews>
    <sheetView topLeftCell="A31" zoomScaleNormal="100" workbookViewId="0">
      <selection activeCell="G41" sqref="G41"/>
    </sheetView>
  </sheetViews>
  <sheetFormatPr defaultColWidth="9.26953125" defaultRowHeight="14.5" x14ac:dyDescent="0.35"/>
  <cols>
    <col min="1" max="1" width="10.7265625" style="7" bestFit="1" customWidth="1"/>
    <col min="2" max="2" width="41.453125" style="7" bestFit="1" customWidth="1"/>
    <col min="3" max="3" width="13.7265625" style="821" bestFit="1" customWidth="1"/>
    <col min="4" max="4" width="13.26953125" style="821" bestFit="1" customWidth="1"/>
    <col min="5" max="5" width="15.26953125" style="7" bestFit="1" customWidth="1"/>
    <col min="6" max="8" width="9.26953125" style="7"/>
    <col min="9" max="9" width="10.26953125" style="7" bestFit="1" customWidth="1"/>
    <col min="10" max="13" width="9.26953125" style="7"/>
    <col min="14" max="14" width="10.26953125" style="7" bestFit="1" customWidth="1"/>
    <col min="15" max="15" width="15.26953125" style="7" bestFit="1" customWidth="1"/>
    <col min="16" max="16384" width="9.26953125" style="7"/>
  </cols>
  <sheetData>
    <row r="1" spans="1:7" ht="15" thickBot="1" x14ac:dyDescent="0.4">
      <c r="A1" s="1290" t="s">
        <v>894</v>
      </c>
      <c r="B1" s="1290"/>
    </row>
    <row r="2" spans="1:7" customFormat="1" ht="44" thickBot="1" x14ac:dyDescent="0.4">
      <c r="A2" s="1289" t="s">
        <v>889</v>
      </c>
      <c r="B2" s="1289" t="s">
        <v>206</v>
      </c>
      <c r="C2" s="1292" t="s">
        <v>896</v>
      </c>
      <c r="D2" s="1293" t="s">
        <v>897</v>
      </c>
      <c r="E2" s="1289" t="s">
        <v>898</v>
      </c>
      <c r="F2" s="800"/>
      <c r="G2" s="800"/>
    </row>
    <row r="3" spans="1:7" customFormat="1" x14ac:dyDescent="0.35">
      <c r="A3" s="1267">
        <v>1</v>
      </c>
      <c r="B3" s="1267" t="s">
        <v>197</v>
      </c>
      <c r="C3" s="1268">
        <v>0</v>
      </c>
      <c r="D3" s="1269">
        <v>312302.40000000002</v>
      </c>
      <c r="E3" s="1270">
        <f t="shared" ref="E3:E55" si="0">C3+D3</f>
        <v>312302.40000000002</v>
      </c>
      <c r="F3" s="801"/>
      <c r="G3" s="801"/>
    </row>
    <row r="4" spans="1:7" customFormat="1" x14ac:dyDescent="0.35">
      <c r="A4" s="1272" t="s">
        <v>882</v>
      </c>
      <c r="B4" s="1271" t="s">
        <v>883</v>
      </c>
      <c r="C4" s="1268">
        <v>120151365.868178</v>
      </c>
      <c r="D4" s="1269">
        <v>1511612.2</v>
      </c>
      <c r="E4" s="1270">
        <f t="shared" si="0"/>
        <v>121662978.068178</v>
      </c>
      <c r="F4" s="801"/>
      <c r="G4" s="801"/>
    </row>
    <row r="5" spans="1:7" customFormat="1" x14ac:dyDescent="0.35">
      <c r="A5" s="1267">
        <v>3</v>
      </c>
      <c r="B5" s="1267" t="s">
        <v>237</v>
      </c>
      <c r="C5" s="1268">
        <v>6074693.9999999991</v>
      </c>
      <c r="D5" s="1269">
        <v>279091</v>
      </c>
      <c r="E5" s="1270">
        <f t="shared" si="0"/>
        <v>6353784.9999999991</v>
      </c>
      <c r="F5" s="801"/>
      <c r="G5" s="801"/>
    </row>
    <row r="6" spans="1:7" customFormat="1" x14ac:dyDescent="0.35">
      <c r="A6" s="1267">
        <v>4</v>
      </c>
      <c r="B6" s="1267" t="s">
        <v>238</v>
      </c>
      <c r="C6" s="1268">
        <v>2634916.6277450002</v>
      </c>
      <c r="D6" s="1269">
        <v>480562.3</v>
      </c>
      <c r="E6" s="1270">
        <f t="shared" si="0"/>
        <v>3115478.927745</v>
      </c>
      <c r="F6" s="801"/>
      <c r="G6" s="801"/>
    </row>
    <row r="7" spans="1:7" customFormat="1" x14ac:dyDescent="0.35">
      <c r="A7" s="1267">
        <v>5</v>
      </c>
      <c r="B7" s="1267" t="s">
        <v>198</v>
      </c>
      <c r="C7" s="1268">
        <v>0</v>
      </c>
      <c r="D7" s="1269">
        <v>346609.902</v>
      </c>
      <c r="E7" s="1270">
        <f t="shared" si="0"/>
        <v>346609.902</v>
      </c>
      <c r="F7" s="801"/>
      <c r="G7" s="801"/>
    </row>
    <row r="8" spans="1:7" customFormat="1" x14ac:dyDescent="0.35">
      <c r="A8" s="1267">
        <v>6</v>
      </c>
      <c r="B8" s="1273" t="s">
        <v>239</v>
      </c>
      <c r="C8" s="1268">
        <v>0</v>
      </c>
      <c r="D8" s="1269">
        <v>104703.7</v>
      </c>
      <c r="E8" s="1270">
        <f t="shared" si="0"/>
        <v>104703.7</v>
      </c>
      <c r="F8" s="801"/>
      <c r="G8" s="801"/>
    </row>
    <row r="9" spans="1:7" customFormat="1" x14ac:dyDescent="0.35">
      <c r="A9" s="1267">
        <v>8</v>
      </c>
      <c r="B9" s="1267" t="s">
        <v>240</v>
      </c>
      <c r="C9" s="1268">
        <v>4838568.8813399989</v>
      </c>
      <c r="D9" s="1269">
        <v>495805.9</v>
      </c>
      <c r="E9" s="1270">
        <f t="shared" si="0"/>
        <v>5334374.7813399993</v>
      </c>
      <c r="F9" s="801"/>
      <c r="G9" s="801"/>
    </row>
    <row r="10" spans="1:7" customFormat="1" x14ac:dyDescent="0.35">
      <c r="A10" s="1267">
        <v>9</v>
      </c>
      <c r="B10" s="1267" t="s">
        <v>241</v>
      </c>
      <c r="C10" s="1268">
        <v>115867629.99999997</v>
      </c>
      <c r="D10" s="1269">
        <v>2209868.5</v>
      </c>
      <c r="E10" s="1270">
        <f t="shared" si="0"/>
        <v>118077498.49999997</v>
      </c>
      <c r="F10" s="801"/>
      <c r="G10" s="801"/>
    </row>
    <row r="11" spans="1:7" customFormat="1" x14ac:dyDescent="0.35">
      <c r="A11" s="1267">
        <v>10</v>
      </c>
      <c r="B11" s="1267" t="s">
        <v>242</v>
      </c>
      <c r="C11" s="1268">
        <v>0</v>
      </c>
      <c r="D11" s="1269">
        <v>56007.200000000004</v>
      </c>
      <c r="E11" s="1270">
        <f t="shared" si="0"/>
        <v>56007.200000000004</v>
      </c>
      <c r="F11" s="801"/>
      <c r="G11" s="801"/>
    </row>
    <row r="12" spans="1:7" customFormat="1" x14ac:dyDescent="0.35">
      <c r="A12" s="1267">
        <v>11</v>
      </c>
      <c r="B12" s="1267" t="s">
        <v>199</v>
      </c>
      <c r="C12" s="1268">
        <v>7476727.5782749997</v>
      </c>
      <c r="D12" s="1269">
        <v>418876.8</v>
      </c>
      <c r="E12" s="1270">
        <f t="shared" si="0"/>
        <v>7895604.3782749996</v>
      </c>
      <c r="F12" s="801"/>
      <c r="G12" s="801"/>
    </row>
    <row r="13" spans="1:7" customFormat="1" x14ac:dyDescent="0.35">
      <c r="A13" s="1267">
        <v>12</v>
      </c>
      <c r="B13" s="1267" t="s">
        <v>243</v>
      </c>
      <c r="C13" s="1268">
        <v>15229309.218142999</v>
      </c>
      <c r="D13" s="1269">
        <v>717312.4</v>
      </c>
      <c r="E13" s="1270">
        <f t="shared" si="0"/>
        <v>15946621.618143</v>
      </c>
      <c r="F13" s="801"/>
      <c r="G13" s="801"/>
    </row>
    <row r="14" spans="1:7" customFormat="1" x14ac:dyDescent="0.35">
      <c r="A14" s="1267">
        <v>13</v>
      </c>
      <c r="B14" s="1267" t="s">
        <v>200</v>
      </c>
      <c r="C14" s="1268">
        <v>0</v>
      </c>
      <c r="D14" s="1269">
        <v>117217.8</v>
      </c>
      <c r="E14" s="1270">
        <f t="shared" si="0"/>
        <v>117217.8</v>
      </c>
      <c r="F14" s="801"/>
      <c r="G14" s="801"/>
    </row>
    <row r="15" spans="1:7" customFormat="1" x14ac:dyDescent="0.35">
      <c r="A15" s="1267">
        <v>15</v>
      </c>
      <c r="B15" s="1267" t="s">
        <v>244</v>
      </c>
      <c r="C15" s="1268">
        <v>11655216.028478</v>
      </c>
      <c r="D15" s="1269">
        <v>491172.8</v>
      </c>
      <c r="E15" s="1270">
        <f t="shared" si="0"/>
        <v>12146388.828478001</v>
      </c>
      <c r="F15" s="801"/>
      <c r="G15" s="801"/>
    </row>
    <row r="16" spans="1:7" customFormat="1" x14ac:dyDescent="0.35">
      <c r="A16" s="1267">
        <v>16</v>
      </c>
      <c r="B16" s="1267" t="s">
        <v>245</v>
      </c>
      <c r="C16" s="1268">
        <v>0</v>
      </c>
      <c r="D16" s="1269">
        <v>260621.90000000002</v>
      </c>
      <c r="E16" s="1270">
        <f t="shared" si="0"/>
        <v>260621.90000000002</v>
      </c>
      <c r="F16" s="801"/>
      <c r="G16" s="801"/>
    </row>
    <row r="17" spans="1:7" customFormat="1" x14ac:dyDescent="0.35">
      <c r="A17" s="1267">
        <v>17</v>
      </c>
      <c r="B17" s="1273" t="s">
        <v>246</v>
      </c>
      <c r="C17" s="1268">
        <v>0</v>
      </c>
      <c r="D17" s="1269">
        <v>44693.600000000006</v>
      </c>
      <c r="E17" s="1270">
        <f t="shared" si="0"/>
        <v>44693.600000000006</v>
      </c>
      <c r="F17" s="801"/>
      <c r="G17" s="801"/>
    </row>
    <row r="18" spans="1:7" customFormat="1" x14ac:dyDescent="0.35">
      <c r="A18" s="1267">
        <v>18</v>
      </c>
      <c r="B18" s="1267" t="s">
        <v>247</v>
      </c>
      <c r="C18" s="1268">
        <v>0</v>
      </c>
      <c r="D18" s="1269">
        <v>174302.2</v>
      </c>
      <c r="E18" s="1270">
        <f t="shared" si="0"/>
        <v>174302.2</v>
      </c>
      <c r="F18" s="801"/>
      <c r="G18" s="801"/>
    </row>
    <row r="19" spans="1:7" customFormat="1" x14ac:dyDescent="0.35">
      <c r="A19" s="1267">
        <v>19</v>
      </c>
      <c r="B19" s="1267" t="s">
        <v>248</v>
      </c>
      <c r="C19" s="1268">
        <v>0</v>
      </c>
      <c r="D19" s="1269">
        <v>422383.5</v>
      </c>
      <c r="E19" s="1270">
        <f t="shared" si="0"/>
        <v>422383.5</v>
      </c>
      <c r="F19" s="801"/>
      <c r="G19" s="801"/>
    </row>
    <row r="20" spans="1:7" customFormat="1" x14ac:dyDescent="0.35">
      <c r="A20" s="1267">
        <v>22</v>
      </c>
      <c r="B20" s="1267" t="s">
        <v>249</v>
      </c>
      <c r="C20" s="1268">
        <v>458560.60593000008</v>
      </c>
      <c r="D20" s="1269">
        <v>295844.60000000003</v>
      </c>
      <c r="E20" s="1270">
        <f t="shared" si="0"/>
        <v>754405.20593000017</v>
      </c>
      <c r="F20" s="801"/>
      <c r="G20" s="801"/>
    </row>
    <row r="21" spans="1:7" customFormat="1" x14ac:dyDescent="0.35">
      <c r="A21" s="1267">
        <v>23</v>
      </c>
      <c r="B21" s="1267" t="s">
        <v>250</v>
      </c>
      <c r="C21" s="1268">
        <v>0</v>
      </c>
      <c r="D21" s="1269">
        <v>562952.5</v>
      </c>
      <c r="E21" s="1270">
        <f t="shared" si="0"/>
        <v>562952.5</v>
      </c>
      <c r="F21" s="801"/>
      <c r="G21" s="801"/>
    </row>
    <row r="22" spans="1:7" customFormat="1" x14ac:dyDescent="0.35">
      <c r="A22" s="1267">
        <v>24</v>
      </c>
      <c r="B22" s="1267" t="s">
        <v>251</v>
      </c>
      <c r="C22" s="1268">
        <v>9752670.9755609985</v>
      </c>
      <c r="D22" s="1269">
        <v>419374.60000000003</v>
      </c>
      <c r="E22" s="1270">
        <f t="shared" si="0"/>
        <v>10172045.575560998</v>
      </c>
      <c r="F22" s="801"/>
      <c r="G22" s="801"/>
    </row>
    <row r="23" spans="1:7" customFormat="1" x14ac:dyDescent="0.35">
      <c r="A23" s="1267">
        <v>27</v>
      </c>
      <c r="B23" s="1267" t="s">
        <v>252</v>
      </c>
      <c r="C23" s="1268">
        <v>0</v>
      </c>
      <c r="D23" s="1269">
        <v>322958.90000000002</v>
      </c>
      <c r="E23" s="1270">
        <f t="shared" si="0"/>
        <v>322958.90000000002</v>
      </c>
      <c r="F23" s="801"/>
      <c r="G23" s="801"/>
    </row>
    <row r="24" spans="1:7" customFormat="1" x14ac:dyDescent="0.35">
      <c r="A24" s="1267">
        <v>28</v>
      </c>
      <c r="B24" s="1267" t="s">
        <v>253</v>
      </c>
      <c r="C24" s="1268">
        <v>0</v>
      </c>
      <c r="D24" s="1269">
        <v>166124.09999999998</v>
      </c>
      <c r="E24" s="1270">
        <f t="shared" si="0"/>
        <v>166124.09999999998</v>
      </c>
      <c r="F24" s="801"/>
      <c r="G24" s="801"/>
    </row>
    <row r="25" spans="1:7" customFormat="1" x14ac:dyDescent="0.35">
      <c r="A25" s="1267">
        <v>29</v>
      </c>
      <c r="B25" s="1267" t="s">
        <v>254</v>
      </c>
      <c r="C25" s="1268">
        <v>23453199.999999989</v>
      </c>
      <c r="D25" s="1269">
        <v>618220.80000000005</v>
      </c>
      <c r="E25" s="1270">
        <f t="shared" si="0"/>
        <v>24071420.79999999</v>
      </c>
      <c r="F25" s="801"/>
      <c r="G25" s="801"/>
    </row>
    <row r="26" spans="1:7" customFormat="1" x14ac:dyDescent="0.35">
      <c r="A26" s="1267">
        <v>30</v>
      </c>
      <c r="B26" s="1267" t="s">
        <v>255</v>
      </c>
      <c r="C26" s="1268">
        <v>0</v>
      </c>
      <c r="D26" s="1269">
        <v>64477.4</v>
      </c>
      <c r="E26" s="1270">
        <f t="shared" si="0"/>
        <v>64477.4</v>
      </c>
      <c r="F26" s="801"/>
      <c r="G26" s="801"/>
    </row>
    <row r="27" spans="1:7" customFormat="1" x14ac:dyDescent="0.35">
      <c r="A27" s="1267">
        <v>32</v>
      </c>
      <c r="B27" s="1267" t="s">
        <v>256</v>
      </c>
      <c r="C27" s="1268">
        <v>0</v>
      </c>
      <c r="D27" s="1269">
        <v>157025</v>
      </c>
      <c r="E27" s="1270">
        <f t="shared" si="0"/>
        <v>157025</v>
      </c>
      <c r="F27" s="801"/>
      <c r="G27" s="801"/>
    </row>
    <row r="28" spans="1:7" customFormat="1" x14ac:dyDescent="0.35">
      <c r="A28" s="1267">
        <v>33</v>
      </c>
      <c r="B28" s="1267" t="s">
        <v>257</v>
      </c>
      <c r="C28" s="1268">
        <v>0</v>
      </c>
      <c r="D28" s="1269">
        <v>254037.7</v>
      </c>
      <c r="E28" s="1270">
        <f t="shared" si="0"/>
        <v>254037.7</v>
      </c>
      <c r="F28" s="801"/>
      <c r="G28" s="801"/>
    </row>
    <row r="29" spans="1:7" customFormat="1" x14ac:dyDescent="0.35">
      <c r="A29" s="1267">
        <v>34</v>
      </c>
      <c r="B29" s="1267" t="s">
        <v>258</v>
      </c>
      <c r="C29" s="1268">
        <v>5343650.5046179993</v>
      </c>
      <c r="D29" s="1269">
        <v>207452.6</v>
      </c>
      <c r="E29" s="1270">
        <f t="shared" si="0"/>
        <v>5551103.1046179989</v>
      </c>
      <c r="F29" s="801"/>
      <c r="G29" s="801"/>
    </row>
    <row r="30" spans="1:7" customFormat="1" x14ac:dyDescent="0.35">
      <c r="A30" s="1267">
        <v>35</v>
      </c>
      <c r="B30" s="1267" t="s">
        <v>259</v>
      </c>
      <c r="C30" s="1268">
        <v>0</v>
      </c>
      <c r="D30" s="1269">
        <v>148386.40000000002</v>
      </c>
      <c r="E30" s="1270">
        <f t="shared" si="0"/>
        <v>148386.40000000002</v>
      </c>
      <c r="F30" s="801"/>
      <c r="G30" s="801"/>
    </row>
    <row r="31" spans="1:7" customFormat="1" x14ac:dyDescent="0.35">
      <c r="A31" s="1267">
        <v>37</v>
      </c>
      <c r="B31" s="1267" t="s">
        <v>260</v>
      </c>
      <c r="C31" s="1268">
        <v>0</v>
      </c>
      <c r="D31" s="1269">
        <v>192831.5</v>
      </c>
      <c r="E31" s="1270">
        <f t="shared" si="0"/>
        <v>192831.5</v>
      </c>
      <c r="F31" s="801"/>
      <c r="G31" s="801"/>
    </row>
    <row r="32" spans="1:7" customFormat="1" x14ac:dyDescent="0.35">
      <c r="A32" s="1267">
        <v>38</v>
      </c>
      <c r="B32" s="1267" t="s">
        <v>261</v>
      </c>
      <c r="C32" s="1268">
        <v>3978732.6140000001</v>
      </c>
      <c r="D32" s="1269">
        <v>228795.7</v>
      </c>
      <c r="E32" s="1270">
        <f t="shared" si="0"/>
        <v>4207528.3140000002</v>
      </c>
      <c r="F32" s="801"/>
      <c r="G32" s="801"/>
    </row>
    <row r="33" spans="1:7" customFormat="1" x14ac:dyDescent="0.35">
      <c r="A33" s="1267">
        <v>39</v>
      </c>
      <c r="B33" s="1267" t="s">
        <v>262</v>
      </c>
      <c r="C33" s="1268">
        <v>0</v>
      </c>
      <c r="D33" s="1269">
        <v>144499.9</v>
      </c>
      <c r="E33" s="1270">
        <f t="shared" si="0"/>
        <v>144499.9</v>
      </c>
      <c r="F33" s="801"/>
      <c r="G33" s="801"/>
    </row>
    <row r="34" spans="1:7" customFormat="1" x14ac:dyDescent="0.35">
      <c r="A34" s="1267">
        <v>40</v>
      </c>
      <c r="B34" s="1267" t="s">
        <v>263</v>
      </c>
      <c r="C34" s="1268">
        <v>0</v>
      </c>
      <c r="D34" s="1269">
        <v>254115.89999999994</v>
      </c>
      <c r="E34" s="1270">
        <f t="shared" si="0"/>
        <v>254115.89999999994</v>
      </c>
      <c r="F34" s="801"/>
      <c r="G34" s="801"/>
    </row>
    <row r="35" spans="1:7" customFormat="1" x14ac:dyDescent="0.35">
      <c r="A35" s="1267">
        <v>43</v>
      </c>
      <c r="B35" s="1267" t="s">
        <v>264</v>
      </c>
      <c r="C35" s="1268">
        <v>580332.93895700003</v>
      </c>
      <c r="D35" s="1269">
        <v>402010.8</v>
      </c>
      <c r="E35" s="1270">
        <f t="shared" si="0"/>
        <v>982343.73895699997</v>
      </c>
      <c r="F35" s="801"/>
      <c r="G35" s="801"/>
    </row>
    <row r="36" spans="1:7" customFormat="1" x14ac:dyDescent="0.35">
      <c r="A36" s="1267">
        <v>44</v>
      </c>
      <c r="B36" s="1267" t="s">
        <v>201</v>
      </c>
      <c r="C36" s="1268">
        <v>4194879.8708899999</v>
      </c>
      <c r="D36" s="1269">
        <v>432707.7</v>
      </c>
      <c r="E36" s="1270">
        <f t="shared" si="0"/>
        <v>4627587.5708900001</v>
      </c>
      <c r="F36" s="801"/>
      <c r="G36" s="801"/>
    </row>
    <row r="37" spans="1:7" customFormat="1" x14ac:dyDescent="0.35">
      <c r="A37" s="1267">
        <v>45</v>
      </c>
      <c r="B37" s="1267" t="s">
        <v>202</v>
      </c>
      <c r="C37" s="1268">
        <v>0</v>
      </c>
      <c r="D37" s="1269">
        <v>15059.800000000001</v>
      </c>
      <c r="E37" s="1270">
        <f t="shared" si="0"/>
        <v>15059.800000000001</v>
      </c>
      <c r="F37" s="801"/>
      <c r="G37" s="801"/>
    </row>
    <row r="38" spans="1:7" customFormat="1" x14ac:dyDescent="0.35">
      <c r="A38" s="1267">
        <v>48</v>
      </c>
      <c r="B38" s="1267" t="s">
        <v>265</v>
      </c>
      <c r="C38" s="1268">
        <v>0</v>
      </c>
      <c r="D38" s="1269">
        <v>286302.8</v>
      </c>
      <c r="E38" s="1270">
        <f t="shared" si="0"/>
        <v>286302.8</v>
      </c>
      <c r="F38" s="801"/>
      <c r="G38" s="801"/>
    </row>
    <row r="39" spans="1:7" customFormat="1" x14ac:dyDescent="0.35">
      <c r="A39" s="1267">
        <v>49</v>
      </c>
      <c r="B39" s="1267" t="s">
        <v>266</v>
      </c>
      <c r="C39" s="1268">
        <v>0</v>
      </c>
      <c r="D39" s="1269">
        <v>320267.60000000003</v>
      </c>
      <c r="E39" s="1270">
        <f t="shared" si="0"/>
        <v>320267.60000000003</v>
      </c>
      <c r="F39" s="801"/>
      <c r="G39" s="801"/>
    </row>
    <row r="40" spans="1:7" customFormat="1" x14ac:dyDescent="0.35">
      <c r="A40" s="1267">
        <v>51</v>
      </c>
      <c r="B40" s="1273" t="s">
        <v>267</v>
      </c>
      <c r="C40" s="1268">
        <v>0</v>
      </c>
      <c r="D40" s="1269">
        <v>226462.5</v>
      </c>
      <c r="E40" s="1270">
        <f t="shared" si="0"/>
        <v>226462.5</v>
      </c>
      <c r="F40" s="801"/>
      <c r="G40" s="801"/>
    </row>
    <row r="41" spans="1:7" customFormat="1" x14ac:dyDescent="0.35">
      <c r="A41" s="1267">
        <v>55</v>
      </c>
      <c r="B41" s="1267" t="s">
        <v>268</v>
      </c>
      <c r="C41" s="1268">
        <v>0</v>
      </c>
      <c r="D41" s="1269">
        <v>106467.90000000001</v>
      </c>
      <c r="E41" s="1270">
        <f t="shared" si="0"/>
        <v>106467.90000000001</v>
      </c>
      <c r="F41" s="801"/>
      <c r="G41" s="801"/>
    </row>
    <row r="42" spans="1:7" customFormat="1" x14ac:dyDescent="0.35">
      <c r="A42" s="1267">
        <v>60</v>
      </c>
      <c r="B42" s="1267" t="s">
        <v>269</v>
      </c>
      <c r="C42" s="1268">
        <v>0</v>
      </c>
      <c r="D42" s="1269">
        <v>48291.191999999995</v>
      </c>
      <c r="E42" s="1270">
        <f t="shared" si="0"/>
        <v>48291.191999999995</v>
      </c>
      <c r="F42" s="801"/>
      <c r="G42" s="801"/>
    </row>
    <row r="43" spans="1:7" customFormat="1" x14ac:dyDescent="0.35">
      <c r="A43" s="1267">
        <v>61</v>
      </c>
      <c r="B43" s="1273" t="s">
        <v>203</v>
      </c>
      <c r="C43" s="1268">
        <v>0</v>
      </c>
      <c r="D43" s="1269">
        <v>102371</v>
      </c>
      <c r="E43" s="1270">
        <f t="shared" si="0"/>
        <v>102371</v>
      </c>
      <c r="F43" s="801"/>
      <c r="G43" s="801"/>
    </row>
    <row r="44" spans="1:7" customFormat="1" x14ac:dyDescent="0.35">
      <c r="A44" s="1267">
        <v>62</v>
      </c>
      <c r="B44" s="1273" t="s">
        <v>270</v>
      </c>
      <c r="C44" s="1268">
        <v>0</v>
      </c>
      <c r="D44" s="1269">
        <v>262672.59999999998</v>
      </c>
      <c r="E44" s="1270">
        <f t="shared" si="0"/>
        <v>262672.59999999998</v>
      </c>
      <c r="F44" s="801"/>
      <c r="G44" s="801"/>
    </row>
    <row r="45" spans="1:7" customFormat="1" x14ac:dyDescent="0.35">
      <c r="A45" s="1267">
        <v>63</v>
      </c>
      <c r="B45" s="1267" t="s">
        <v>271</v>
      </c>
      <c r="C45" s="1268">
        <v>0</v>
      </c>
      <c r="D45" s="1269">
        <v>390826.3</v>
      </c>
      <c r="E45" s="1270">
        <f t="shared" si="0"/>
        <v>390826.3</v>
      </c>
      <c r="F45" s="801"/>
      <c r="G45" s="801"/>
    </row>
    <row r="46" spans="1:7" customFormat="1" x14ac:dyDescent="0.35">
      <c r="A46" s="1267">
        <v>64</v>
      </c>
      <c r="B46" s="1267" t="s">
        <v>272</v>
      </c>
      <c r="C46" s="1268">
        <v>0</v>
      </c>
      <c r="D46" s="1269">
        <v>59785.478999999999</v>
      </c>
      <c r="E46" s="1270">
        <f t="shared" si="0"/>
        <v>59785.478999999999</v>
      </c>
      <c r="F46" s="801"/>
      <c r="G46" s="801"/>
    </row>
    <row r="47" spans="1:7" customFormat="1" x14ac:dyDescent="0.35">
      <c r="A47" s="1267">
        <v>65</v>
      </c>
      <c r="B47" s="1267" t="s">
        <v>570</v>
      </c>
      <c r="C47" s="1268">
        <v>0</v>
      </c>
      <c r="D47" s="1269">
        <v>0</v>
      </c>
      <c r="E47" s="1270">
        <f t="shared" si="0"/>
        <v>0</v>
      </c>
      <c r="F47" s="801"/>
      <c r="G47" s="801"/>
    </row>
    <row r="48" spans="1:7" customFormat="1" x14ac:dyDescent="0.35">
      <c r="A48" s="1267">
        <v>2001</v>
      </c>
      <c r="B48" s="1267" t="s">
        <v>273</v>
      </c>
      <c r="C48" s="1268">
        <v>3901174.2492000004</v>
      </c>
      <c r="D48" s="1269">
        <v>120364.6</v>
      </c>
      <c r="E48" s="1270">
        <f t="shared" si="0"/>
        <v>4021538.8492000005</v>
      </c>
      <c r="F48" s="801"/>
      <c r="G48" s="801"/>
    </row>
    <row r="49" spans="1:15" customFormat="1" x14ac:dyDescent="0.35">
      <c r="A49" s="1267">
        <v>2004</v>
      </c>
      <c r="B49" s="1273" t="s">
        <v>274</v>
      </c>
      <c r="C49" s="1268">
        <v>4806656.7515949998</v>
      </c>
      <c r="D49" s="1269">
        <v>303789.3</v>
      </c>
      <c r="E49" s="1270">
        <f t="shared" si="0"/>
        <v>5110446.0515949996</v>
      </c>
      <c r="F49" s="801"/>
      <c r="G49" s="801"/>
    </row>
    <row r="50" spans="1:15" customFormat="1" x14ac:dyDescent="0.35">
      <c r="A50" s="1267">
        <v>3029</v>
      </c>
      <c r="B50" s="1273" t="s">
        <v>275</v>
      </c>
      <c r="C50" s="1268">
        <v>0</v>
      </c>
      <c r="D50" s="1269">
        <v>68932.729000000007</v>
      </c>
      <c r="E50" s="1270">
        <f t="shared" si="0"/>
        <v>68932.729000000007</v>
      </c>
      <c r="F50" s="801"/>
      <c r="G50" s="801"/>
    </row>
    <row r="51" spans="1:15" customFormat="1" x14ac:dyDescent="0.35">
      <c r="A51" s="1267">
        <v>3478</v>
      </c>
      <c r="B51" s="1273" t="s">
        <v>276</v>
      </c>
      <c r="C51" s="1268">
        <v>0</v>
      </c>
      <c r="D51" s="1269">
        <v>0</v>
      </c>
      <c r="E51" s="1270">
        <f t="shared" si="0"/>
        <v>0</v>
      </c>
      <c r="F51" s="801"/>
      <c r="G51" s="801"/>
    </row>
    <row r="52" spans="1:15" customFormat="1" x14ac:dyDescent="0.35">
      <c r="A52" s="1267">
        <v>4000</v>
      </c>
      <c r="B52" s="1267" t="s">
        <v>208</v>
      </c>
      <c r="C52" s="1268">
        <v>2371114.08</v>
      </c>
      <c r="D52" s="1269">
        <v>141516.4</v>
      </c>
      <c r="E52" s="1270">
        <f t="shared" si="0"/>
        <v>2512630.48</v>
      </c>
      <c r="F52" s="801"/>
      <c r="G52" s="801"/>
    </row>
    <row r="53" spans="1:15" customFormat="1" x14ac:dyDescent="0.35">
      <c r="A53" s="1267">
        <v>4013</v>
      </c>
      <c r="B53" s="1267" t="s">
        <v>235</v>
      </c>
      <c r="C53" s="1268">
        <v>0</v>
      </c>
      <c r="D53" s="1269">
        <v>0</v>
      </c>
      <c r="E53" s="1270">
        <f t="shared" si="0"/>
        <v>0</v>
      </c>
      <c r="F53" s="801"/>
      <c r="G53" s="801"/>
    </row>
    <row r="54" spans="1:15" customFormat="1" x14ac:dyDescent="0.35">
      <c r="A54" s="1267">
        <v>5034</v>
      </c>
      <c r="B54" s="1267" t="s">
        <v>277</v>
      </c>
      <c r="C54" s="1268">
        <v>0</v>
      </c>
      <c r="D54" s="1269">
        <v>60264.802930000013</v>
      </c>
      <c r="E54" s="1270">
        <f t="shared" si="0"/>
        <v>60264.802930000013</v>
      </c>
      <c r="F54" s="801"/>
      <c r="G54" s="801"/>
    </row>
    <row r="55" spans="1:15" s="760" customFormat="1" x14ac:dyDescent="0.35">
      <c r="A55" s="1267">
        <v>5050</v>
      </c>
      <c r="B55" s="1267" t="s">
        <v>278</v>
      </c>
      <c r="C55" s="1268">
        <v>0</v>
      </c>
      <c r="D55" s="1269">
        <v>389913.19999999995</v>
      </c>
      <c r="E55" s="1270">
        <f t="shared" si="0"/>
        <v>389913.19999999995</v>
      </c>
      <c r="F55" s="801"/>
      <c r="G55" s="801"/>
      <c r="I55" s="762"/>
      <c r="M55" s="762"/>
      <c r="N55" s="762"/>
      <c r="O55" s="763"/>
    </row>
    <row r="56" spans="1:15" s="760" customFormat="1" x14ac:dyDescent="0.35">
      <c r="A56" s="801"/>
      <c r="B56" s="6" t="s">
        <v>204</v>
      </c>
      <c r="C56" s="1316">
        <f>SUM(C4:C55)</f>
        <v>342769400.79290998</v>
      </c>
      <c r="D56" s="1316">
        <f>SUM(D3:D55)</f>
        <v>16218248.404930003</v>
      </c>
      <c r="E56" s="1316">
        <f>SUM(E3:E55)</f>
        <v>358987649.1978398</v>
      </c>
      <c r="F56" s="801"/>
      <c r="G56" s="801"/>
    </row>
  </sheetData>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56"/>
  <sheetViews>
    <sheetView showGridLines="0" zoomScale="70" zoomScaleNormal="70" zoomScaleSheetLayoutView="80" workbookViewId="0"/>
  </sheetViews>
  <sheetFormatPr defaultRowHeight="18" customHeight="1" x14ac:dyDescent="0.25"/>
  <cols>
    <col min="1" max="1" width="8.26953125" style="2" customWidth="1"/>
    <col min="2" max="2" width="55.453125" bestFit="1" customWidth="1"/>
    <col min="3" max="3" width="9.54296875" customWidth="1"/>
    <col min="5" max="5" width="12.453125" customWidth="1"/>
    <col min="6" max="6" width="18.54296875" customWidth="1"/>
    <col min="7" max="7" width="23.54296875" customWidth="1"/>
    <col min="8" max="8" width="17.26953125" customWidth="1"/>
    <col min="9" max="9" width="21.26953125" customWidth="1"/>
    <col min="10" max="10" width="19.7265625" customWidth="1"/>
    <col min="11" max="11" width="17.54296875" customWidth="1"/>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A4" s="633"/>
      <c r="B4" s="742"/>
      <c r="C4" s="742"/>
      <c r="D4" s="742"/>
      <c r="E4" s="742"/>
      <c r="F4" s="742"/>
      <c r="G4" s="742"/>
      <c r="H4" s="742"/>
      <c r="I4" s="742"/>
      <c r="J4" s="742"/>
      <c r="K4" s="742"/>
    </row>
    <row r="5" spans="1:11" ht="18" customHeight="1" x14ac:dyDescent="0.3">
      <c r="A5" s="633"/>
      <c r="B5" s="733" t="s">
        <v>40</v>
      </c>
      <c r="C5" s="1361" t="s">
        <v>571</v>
      </c>
      <c r="D5" s="1362"/>
      <c r="E5" s="1362"/>
      <c r="F5" s="1362"/>
      <c r="G5" s="1364"/>
      <c r="H5" s="742"/>
      <c r="I5" s="742"/>
      <c r="J5" s="742"/>
      <c r="K5" s="742"/>
    </row>
    <row r="6" spans="1:11" ht="18" customHeight="1" x14ac:dyDescent="0.3">
      <c r="A6" s="633"/>
      <c r="B6" s="733" t="s">
        <v>3</v>
      </c>
      <c r="C6" s="1377" t="s">
        <v>414</v>
      </c>
      <c r="D6" s="1378"/>
      <c r="E6" s="1378"/>
      <c r="F6" s="1378"/>
      <c r="G6" s="1379"/>
      <c r="H6" s="742"/>
      <c r="I6" s="742"/>
      <c r="J6" s="742"/>
      <c r="K6" s="742"/>
    </row>
    <row r="7" spans="1:11" ht="18" customHeight="1" x14ac:dyDescent="0.3">
      <c r="A7" s="633"/>
      <c r="B7" s="733" t="s">
        <v>4</v>
      </c>
      <c r="C7" s="1368"/>
      <c r="D7" s="1369"/>
      <c r="E7" s="1369"/>
      <c r="F7" s="1369"/>
      <c r="G7" s="1370"/>
      <c r="H7" s="742"/>
      <c r="I7" s="742"/>
      <c r="J7" s="742"/>
      <c r="K7" s="742"/>
    </row>
    <row r="8" spans="1:11" ht="18" customHeight="1" x14ac:dyDescent="0.25">
      <c r="A8" s="633"/>
      <c r="B8" s="742"/>
      <c r="C8" s="742"/>
      <c r="D8" s="742"/>
      <c r="E8" s="742"/>
      <c r="F8" s="742"/>
      <c r="G8" s="742"/>
      <c r="H8" s="742"/>
      <c r="I8" s="742"/>
      <c r="J8" s="742"/>
      <c r="K8" s="742"/>
    </row>
    <row r="9" spans="1:11" ht="18" customHeight="1" x14ac:dyDescent="0.3">
      <c r="A9" s="633"/>
      <c r="B9" s="733" t="s">
        <v>1</v>
      </c>
      <c r="C9" s="1361" t="s">
        <v>572</v>
      </c>
      <c r="D9" s="1362"/>
      <c r="E9" s="1362"/>
      <c r="F9" s="1362"/>
      <c r="G9" s="1364"/>
      <c r="H9" s="742"/>
      <c r="I9" s="742"/>
      <c r="J9" s="742"/>
      <c r="K9" s="742"/>
    </row>
    <row r="10" spans="1:11" ht="18" customHeight="1" x14ac:dyDescent="0.3">
      <c r="A10" s="633"/>
      <c r="B10" s="733" t="s">
        <v>2</v>
      </c>
      <c r="C10" s="1371" t="s">
        <v>708</v>
      </c>
      <c r="D10" s="1372"/>
      <c r="E10" s="1372"/>
      <c r="F10" s="1372"/>
      <c r="G10" s="1373"/>
      <c r="H10" s="742"/>
      <c r="I10" s="742"/>
      <c r="J10" s="742"/>
      <c r="K10" s="742"/>
    </row>
    <row r="11" spans="1:11" ht="18" customHeight="1" x14ac:dyDescent="0.3">
      <c r="A11" s="633"/>
      <c r="B11" s="733" t="s">
        <v>32</v>
      </c>
      <c r="C11" s="1361" t="s">
        <v>377</v>
      </c>
      <c r="D11" s="1362"/>
      <c r="E11" s="1362"/>
      <c r="F11" s="1362"/>
      <c r="G11" s="1362"/>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646" t="s">
        <v>73</v>
      </c>
      <c r="G18" s="646" t="s">
        <v>73</v>
      </c>
      <c r="H18" s="647">
        <v>6472258</v>
      </c>
      <c r="I18" s="673">
        <v>0</v>
      </c>
      <c r="J18" s="647">
        <v>5470335</v>
      </c>
      <c r="K18" s="648">
        <f>(H18+I18)-J18</f>
        <v>1001923</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646">
        <v>30</v>
      </c>
      <c r="G21" s="646">
        <v>2159</v>
      </c>
      <c r="H21" s="647">
        <v>3600</v>
      </c>
      <c r="I21" s="673">
        <f t="shared" ref="I21:I34" si="0">H21*F$114</f>
        <v>2694.7206883435424</v>
      </c>
      <c r="J21" s="647"/>
      <c r="K21" s="648">
        <f t="shared" ref="K21:K34" si="1">(H21+I21)-J21</f>
        <v>6294.7206883435429</v>
      </c>
    </row>
    <row r="22" spans="1:11" ht="18" customHeight="1" x14ac:dyDescent="0.3">
      <c r="A22" s="733" t="s">
        <v>76</v>
      </c>
      <c r="B22" s="742" t="s">
        <v>6</v>
      </c>
      <c r="C22" s="742"/>
      <c r="D22" s="742"/>
      <c r="E22" s="742"/>
      <c r="F22" s="646">
        <f>18+192</f>
        <v>210</v>
      </c>
      <c r="G22" s="646">
        <f>144+24</f>
        <v>168</v>
      </c>
      <c r="H22" s="647"/>
      <c r="I22" s="673">
        <f t="shared" si="0"/>
        <v>0</v>
      </c>
      <c r="J22" s="647"/>
      <c r="K22" s="648">
        <f t="shared" si="1"/>
        <v>0</v>
      </c>
    </row>
    <row r="23" spans="1:11" ht="18" customHeight="1" x14ac:dyDescent="0.3">
      <c r="A23" s="733" t="s">
        <v>77</v>
      </c>
      <c r="B23" s="742" t="s">
        <v>43</v>
      </c>
      <c r="C23" s="742"/>
      <c r="D23" s="742"/>
      <c r="E23" s="742"/>
      <c r="F23" s="646"/>
      <c r="G23" s="646"/>
      <c r="H23" s="647"/>
      <c r="I23" s="673">
        <f t="shared" si="0"/>
        <v>0</v>
      </c>
      <c r="J23" s="647"/>
      <c r="K23" s="648">
        <f t="shared" si="1"/>
        <v>0</v>
      </c>
    </row>
    <row r="24" spans="1:11" ht="18" customHeight="1" x14ac:dyDescent="0.3">
      <c r="A24" s="733" t="s">
        <v>78</v>
      </c>
      <c r="B24" s="742" t="s">
        <v>44</v>
      </c>
      <c r="C24" s="742"/>
      <c r="D24" s="742"/>
      <c r="E24" s="742"/>
      <c r="F24" s="646"/>
      <c r="G24" s="646"/>
      <c r="H24" s="647"/>
      <c r="I24" s="673">
        <f t="shared" si="0"/>
        <v>0</v>
      </c>
      <c r="J24" s="647"/>
      <c r="K24" s="648">
        <f t="shared" si="1"/>
        <v>0</v>
      </c>
    </row>
    <row r="25" spans="1:11" ht="18" customHeight="1" x14ac:dyDescent="0.3">
      <c r="A25" s="733" t="s">
        <v>79</v>
      </c>
      <c r="B25" s="742" t="s">
        <v>5</v>
      </c>
      <c r="C25" s="742"/>
      <c r="D25" s="742"/>
      <c r="E25" s="742"/>
      <c r="F25" s="646">
        <v>278</v>
      </c>
      <c r="G25" s="646">
        <v>990</v>
      </c>
      <c r="H25" s="647">
        <v>5082</v>
      </c>
      <c r="I25" s="673">
        <f t="shared" si="0"/>
        <v>3804.0473717116338</v>
      </c>
      <c r="J25" s="647"/>
      <c r="K25" s="648">
        <f t="shared" si="1"/>
        <v>8886.0473717116329</v>
      </c>
    </row>
    <row r="26" spans="1:11" ht="18" customHeight="1" x14ac:dyDescent="0.3">
      <c r="A26" s="733" t="s">
        <v>80</v>
      </c>
      <c r="B26" s="742" t="s">
        <v>45</v>
      </c>
      <c r="C26" s="742"/>
      <c r="D26" s="742"/>
      <c r="E26" s="742"/>
      <c r="F26" s="646">
        <v>8</v>
      </c>
      <c r="G26" s="646">
        <v>20</v>
      </c>
      <c r="H26" s="647">
        <v>477</v>
      </c>
      <c r="I26" s="673">
        <f t="shared" si="0"/>
        <v>357.05049120551934</v>
      </c>
      <c r="J26" s="647"/>
      <c r="K26" s="648">
        <f t="shared" si="1"/>
        <v>834.05049120551939</v>
      </c>
    </row>
    <row r="27" spans="1:11" ht="18" customHeight="1" x14ac:dyDescent="0.3">
      <c r="A27" s="733" t="s">
        <v>81</v>
      </c>
      <c r="B27" s="742" t="s">
        <v>46</v>
      </c>
      <c r="C27" s="742"/>
      <c r="D27" s="742"/>
      <c r="E27" s="742"/>
      <c r="F27" s="646"/>
      <c r="G27" s="646"/>
      <c r="H27" s="647"/>
      <c r="I27" s="673">
        <f t="shared" si="0"/>
        <v>0</v>
      </c>
      <c r="J27" s="647"/>
      <c r="K27" s="648">
        <f t="shared" si="1"/>
        <v>0</v>
      </c>
    </row>
    <row r="28" spans="1:11" ht="18" customHeight="1" x14ac:dyDescent="0.3">
      <c r="A28" s="733" t="s">
        <v>82</v>
      </c>
      <c r="B28" s="742" t="s">
        <v>47</v>
      </c>
      <c r="C28" s="742"/>
      <c r="D28" s="742"/>
      <c r="E28" s="742"/>
      <c r="F28" s="646"/>
      <c r="G28" s="646"/>
      <c r="H28" s="647"/>
      <c r="I28" s="673">
        <f t="shared" si="0"/>
        <v>0</v>
      </c>
      <c r="J28" s="647"/>
      <c r="K28" s="648">
        <f t="shared" si="1"/>
        <v>0</v>
      </c>
    </row>
    <row r="29" spans="1:11" ht="18" customHeight="1" x14ac:dyDescent="0.3">
      <c r="A29" s="733" t="s">
        <v>83</v>
      </c>
      <c r="B29" s="742" t="s">
        <v>48</v>
      </c>
      <c r="C29" s="742"/>
      <c r="D29" s="742"/>
      <c r="E29" s="742"/>
      <c r="F29" s="646"/>
      <c r="G29" s="646">
        <v>7</v>
      </c>
      <c r="H29" s="647">
        <f>+'[8]A30 Healthcare Support'!$G$21</f>
        <v>1084184.8432934657</v>
      </c>
      <c r="I29" s="673">
        <f t="shared" si="0"/>
        <v>811548.70200316759</v>
      </c>
      <c r="J29" s="647"/>
      <c r="K29" s="648">
        <f t="shared" si="1"/>
        <v>1895733.5452966332</v>
      </c>
    </row>
    <row r="30" spans="1:11" ht="18" customHeight="1" x14ac:dyDescent="0.3">
      <c r="A30" s="733" t="s">
        <v>84</v>
      </c>
      <c r="B30" s="1351"/>
      <c r="C30" s="1352"/>
      <c r="D30" s="1353"/>
      <c r="E30" s="742"/>
      <c r="F30" s="646"/>
      <c r="G30" s="646"/>
      <c r="H30" s="647"/>
      <c r="I30" s="673">
        <f t="shared" si="0"/>
        <v>0</v>
      </c>
      <c r="J30" s="647"/>
      <c r="K30" s="648">
        <f t="shared" si="1"/>
        <v>0</v>
      </c>
    </row>
    <row r="31" spans="1:11" ht="18" customHeight="1" x14ac:dyDescent="0.3">
      <c r="A31" s="733" t="s">
        <v>133</v>
      </c>
      <c r="B31" s="1351"/>
      <c r="C31" s="1352"/>
      <c r="D31" s="1353"/>
      <c r="E31" s="742"/>
      <c r="F31" s="646"/>
      <c r="G31" s="646"/>
      <c r="H31" s="647"/>
      <c r="I31" s="673">
        <f t="shared" si="0"/>
        <v>0</v>
      </c>
      <c r="J31" s="647"/>
      <c r="K31" s="648">
        <f t="shared" si="1"/>
        <v>0</v>
      </c>
    </row>
    <row r="32" spans="1:11" ht="18" customHeight="1" x14ac:dyDescent="0.3">
      <c r="A32" s="733" t="s">
        <v>134</v>
      </c>
      <c r="B32" s="845"/>
      <c r="C32" s="846"/>
      <c r="D32" s="847"/>
      <c r="E32" s="742"/>
      <c r="F32" s="646"/>
      <c r="G32" s="675"/>
      <c r="H32" s="647"/>
      <c r="I32" s="673">
        <f t="shared" si="0"/>
        <v>0</v>
      </c>
      <c r="J32" s="647"/>
      <c r="K32" s="648">
        <f t="shared" si="1"/>
        <v>0</v>
      </c>
    </row>
    <row r="33" spans="1:11" ht="18" customHeight="1" x14ac:dyDescent="0.3">
      <c r="A33" s="733" t="s">
        <v>135</v>
      </c>
      <c r="B33" s="845"/>
      <c r="C33" s="846"/>
      <c r="D33" s="847"/>
      <c r="E33" s="742"/>
      <c r="F33" s="646"/>
      <c r="G33" s="675"/>
      <c r="H33" s="647"/>
      <c r="I33" s="673">
        <f t="shared" si="0"/>
        <v>0</v>
      </c>
      <c r="J33" s="647"/>
      <c r="K33" s="648">
        <f t="shared" si="1"/>
        <v>0</v>
      </c>
    </row>
    <row r="34" spans="1:11" ht="18" customHeight="1" x14ac:dyDescent="0.3">
      <c r="A34" s="733" t="s">
        <v>136</v>
      </c>
      <c r="B34" s="1351"/>
      <c r="C34" s="1352"/>
      <c r="D34" s="1353"/>
      <c r="E34" s="742"/>
      <c r="F34" s="646"/>
      <c r="G34" s="675"/>
      <c r="H34" s="647"/>
      <c r="I34" s="673">
        <f t="shared" si="0"/>
        <v>0</v>
      </c>
      <c r="J34" s="647"/>
      <c r="K34" s="648">
        <f t="shared" si="1"/>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526</v>
      </c>
      <c r="G36" s="650">
        <f t="shared" si="2"/>
        <v>3344</v>
      </c>
      <c r="H36" s="650">
        <f t="shared" si="2"/>
        <v>1093343.8432934657</v>
      </c>
      <c r="I36" s="648">
        <f t="shared" si="2"/>
        <v>818404.52055442834</v>
      </c>
      <c r="J36" s="648">
        <f t="shared" si="2"/>
        <v>0</v>
      </c>
      <c r="K36" s="648">
        <f t="shared" si="2"/>
        <v>1911748.3638478939</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646">
        <v>171897</v>
      </c>
      <c r="G40" s="646"/>
      <c r="H40" s="647">
        <f>+'[8]B10 Med Students'!$C$68</f>
        <v>4399736.8499999987</v>
      </c>
      <c r="I40" s="673">
        <v>0</v>
      </c>
      <c r="J40" s="647"/>
      <c r="K40" s="648">
        <f t="shared" ref="K40:K47" si="3">(H40+I40)-J40</f>
        <v>4399736.8499999987</v>
      </c>
    </row>
    <row r="41" spans="1:11" ht="18" customHeight="1" x14ac:dyDescent="0.3">
      <c r="A41" s="733" t="s">
        <v>88</v>
      </c>
      <c r="B41" s="1359" t="s">
        <v>50</v>
      </c>
      <c r="C41" s="1359"/>
      <c r="D41" s="742"/>
      <c r="E41" s="742"/>
      <c r="F41" s="646">
        <v>1870</v>
      </c>
      <c r="G41" s="646"/>
      <c r="H41" s="647">
        <v>78540</v>
      </c>
      <c r="I41" s="673">
        <v>0</v>
      </c>
      <c r="J41" s="647"/>
      <c r="K41" s="648">
        <f t="shared" si="3"/>
        <v>78540</v>
      </c>
    </row>
    <row r="42" spans="1:11" ht="18" customHeight="1" x14ac:dyDescent="0.3">
      <c r="A42" s="733" t="s">
        <v>89</v>
      </c>
      <c r="B42" s="635" t="s">
        <v>11</v>
      </c>
      <c r="C42" s="742"/>
      <c r="D42" s="742"/>
      <c r="E42" s="742"/>
      <c r="F42" s="646"/>
      <c r="G42" s="646"/>
      <c r="H42" s="647"/>
      <c r="I42" s="673">
        <v>0</v>
      </c>
      <c r="J42" s="647"/>
      <c r="K42" s="648">
        <f t="shared" si="3"/>
        <v>0</v>
      </c>
    </row>
    <row r="43" spans="1:11" ht="18" customHeight="1" x14ac:dyDescent="0.3">
      <c r="A43" s="733" t="s">
        <v>90</v>
      </c>
      <c r="B43" s="670" t="s">
        <v>10</v>
      </c>
      <c r="C43" s="642"/>
      <c r="D43" s="642"/>
      <c r="E43" s="742"/>
      <c r="F43" s="646"/>
      <c r="G43" s="646"/>
      <c r="H43" s="647"/>
      <c r="I43" s="673">
        <v>0</v>
      </c>
      <c r="J43" s="647"/>
      <c r="K43" s="648">
        <f t="shared" si="3"/>
        <v>0</v>
      </c>
    </row>
    <row r="44" spans="1:11" ht="18" customHeight="1" x14ac:dyDescent="0.3">
      <c r="A44" s="733" t="s">
        <v>91</v>
      </c>
      <c r="B44" s="1351"/>
      <c r="C44" s="1352"/>
      <c r="D44" s="1353"/>
      <c r="E44" s="742"/>
      <c r="F44" s="677"/>
      <c r="G44" s="677"/>
      <c r="H44" s="677"/>
      <c r="I44" s="678">
        <v>0</v>
      </c>
      <c r="J44" s="677"/>
      <c r="K44" s="679">
        <f t="shared" si="3"/>
        <v>0</v>
      </c>
    </row>
    <row r="45" spans="1:11" ht="18" customHeight="1" x14ac:dyDescent="0.3">
      <c r="A45" s="733" t="s">
        <v>139</v>
      </c>
      <c r="B45" s="1351"/>
      <c r="C45" s="1352"/>
      <c r="D45" s="1353"/>
      <c r="E45" s="742"/>
      <c r="F45" s="646"/>
      <c r="G45" s="646"/>
      <c r="H45" s="647"/>
      <c r="I45" s="673">
        <v>0</v>
      </c>
      <c r="J45" s="647"/>
      <c r="K45" s="648">
        <f t="shared" si="3"/>
        <v>0</v>
      </c>
    </row>
    <row r="46" spans="1:11" ht="18" customHeight="1" x14ac:dyDescent="0.3">
      <c r="A46" s="733" t="s">
        <v>140</v>
      </c>
      <c r="B46" s="1351"/>
      <c r="C46" s="1352"/>
      <c r="D46" s="1353"/>
      <c r="E46" s="742"/>
      <c r="F46" s="646"/>
      <c r="G46" s="646"/>
      <c r="H46" s="647"/>
      <c r="I46" s="673">
        <v>0</v>
      </c>
      <c r="J46" s="647"/>
      <c r="K46" s="648">
        <f t="shared" si="3"/>
        <v>0</v>
      </c>
    </row>
    <row r="47" spans="1:11" ht="18" customHeight="1" x14ac:dyDescent="0.3">
      <c r="A47" s="733" t="s">
        <v>141</v>
      </c>
      <c r="B47" s="1351"/>
      <c r="C47" s="1352"/>
      <c r="D47" s="1353"/>
      <c r="E47" s="742"/>
      <c r="F47" s="646"/>
      <c r="G47" s="646"/>
      <c r="H47" s="647"/>
      <c r="I47" s="673">
        <v>0</v>
      </c>
      <c r="J47" s="647"/>
      <c r="K47" s="648">
        <f t="shared" si="3"/>
        <v>0</v>
      </c>
    </row>
    <row r="48" spans="1:11" ht="18" customHeight="1" x14ac:dyDescent="0.25">
      <c r="A48" s="633"/>
      <c r="B48" s="742"/>
      <c r="C48" s="742"/>
      <c r="D48" s="742"/>
      <c r="E48" s="742"/>
      <c r="F48" s="742"/>
      <c r="G48" s="742"/>
      <c r="H48" s="742"/>
      <c r="I48" s="742"/>
      <c r="J48" s="742"/>
      <c r="K48" s="742"/>
    </row>
    <row r="49" spans="1:11" ht="18" customHeight="1" x14ac:dyDescent="0.3">
      <c r="A49" s="639" t="s">
        <v>142</v>
      </c>
      <c r="B49" s="636" t="s">
        <v>143</v>
      </c>
      <c r="C49" s="742"/>
      <c r="D49" s="742"/>
      <c r="E49" s="636" t="s">
        <v>7</v>
      </c>
      <c r="F49" s="654">
        <f t="shared" ref="F49:K49" si="4">SUM(F40:F47)</f>
        <v>173767</v>
      </c>
      <c r="G49" s="654">
        <f t="shared" si="4"/>
        <v>0</v>
      </c>
      <c r="H49" s="648">
        <f t="shared" si="4"/>
        <v>4478276.8499999987</v>
      </c>
      <c r="I49" s="648">
        <f t="shared" si="4"/>
        <v>0</v>
      </c>
      <c r="J49" s="648">
        <f t="shared" si="4"/>
        <v>0</v>
      </c>
      <c r="K49" s="648">
        <f t="shared" si="4"/>
        <v>4478276.8499999987</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573</v>
      </c>
      <c r="C53" s="1355"/>
      <c r="D53" s="1356"/>
      <c r="E53" s="742"/>
      <c r="F53" s="646"/>
      <c r="G53" s="646"/>
      <c r="H53" s="647">
        <f>+'[8]Section C DHA'!$D$283</f>
        <v>7591457.8600000003</v>
      </c>
      <c r="I53" s="673">
        <v>0</v>
      </c>
      <c r="J53" s="647">
        <v>0</v>
      </c>
      <c r="K53" s="648">
        <f t="shared" ref="K53:K62" si="5">(H53+I53)-J53</f>
        <v>7591457.8600000003</v>
      </c>
    </row>
    <row r="54" spans="1:11" ht="18" customHeight="1" x14ac:dyDescent="0.3">
      <c r="A54" s="733" t="s">
        <v>93</v>
      </c>
      <c r="B54" s="848" t="s">
        <v>415</v>
      </c>
      <c r="C54" s="849"/>
      <c r="D54" s="850"/>
      <c r="E54" s="742"/>
      <c r="F54" s="646">
        <v>23920</v>
      </c>
      <c r="G54" s="646"/>
      <c r="H54" s="647">
        <f>+'[8]Section C DHA'!$D$284</f>
        <v>5942799.972376327</v>
      </c>
      <c r="I54" s="673">
        <v>0</v>
      </c>
      <c r="J54" s="647">
        <f>+'[8]Section C DHA'!$F$284</f>
        <v>856159.92999999993</v>
      </c>
      <c r="K54" s="648">
        <f t="shared" si="5"/>
        <v>5086640.0423763273</v>
      </c>
    </row>
    <row r="55" spans="1:11" ht="18" customHeight="1" x14ac:dyDescent="0.3">
      <c r="A55" s="733" t="s">
        <v>94</v>
      </c>
      <c r="B55" s="848" t="s">
        <v>379</v>
      </c>
      <c r="C55" s="848"/>
      <c r="D55" s="848"/>
      <c r="E55" s="742"/>
      <c r="F55" s="646">
        <v>33987</v>
      </c>
      <c r="G55" s="646"/>
      <c r="H55" s="647">
        <f>+'[8]Section C DHA'!$D$285</f>
        <v>5849192.781932815</v>
      </c>
      <c r="I55" s="673">
        <v>0</v>
      </c>
      <c r="J55" s="647">
        <f>+'[8]Section C DHA'!$F$285</f>
        <v>1138410.8499999999</v>
      </c>
      <c r="K55" s="648">
        <f t="shared" si="5"/>
        <v>4710781.9319328154</v>
      </c>
    </row>
    <row r="56" spans="1:11" ht="18" customHeight="1" x14ac:dyDescent="0.3">
      <c r="A56" s="733" t="s">
        <v>95</v>
      </c>
      <c r="B56" s="848" t="s">
        <v>378</v>
      </c>
      <c r="C56" s="848"/>
      <c r="D56" s="848"/>
      <c r="E56" s="742"/>
      <c r="F56" s="646">
        <v>13140</v>
      </c>
      <c r="G56" s="646"/>
      <c r="H56" s="647">
        <f>+'[8]Section C DHA'!$D$286</f>
        <v>7159624.0100426208</v>
      </c>
      <c r="I56" s="673">
        <v>0</v>
      </c>
      <c r="J56" s="647">
        <f>+'[8]Section C DHA'!$F$286</f>
        <v>2065640.8400000003</v>
      </c>
      <c r="K56" s="648">
        <f t="shared" si="5"/>
        <v>5093983.170042621</v>
      </c>
    </row>
    <row r="57" spans="1:11" ht="18" customHeight="1" x14ac:dyDescent="0.3">
      <c r="A57" s="733" t="s">
        <v>96</v>
      </c>
      <c r="B57" s="848" t="s">
        <v>416</v>
      </c>
      <c r="C57" s="848"/>
      <c r="D57" s="848"/>
      <c r="E57" s="742"/>
      <c r="F57" s="646">
        <v>5404</v>
      </c>
      <c r="G57" s="646"/>
      <c r="H57" s="647">
        <f>+'[8]Section C DHA'!$D$287</f>
        <v>4375487.4317364786</v>
      </c>
      <c r="I57" s="673">
        <v>0</v>
      </c>
      <c r="J57" s="647">
        <f>+'[8]Section C DHA'!$F$287</f>
        <v>239016.77999999997</v>
      </c>
      <c r="K57" s="648">
        <f t="shared" si="5"/>
        <v>4136470.6517364788</v>
      </c>
    </row>
    <row r="58" spans="1:11" ht="18" customHeight="1" x14ac:dyDescent="0.3">
      <c r="A58" s="733" t="s">
        <v>97</v>
      </c>
      <c r="B58" s="848" t="s">
        <v>574</v>
      </c>
      <c r="C58" s="848"/>
      <c r="D58" s="848"/>
      <c r="E58" s="742"/>
      <c r="F58" s="646">
        <v>59488</v>
      </c>
      <c r="G58" s="646"/>
      <c r="H58" s="647">
        <f>+'[8]Section C DHA'!$D$288</f>
        <v>6605242.7944946606</v>
      </c>
      <c r="I58" s="673">
        <v>0</v>
      </c>
      <c r="J58" s="647">
        <f>+'[8]Section C DHA'!$F$288</f>
        <v>2080322.9000000001</v>
      </c>
      <c r="K58" s="648">
        <f t="shared" si="5"/>
        <v>4524919.8944946602</v>
      </c>
    </row>
    <row r="59" spans="1:11" ht="18" customHeight="1" x14ac:dyDescent="0.3">
      <c r="A59" s="733" t="s">
        <v>98</v>
      </c>
      <c r="B59" s="1354" t="s">
        <v>381</v>
      </c>
      <c r="C59" s="1355"/>
      <c r="D59" s="1356"/>
      <c r="E59" s="742"/>
      <c r="F59" s="646"/>
      <c r="G59" s="646"/>
      <c r="H59" s="647">
        <f>+'[8]Section C DHA'!$D$289</f>
        <v>1211064.6599999999</v>
      </c>
      <c r="I59" s="673">
        <v>0</v>
      </c>
      <c r="J59" s="647">
        <v>0</v>
      </c>
      <c r="K59" s="648">
        <f t="shared" si="5"/>
        <v>1211064.6599999999</v>
      </c>
    </row>
    <row r="60" spans="1:11" ht="18" customHeight="1" x14ac:dyDescent="0.3">
      <c r="A60" s="733" t="s">
        <v>99</v>
      </c>
      <c r="B60" s="848" t="s">
        <v>575</v>
      </c>
      <c r="C60" s="849"/>
      <c r="D60" s="850"/>
      <c r="E60" s="742"/>
      <c r="F60" s="646"/>
      <c r="G60" s="646"/>
      <c r="H60" s="647">
        <f>+'[8]Section C DHA'!$D$290</f>
        <v>2348308.1578045315</v>
      </c>
      <c r="I60" s="673">
        <v>0</v>
      </c>
      <c r="J60" s="647">
        <f>+'[8]Section C DHA'!$F$290</f>
        <v>750930.7799999998</v>
      </c>
      <c r="K60" s="648">
        <f t="shared" si="5"/>
        <v>1597377.3778045317</v>
      </c>
    </row>
    <row r="61" spans="1:11" ht="18" customHeight="1" x14ac:dyDescent="0.3">
      <c r="A61" s="733" t="s">
        <v>100</v>
      </c>
      <c r="B61" s="848" t="s">
        <v>576</v>
      </c>
      <c r="C61" s="849"/>
      <c r="D61" s="850"/>
      <c r="E61" s="742"/>
      <c r="F61" s="646">
        <v>0</v>
      </c>
      <c r="G61" s="646"/>
      <c r="H61" s="647">
        <f>+'[8]Section C DHA'!$D$291</f>
        <v>708978.41999999981</v>
      </c>
      <c r="I61" s="673">
        <v>0</v>
      </c>
      <c r="J61" s="647">
        <v>0</v>
      </c>
      <c r="K61" s="648">
        <f t="shared" si="5"/>
        <v>708978.41999999981</v>
      </c>
    </row>
    <row r="62" spans="1:11" ht="18" customHeight="1" x14ac:dyDescent="0.3">
      <c r="A62" s="733" t="s">
        <v>101</v>
      </c>
      <c r="B62" s="1354" t="s">
        <v>409</v>
      </c>
      <c r="C62" s="1355"/>
      <c r="D62" s="1356"/>
      <c r="E62" s="742"/>
      <c r="F62" s="646"/>
      <c r="G62" s="646"/>
      <c r="H62" s="647">
        <f>+'[8]Section C DHA'!$D$292</f>
        <v>1900527.77</v>
      </c>
      <c r="I62" s="673">
        <v>0</v>
      </c>
      <c r="J62" s="647">
        <v>0</v>
      </c>
      <c r="K62" s="648">
        <f t="shared" si="5"/>
        <v>1900527.77</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6">SUM(F53:F62)</f>
        <v>135939</v>
      </c>
      <c r="G64" s="650">
        <f t="shared" si="6"/>
        <v>0</v>
      </c>
      <c r="H64" s="648">
        <f t="shared" si="6"/>
        <v>43692683.858387433</v>
      </c>
      <c r="I64" s="648">
        <f t="shared" si="6"/>
        <v>0</v>
      </c>
      <c r="J64" s="648">
        <f t="shared" si="6"/>
        <v>7130482.0800000001</v>
      </c>
      <c r="K64" s="648">
        <f t="shared" si="6"/>
        <v>36562201.778387442</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674"/>
      <c r="G68" s="674"/>
      <c r="H68" s="674"/>
      <c r="I68" s="673">
        <v>0</v>
      </c>
      <c r="J68" s="674"/>
      <c r="K68" s="648">
        <f>(H68+I68)-J68</f>
        <v>0</v>
      </c>
    </row>
    <row r="69" spans="1:11" ht="18" customHeight="1" x14ac:dyDescent="0.3">
      <c r="A69" s="733" t="s">
        <v>104</v>
      </c>
      <c r="B69" s="635" t="s">
        <v>53</v>
      </c>
      <c r="C69" s="742"/>
      <c r="D69" s="742"/>
      <c r="E69" s="742"/>
      <c r="F69" s="674"/>
      <c r="G69" s="674"/>
      <c r="H69" s="674"/>
      <c r="I69" s="673">
        <v>0</v>
      </c>
      <c r="J69" s="674"/>
      <c r="K69" s="648">
        <f>(H69+I69)-J69</f>
        <v>0</v>
      </c>
    </row>
    <row r="70" spans="1:11" ht="18" customHeight="1" x14ac:dyDescent="0.3">
      <c r="A70" s="733" t="s">
        <v>178</v>
      </c>
      <c r="B70" s="848"/>
      <c r="C70" s="849"/>
      <c r="D70" s="850"/>
      <c r="E70" s="636"/>
      <c r="F70" s="658"/>
      <c r="G70" s="658"/>
      <c r="H70" s="659"/>
      <c r="I70" s="673">
        <v>0</v>
      </c>
      <c r="J70" s="659"/>
      <c r="K70" s="648">
        <f>(H70+I70)-J70</f>
        <v>0</v>
      </c>
    </row>
    <row r="71" spans="1:11" ht="18" customHeight="1" x14ac:dyDescent="0.3">
      <c r="A71" s="733" t="s">
        <v>179</v>
      </c>
      <c r="B71" s="848"/>
      <c r="C71" s="849"/>
      <c r="D71" s="850"/>
      <c r="E71" s="636"/>
      <c r="F71" s="658"/>
      <c r="G71" s="658"/>
      <c r="H71" s="659"/>
      <c r="I71" s="673">
        <v>0</v>
      </c>
      <c r="J71" s="659"/>
      <c r="K71" s="648">
        <f>(H71+I71)-J71</f>
        <v>0</v>
      </c>
    </row>
    <row r="72" spans="1:11" ht="18" customHeight="1" x14ac:dyDescent="0.3">
      <c r="A72" s="733" t="s">
        <v>180</v>
      </c>
      <c r="B72" s="890"/>
      <c r="C72" s="851"/>
      <c r="D72" s="657"/>
      <c r="E72" s="636"/>
      <c r="F72" s="646"/>
      <c r="G72" s="646"/>
      <c r="H72" s="647"/>
      <c r="I72" s="673">
        <v>0</v>
      </c>
      <c r="J72" s="647"/>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646"/>
      <c r="G77" s="646"/>
      <c r="H77" s="647">
        <v>200</v>
      </c>
      <c r="I77" s="673">
        <v>0</v>
      </c>
      <c r="J77" s="647"/>
      <c r="K77" s="648">
        <f>(H77+I77)-J77</f>
        <v>200</v>
      </c>
    </row>
    <row r="78" spans="1:11" ht="18" customHeight="1" x14ac:dyDescent="0.3">
      <c r="A78" s="733" t="s">
        <v>108</v>
      </c>
      <c r="B78" s="635" t="s">
        <v>55</v>
      </c>
      <c r="C78" s="742"/>
      <c r="D78" s="742"/>
      <c r="E78" s="742"/>
      <c r="F78" s="646"/>
      <c r="G78" s="646"/>
      <c r="H78" s="647">
        <v>10000</v>
      </c>
      <c r="I78" s="673">
        <v>0</v>
      </c>
      <c r="J78" s="647"/>
      <c r="K78" s="648">
        <f>(H78+I78)-J78</f>
        <v>10000</v>
      </c>
    </row>
    <row r="79" spans="1:11" ht="18" customHeight="1" x14ac:dyDescent="0.3">
      <c r="A79" s="733" t="s">
        <v>109</v>
      </c>
      <c r="B79" s="635" t="s">
        <v>13</v>
      </c>
      <c r="C79" s="742"/>
      <c r="D79" s="742"/>
      <c r="E79" s="742"/>
      <c r="F79" s="646"/>
      <c r="G79" s="646"/>
      <c r="H79" s="647"/>
      <c r="I79" s="673">
        <v>0</v>
      </c>
      <c r="J79" s="647"/>
      <c r="K79" s="648">
        <f>(H79+I79)-J79</f>
        <v>0</v>
      </c>
    </row>
    <row r="80" spans="1:11" ht="18" customHeight="1" x14ac:dyDescent="0.3">
      <c r="A80" s="733" t="s">
        <v>110</v>
      </c>
      <c r="B80" s="635" t="s">
        <v>56</v>
      </c>
      <c r="C80" s="742"/>
      <c r="D80" s="742"/>
      <c r="E80" s="742"/>
      <c r="F80" s="646"/>
      <c r="G80" s="646"/>
      <c r="H80" s="647"/>
      <c r="I80" s="673">
        <v>0</v>
      </c>
      <c r="J80" s="647"/>
      <c r="K80" s="648">
        <f>(H80+I80)-J80</f>
        <v>0</v>
      </c>
    </row>
    <row r="81" spans="1:11" ht="18" customHeight="1" x14ac:dyDescent="0.3">
      <c r="A81" s="733"/>
      <c r="B81" s="742"/>
      <c r="C81" s="742"/>
      <c r="D81" s="742"/>
      <c r="E81" s="742"/>
      <c r="F81" s="742"/>
      <c r="G81" s="742"/>
      <c r="H81" s="742"/>
      <c r="I81" s="742"/>
      <c r="J81" s="742"/>
      <c r="K81" s="663"/>
    </row>
    <row r="82" spans="1:11" ht="18" customHeight="1" x14ac:dyDescent="0.3">
      <c r="A82" s="733" t="s">
        <v>148</v>
      </c>
      <c r="B82" s="636" t="s">
        <v>149</v>
      </c>
      <c r="C82" s="742"/>
      <c r="D82" s="742"/>
      <c r="E82" s="636" t="s">
        <v>7</v>
      </c>
      <c r="F82" s="653">
        <f t="shared" ref="F82:K82" si="8">SUM(F77:F80)</f>
        <v>0</v>
      </c>
      <c r="G82" s="653">
        <f t="shared" si="8"/>
        <v>0</v>
      </c>
      <c r="H82" s="649">
        <f t="shared" si="8"/>
        <v>10200</v>
      </c>
      <c r="I82" s="649">
        <f t="shared" si="8"/>
        <v>0</v>
      </c>
      <c r="J82" s="649">
        <f t="shared" si="8"/>
        <v>0</v>
      </c>
      <c r="K82" s="649">
        <f t="shared" si="8"/>
        <v>10200</v>
      </c>
    </row>
    <row r="83" spans="1:11" ht="18" customHeight="1" thickBot="1" x14ac:dyDescent="0.35">
      <c r="A83" s="733"/>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733" t="s">
        <v>114</v>
      </c>
      <c r="B87" s="635" t="s">
        <v>14</v>
      </c>
      <c r="C87" s="742"/>
      <c r="D87" s="742"/>
      <c r="E87" s="742"/>
      <c r="F87" s="646"/>
      <c r="G87" s="646"/>
      <c r="H87" s="647"/>
      <c r="I87" s="673">
        <f t="shared" si="9"/>
        <v>0</v>
      </c>
      <c r="J87" s="647"/>
      <c r="K87" s="648">
        <f t="shared" si="10"/>
        <v>0</v>
      </c>
    </row>
    <row r="88" spans="1:11" ht="18" customHeight="1" x14ac:dyDescent="0.3">
      <c r="A88" s="733" t="s">
        <v>115</v>
      </c>
      <c r="B88" s="635" t="s">
        <v>116</v>
      </c>
      <c r="C88" s="742"/>
      <c r="D88" s="742"/>
      <c r="E88" s="742"/>
      <c r="F88" s="646">
        <v>38</v>
      </c>
      <c r="G88" s="646"/>
      <c r="H88" s="647">
        <v>3648</v>
      </c>
      <c r="I88" s="673">
        <f t="shared" si="9"/>
        <v>2730.6502975214562</v>
      </c>
      <c r="J88" s="647"/>
      <c r="K88" s="648">
        <f t="shared" si="10"/>
        <v>6378.6502975214562</v>
      </c>
    </row>
    <row r="89" spans="1:11" ht="18" customHeight="1" x14ac:dyDescent="0.3">
      <c r="A89" s="733" t="s">
        <v>117</v>
      </c>
      <c r="B89" s="635" t="s">
        <v>58</v>
      </c>
      <c r="C89" s="742"/>
      <c r="D89" s="742"/>
      <c r="E89" s="742"/>
      <c r="F89" s="646"/>
      <c r="G89" s="646"/>
      <c r="H89" s="647"/>
      <c r="I89" s="673">
        <f t="shared" si="9"/>
        <v>0</v>
      </c>
      <c r="J89" s="647"/>
      <c r="K89" s="648">
        <f t="shared" si="10"/>
        <v>0</v>
      </c>
    </row>
    <row r="90" spans="1:11" ht="18" customHeight="1" x14ac:dyDescent="0.3">
      <c r="A90" s="733" t="s">
        <v>118</v>
      </c>
      <c r="B90" s="1359" t="s">
        <v>59</v>
      </c>
      <c r="C90" s="1359"/>
      <c r="D90" s="742"/>
      <c r="E90" s="742"/>
      <c r="F90" s="646">
        <v>12</v>
      </c>
      <c r="G90" s="646"/>
      <c r="H90" s="647">
        <v>1440</v>
      </c>
      <c r="I90" s="673">
        <f t="shared" si="9"/>
        <v>1077.8882753374169</v>
      </c>
      <c r="J90" s="647"/>
      <c r="K90" s="648">
        <f t="shared" si="10"/>
        <v>2517.8882753374169</v>
      </c>
    </row>
    <row r="91" spans="1:11" ht="18" customHeight="1" x14ac:dyDescent="0.3">
      <c r="A91" s="733" t="s">
        <v>119</v>
      </c>
      <c r="B91" s="635" t="s">
        <v>60</v>
      </c>
      <c r="C91" s="742"/>
      <c r="D91" s="742"/>
      <c r="E91" s="742"/>
      <c r="F91" s="646">
        <v>52</v>
      </c>
      <c r="G91" s="646"/>
      <c r="H91" s="647">
        <v>268301.33</v>
      </c>
      <c r="I91" s="673">
        <f t="shared" si="9"/>
        <v>200832.54018363554</v>
      </c>
      <c r="J91" s="647"/>
      <c r="K91" s="648">
        <f t="shared" si="10"/>
        <v>469133.87018363556</v>
      </c>
    </row>
    <row r="92" spans="1:11" ht="18" customHeight="1" x14ac:dyDescent="0.3">
      <c r="A92" s="733" t="s">
        <v>120</v>
      </c>
      <c r="B92" s="635" t="s">
        <v>121</v>
      </c>
      <c r="C92" s="742"/>
      <c r="D92" s="742"/>
      <c r="E92" s="742"/>
      <c r="F92" s="661"/>
      <c r="G92" s="661"/>
      <c r="H92" s="662"/>
      <c r="I92" s="673">
        <f t="shared" si="9"/>
        <v>0</v>
      </c>
      <c r="J92" s="662"/>
      <c r="K92" s="648">
        <f t="shared" si="10"/>
        <v>0</v>
      </c>
    </row>
    <row r="93" spans="1:11" ht="18" customHeight="1" x14ac:dyDescent="0.3">
      <c r="A93" s="733" t="s">
        <v>122</v>
      </c>
      <c r="B93" s="635" t="s">
        <v>123</v>
      </c>
      <c r="C93" s="742"/>
      <c r="D93" s="742"/>
      <c r="E93" s="742"/>
      <c r="F93" s="646">
        <v>78</v>
      </c>
      <c r="G93" s="646"/>
      <c r="H93" s="647">
        <v>7440</v>
      </c>
      <c r="I93" s="673">
        <f t="shared" si="9"/>
        <v>5569.0894225766542</v>
      </c>
      <c r="J93" s="647"/>
      <c r="K93" s="648">
        <f t="shared" si="10"/>
        <v>13009.089422576653</v>
      </c>
    </row>
    <row r="94" spans="1:11" ht="18" customHeight="1" x14ac:dyDescent="0.3">
      <c r="A94" s="733" t="s">
        <v>124</v>
      </c>
      <c r="B94" s="1354"/>
      <c r="C94" s="1355"/>
      <c r="D94" s="1356"/>
      <c r="E94" s="742"/>
      <c r="F94" s="646"/>
      <c r="G94" s="646"/>
      <c r="H94" s="647"/>
      <c r="I94" s="673">
        <f t="shared" si="9"/>
        <v>0</v>
      </c>
      <c r="J94" s="647"/>
      <c r="K94" s="648">
        <f t="shared" si="10"/>
        <v>0</v>
      </c>
    </row>
    <row r="95" spans="1:11" ht="18" customHeight="1" x14ac:dyDescent="0.3">
      <c r="A95" s="733" t="s">
        <v>125</v>
      </c>
      <c r="B95" s="1354"/>
      <c r="C95" s="1355"/>
      <c r="D95" s="1356"/>
      <c r="E95" s="742"/>
      <c r="F95" s="646"/>
      <c r="G95" s="646"/>
      <c r="H95" s="647"/>
      <c r="I95" s="673">
        <f t="shared" si="9"/>
        <v>0</v>
      </c>
      <c r="J95" s="647"/>
      <c r="K95" s="648">
        <f t="shared" si="10"/>
        <v>0</v>
      </c>
    </row>
    <row r="96" spans="1:11" ht="18" customHeight="1" x14ac:dyDescent="0.3">
      <c r="A96" s="733" t="s">
        <v>126</v>
      </c>
      <c r="B96" s="1354"/>
      <c r="C96" s="1355"/>
      <c r="D96" s="1356"/>
      <c r="E96" s="742"/>
      <c r="F96" s="646"/>
      <c r="G96" s="646"/>
      <c r="H96" s="647"/>
      <c r="I96" s="673">
        <f t="shared" si="9"/>
        <v>0</v>
      </c>
      <c r="J96" s="647"/>
      <c r="K96" s="648">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180</v>
      </c>
      <c r="G98" s="650">
        <f t="shared" si="11"/>
        <v>0</v>
      </c>
      <c r="H98" s="650">
        <f t="shared" si="11"/>
        <v>280829.33</v>
      </c>
      <c r="I98" s="650">
        <f t="shared" si="11"/>
        <v>210210.16817907107</v>
      </c>
      <c r="J98" s="650">
        <f t="shared" si="11"/>
        <v>0</v>
      </c>
      <c r="K98" s="650">
        <f t="shared" si="11"/>
        <v>491039.49817907106</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646">
        <v>2773</v>
      </c>
      <c r="G102" s="646"/>
      <c r="H102" s="647">
        <v>191337</v>
      </c>
      <c r="I102" s="673">
        <f>H102*F$114</f>
        <v>143222.15898488567</v>
      </c>
      <c r="J102" s="647"/>
      <c r="K102" s="648">
        <f>(H102+I102)-J102</f>
        <v>334559.15898488567</v>
      </c>
    </row>
    <row r="103" spans="1:11" ht="18" customHeight="1" x14ac:dyDescent="0.3">
      <c r="A103" s="733" t="s">
        <v>132</v>
      </c>
      <c r="B103" s="1357" t="s">
        <v>62</v>
      </c>
      <c r="C103" s="1357"/>
      <c r="D103" s="742"/>
      <c r="E103" s="742"/>
      <c r="F103" s="646"/>
      <c r="G103" s="646"/>
      <c r="H103" s="647">
        <v>22387.5</v>
      </c>
      <c r="I103" s="673">
        <f>H103*F$114</f>
        <v>16757.794280636404</v>
      </c>
      <c r="J103" s="647"/>
      <c r="K103" s="648">
        <f>(H103+I103)-J103</f>
        <v>39145.294280636401</v>
      </c>
    </row>
    <row r="104" spans="1:11" ht="18" customHeight="1" x14ac:dyDescent="0.3">
      <c r="A104" s="733" t="s">
        <v>128</v>
      </c>
      <c r="B104" s="1354" t="s">
        <v>589</v>
      </c>
      <c r="C104" s="1355"/>
      <c r="D104" s="1356"/>
      <c r="E104" s="742"/>
      <c r="F104" s="646"/>
      <c r="G104" s="646"/>
      <c r="H104" s="647">
        <v>1490</v>
      </c>
      <c r="I104" s="673">
        <f>H104*F$114</f>
        <v>1115.3149515644106</v>
      </c>
      <c r="J104" s="647"/>
      <c r="K104" s="648">
        <f>(H104+I104)-J104</f>
        <v>2605.3149515644109</v>
      </c>
    </row>
    <row r="105" spans="1:11" ht="18" customHeight="1" x14ac:dyDescent="0.3">
      <c r="A105" s="733" t="s">
        <v>127</v>
      </c>
      <c r="B105" s="1354"/>
      <c r="C105" s="1355"/>
      <c r="D105" s="1356"/>
      <c r="E105" s="742"/>
      <c r="F105" s="646"/>
      <c r="G105" s="646"/>
      <c r="H105" s="647"/>
      <c r="I105" s="673">
        <f>H105*F$114</f>
        <v>0</v>
      </c>
      <c r="J105" s="647"/>
      <c r="K105" s="648">
        <f>(H105+I105)-J105</f>
        <v>0</v>
      </c>
    </row>
    <row r="106" spans="1:11" ht="18" customHeight="1" x14ac:dyDescent="0.3">
      <c r="A106" s="733"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3" customFormat="1" ht="18" customHeight="1" x14ac:dyDescent="0.3">
      <c r="A108" s="639" t="s">
        <v>153</v>
      </c>
      <c r="B108" s="686" t="s">
        <v>154</v>
      </c>
      <c r="C108" s="742"/>
      <c r="D108" s="742"/>
      <c r="E108" s="636" t="s">
        <v>7</v>
      </c>
      <c r="F108" s="650">
        <f t="shared" ref="F108:K108" si="12">SUM(F102:F106)</f>
        <v>2773</v>
      </c>
      <c r="G108" s="650">
        <f t="shared" si="12"/>
        <v>0</v>
      </c>
      <c r="H108" s="648">
        <f t="shared" si="12"/>
        <v>215214.5</v>
      </c>
      <c r="I108" s="648">
        <f t="shared" si="12"/>
        <v>161095.2682170865</v>
      </c>
      <c r="J108" s="648">
        <f t="shared" si="12"/>
        <v>0</v>
      </c>
      <c r="K108" s="648">
        <f t="shared" si="12"/>
        <v>376309.7682170865</v>
      </c>
    </row>
    <row r="109" spans="1:11" s="3" customFormat="1" ht="18" customHeight="1" thickBot="1" x14ac:dyDescent="0.35">
      <c r="A109" s="643"/>
      <c r="B109" s="644"/>
      <c r="C109" s="645"/>
      <c r="D109" s="645"/>
      <c r="E109" s="645"/>
      <c r="F109" s="655"/>
      <c r="G109" s="655"/>
      <c r="H109" s="655"/>
      <c r="I109" s="655"/>
      <c r="J109" s="655"/>
      <c r="K109" s="655"/>
    </row>
    <row r="110" spans="1:11" s="3"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f>+'[8]Section i P&amp;L'!$D$6</f>
        <v>9166191</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733" t="s">
        <v>171</v>
      </c>
      <c r="B114" s="635" t="s">
        <v>35</v>
      </c>
      <c r="C114" s="742"/>
      <c r="D114" s="742"/>
      <c r="E114" s="742"/>
      <c r="F114" s="656">
        <f>+'[8]i10 Indirect Exp Calc'!$C$21</f>
        <v>0.74853352453987287</v>
      </c>
      <c r="G114" s="742"/>
      <c r="H114" s="742"/>
      <c r="I114" s="742"/>
      <c r="J114" s="742"/>
      <c r="K114" s="742"/>
    </row>
    <row r="115" spans="1:11" ht="18" customHeight="1" x14ac:dyDescent="0.3">
      <c r="A115" s="733"/>
      <c r="B115" s="636"/>
      <c r="C115" s="742"/>
      <c r="D115" s="742"/>
      <c r="E115" s="742"/>
      <c r="F115" s="742"/>
      <c r="G115" s="742"/>
      <c r="H115" s="742"/>
      <c r="I115" s="742"/>
      <c r="J115" s="742"/>
      <c r="K115" s="742"/>
    </row>
    <row r="116" spans="1:11" ht="18" customHeight="1" x14ac:dyDescent="0.3">
      <c r="A116" s="733" t="s">
        <v>170</v>
      </c>
      <c r="B116" s="636" t="s">
        <v>16</v>
      </c>
      <c r="C116" s="742"/>
      <c r="D116" s="742"/>
      <c r="E116" s="742"/>
      <c r="F116" s="742"/>
      <c r="G116" s="742"/>
      <c r="H116" s="742"/>
      <c r="I116" s="742"/>
      <c r="J116" s="742"/>
      <c r="K116" s="742"/>
    </row>
    <row r="117" spans="1:11" ht="18" customHeight="1" x14ac:dyDescent="0.3">
      <c r="A117" s="733" t="s">
        <v>172</v>
      </c>
      <c r="B117" s="635" t="s">
        <v>17</v>
      </c>
      <c r="C117" s="742"/>
      <c r="D117" s="742"/>
      <c r="E117" s="742"/>
      <c r="F117" s="647">
        <f>+'[8]Section i P&amp;L'!$D$8</f>
        <v>249393121</v>
      </c>
      <c r="G117" s="742"/>
      <c r="H117" s="742"/>
      <c r="I117" s="742"/>
      <c r="J117" s="742"/>
      <c r="K117" s="742"/>
    </row>
    <row r="118" spans="1:11" ht="18" customHeight="1" x14ac:dyDescent="0.3">
      <c r="A118" s="733" t="s">
        <v>173</v>
      </c>
      <c r="B118" s="742" t="s">
        <v>18</v>
      </c>
      <c r="C118" s="742"/>
      <c r="D118" s="742"/>
      <c r="E118" s="742"/>
      <c r="F118" s="647">
        <f>+'[8]Section i P&amp;L'!$D$9</f>
        <v>5003030</v>
      </c>
      <c r="G118" s="742"/>
      <c r="H118" s="742"/>
      <c r="I118" s="742"/>
      <c r="J118" s="742"/>
      <c r="K118" s="742"/>
    </row>
    <row r="119" spans="1:11" ht="18" customHeight="1" x14ac:dyDescent="0.3">
      <c r="A119" s="733" t="s">
        <v>174</v>
      </c>
      <c r="B119" s="636" t="s">
        <v>19</v>
      </c>
      <c r="C119" s="742"/>
      <c r="D119" s="742"/>
      <c r="E119" s="742"/>
      <c r="F119" s="649">
        <f>SUM(F117:F118)</f>
        <v>254396151</v>
      </c>
      <c r="G119" s="742"/>
      <c r="H119" s="742"/>
      <c r="I119" s="742"/>
      <c r="J119" s="742"/>
      <c r="K119" s="742"/>
    </row>
    <row r="120" spans="1:11" ht="18" customHeight="1" x14ac:dyDescent="0.3">
      <c r="A120" s="733"/>
      <c r="B120" s="636"/>
      <c r="C120" s="742"/>
      <c r="D120" s="742"/>
      <c r="E120" s="742"/>
      <c r="F120" s="742"/>
      <c r="G120" s="742"/>
      <c r="H120" s="742"/>
      <c r="I120" s="742"/>
      <c r="J120" s="742"/>
      <c r="K120" s="742"/>
    </row>
    <row r="121" spans="1:11" ht="18" customHeight="1" x14ac:dyDescent="0.3">
      <c r="A121" s="733" t="s">
        <v>167</v>
      </c>
      <c r="B121" s="636" t="s">
        <v>36</v>
      </c>
      <c r="C121" s="742"/>
      <c r="D121" s="742"/>
      <c r="E121" s="742"/>
      <c r="F121" s="647">
        <f>+'[8]Section i P&amp;L'!$D$12</f>
        <v>286955092</v>
      </c>
      <c r="G121" s="742"/>
      <c r="H121" s="742"/>
      <c r="I121" s="742"/>
      <c r="J121" s="742"/>
      <c r="K121" s="742"/>
    </row>
    <row r="122" spans="1:11" ht="18" customHeight="1" x14ac:dyDescent="0.3">
      <c r="A122" s="733"/>
      <c r="B122" s="742"/>
      <c r="C122" s="742"/>
      <c r="D122" s="742"/>
      <c r="E122" s="742"/>
      <c r="F122" s="742"/>
      <c r="G122" s="742"/>
      <c r="H122" s="742"/>
      <c r="I122" s="742"/>
      <c r="J122" s="742"/>
      <c r="K122" s="742"/>
    </row>
    <row r="123" spans="1:11" ht="18" customHeight="1" x14ac:dyDescent="0.3">
      <c r="A123" s="733" t="s">
        <v>175</v>
      </c>
      <c r="B123" s="636" t="s">
        <v>20</v>
      </c>
      <c r="C123" s="742"/>
      <c r="D123" s="742"/>
      <c r="E123" s="742"/>
      <c r="F123" s="647">
        <f>+F119-F121</f>
        <v>-32558941</v>
      </c>
      <c r="G123" s="742"/>
      <c r="H123" s="742"/>
      <c r="I123" s="742"/>
      <c r="J123" s="742"/>
      <c r="K123" s="742"/>
    </row>
    <row r="124" spans="1:11" ht="18" customHeight="1" x14ac:dyDescent="0.3">
      <c r="A124" s="733"/>
      <c r="B124" s="742"/>
      <c r="C124" s="742"/>
      <c r="D124" s="742"/>
      <c r="E124" s="742"/>
      <c r="F124" s="742"/>
      <c r="G124" s="742"/>
      <c r="H124" s="742"/>
      <c r="I124" s="742"/>
      <c r="J124" s="742"/>
      <c r="K124" s="742"/>
    </row>
    <row r="125" spans="1:11" ht="18" customHeight="1" x14ac:dyDescent="0.3">
      <c r="A125" s="733" t="s">
        <v>176</v>
      </c>
      <c r="B125" s="636" t="s">
        <v>21</v>
      </c>
      <c r="C125" s="742"/>
      <c r="D125" s="742"/>
      <c r="E125" s="742"/>
      <c r="F125" s="647">
        <f>+'[8]Section i P&amp;L'!$D$16</f>
        <v>19445979</v>
      </c>
      <c r="G125" s="742"/>
      <c r="H125" s="742"/>
      <c r="I125" s="742"/>
      <c r="J125" s="742"/>
      <c r="K125" s="742"/>
    </row>
    <row r="126" spans="1:11" ht="18" customHeight="1" x14ac:dyDescent="0.3">
      <c r="A126" s="733"/>
      <c r="B126" s="742"/>
      <c r="C126" s="742"/>
      <c r="D126" s="742"/>
      <c r="E126" s="742"/>
      <c r="F126" s="742"/>
      <c r="G126" s="742"/>
      <c r="H126" s="742"/>
      <c r="I126" s="742"/>
      <c r="J126" s="742"/>
      <c r="K126" s="742"/>
    </row>
    <row r="127" spans="1:11" ht="18" customHeight="1" x14ac:dyDescent="0.3">
      <c r="A127" s="733" t="s">
        <v>177</v>
      </c>
      <c r="B127" s="636" t="s">
        <v>22</v>
      </c>
      <c r="C127" s="742"/>
      <c r="D127" s="742"/>
      <c r="E127" s="742"/>
      <c r="F127" s="647">
        <f>+F123+F125</f>
        <v>-13112962</v>
      </c>
      <c r="G127" s="742"/>
      <c r="H127" s="742"/>
      <c r="I127" s="742"/>
      <c r="J127" s="742"/>
      <c r="K127" s="742"/>
    </row>
    <row r="128" spans="1:11" ht="18" customHeight="1" x14ac:dyDescent="0.3">
      <c r="A128" s="733"/>
      <c r="B128" s="742"/>
      <c r="C128" s="742"/>
      <c r="D128" s="742"/>
      <c r="E128" s="742"/>
      <c r="F128" s="742"/>
      <c r="G128" s="742"/>
      <c r="H128" s="742"/>
      <c r="I128" s="742"/>
      <c r="J128" s="742"/>
      <c r="K128" s="742"/>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646"/>
      <c r="G131" s="646"/>
      <c r="H131" s="647"/>
      <c r="I131" s="673">
        <v>0</v>
      </c>
      <c r="J131" s="647"/>
      <c r="K131" s="648">
        <f>(H131+I131)-J131</f>
        <v>0</v>
      </c>
    </row>
    <row r="132" spans="1:11" ht="18" customHeight="1" x14ac:dyDescent="0.3">
      <c r="A132" s="733" t="s">
        <v>159</v>
      </c>
      <c r="B132" s="742" t="s">
        <v>25</v>
      </c>
      <c r="C132" s="742"/>
      <c r="D132" s="742"/>
      <c r="E132" s="742"/>
      <c r="F132" s="646"/>
      <c r="G132" s="646"/>
      <c r="H132" s="647"/>
      <c r="I132" s="673">
        <v>0</v>
      </c>
      <c r="J132" s="647"/>
      <c r="K132" s="648">
        <f>(H132+I132)-J132</f>
        <v>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A138" s="742"/>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664">
        <f t="shared" ref="F141:K141" si="14">F36</f>
        <v>526</v>
      </c>
      <c r="G141" s="664">
        <f t="shared" si="14"/>
        <v>3344</v>
      </c>
      <c r="H141" s="664">
        <f t="shared" si="14"/>
        <v>1093343.8432934657</v>
      </c>
      <c r="I141" s="664">
        <f t="shared" si="14"/>
        <v>818404.52055442834</v>
      </c>
      <c r="J141" s="664">
        <f t="shared" si="14"/>
        <v>0</v>
      </c>
      <c r="K141" s="664">
        <f t="shared" si="14"/>
        <v>1911748.3638478939</v>
      </c>
    </row>
    <row r="142" spans="1:11" ht="18" customHeight="1" x14ac:dyDescent="0.3">
      <c r="A142" s="733" t="s">
        <v>142</v>
      </c>
      <c r="B142" s="636" t="s">
        <v>65</v>
      </c>
      <c r="C142" s="742"/>
      <c r="D142" s="742"/>
      <c r="E142" s="742"/>
      <c r="F142" s="664">
        <f t="shared" ref="F142:K142" si="15">F49</f>
        <v>173767</v>
      </c>
      <c r="G142" s="664">
        <f t="shared" si="15"/>
        <v>0</v>
      </c>
      <c r="H142" s="664">
        <f t="shared" si="15"/>
        <v>4478276.8499999987</v>
      </c>
      <c r="I142" s="664">
        <f t="shared" si="15"/>
        <v>0</v>
      </c>
      <c r="J142" s="664">
        <f t="shared" si="15"/>
        <v>0</v>
      </c>
      <c r="K142" s="664">
        <f t="shared" si="15"/>
        <v>4478276.8499999987</v>
      </c>
    </row>
    <row r="143" spans="1:11" ht="18" customHeight="1" x14ac:dyDescent="0.3">
      <c r="A143" s="733" t="s">
        <v>144</v>
      </c>
      <c r="B143" s="636" t="s">
        <v>66</v>
      </c>
      <c r="C143" s="742"/>
      <c r="D143" s="742"/>
      <c r="E143" s="742"/>
      <c r="F143" s="664">
        <f t="shared" ref="F143:K143" si="16">F64</f>
        <v>135939</v>
      </c>
      <c r="G143" s="664">
        <f t="shared" si="16"/>
        <v>0</v>
      </c>
      <c r="H143" s="664">
        <f t="shared" si="16"/>
        <v>43692683.858387433</v>
      </c>
      <c r="I143" s="664">
        <f t="shared" si="16"/>
        <v>0</v>
      </c>
      <c r="J143" s="664">
        <f t="shared" si="16"/>
        <v>7130482.0800000001</v>
      </c>
      <c r="K143" s="664">
        <f t="shared" si="16"/>
        <v>36562201.778387442</v>
      </c>
    </row>
    <row r="144" spans="1:11" ht="18" customHeight="1" x14ac:dyDescent="0.3">
      <c r="A144" s="733"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733" t="s">
        <v>148</v>
      </c>
      <c r="B145" s="636" t="s">
        <v>68</v>
      </c>
      <c r="C145" s="742"/>
      <c r="D145" s="742"/>
      <c r="E145" s="742"/>
      <c r="F145" s="664">
        <f t="shared" ref="F145:K145" si="18">F82</f>
        <v>0</v>
      </c>
      <c r="G145" s="664">
        <f t="shared" si="18"/>
        <v>0</v>
      </c>
      <c r="H145" s="664">
        <f t="shared" si="18"/>
        <v>10200</v>
      </c>
      <c r="I145" s="664">
        <f t="shared" si="18"/>
        <v>0</v>
      </c>
      <c r="J145" s="664">
        <f t="shared" si="18"/>
        <v>0</v>
      </c>
      <c r="K145" s="664">
        <f t="shared" si="18"/>
        <v>10200</v>
      </c>
    </row>
    <row r="146" spans="1:11" ht="18" customHeight="1" x14ac:dyDescent="0.3">
      <c r="A146" s="733" t="s">
        <v>150</v>
      </c>
      <c r="B146" s="636" t="s">
        <v>69</v>
      </c>
      <c r="C146" s="742"/>
      <c r="D146" s="742"/>
      <c r="E146" s="742"/>
      <c r="F146" s="664">
        <f t="shared" ref="F146:K146" si="19">F98</f>
        <v>180</v>
      </c>
      <c r="G146" s="664">
        <f t="shared" si="19"/>
        <v>0</v>
      </c>
      <c r="H146" s="664">
        <f t="shared" si="19"/>
        <v>280829.33</v>
      </c>
      <c r="I146" s="664">
        <f t="shared" si="19"/>
        <v>210210.16817907107</v>
      </c>
      <c r="J146" s="664">
        <f t="shared" si="19"/>
        <v>0</v>
      </c>
      <c r="K146" s="664">
        <f t="shared" si="19"/>
        <v>491039.49817907106</v>
      </c>
    </row>
    <row r="147" spans="1:11" ht="18" customHeight="1" x14ac:dyDescent="0.3">
      <c r="A147" s="733" t="s">
        <v>153</v>
      </c>
      <c r="B147" s="636" t="s">
        <v>61</v>
      </c>
      <c r="C147" s="742"/>
      <c r="D147" s="742"/>
      <c r="E147" s="742"/>
      <c r="F147" s="650">
        <f t="shared" ref="F147:K147" si="20">F108</f>
        <v>2773</v>
      </c>
      <c r="G147" s="650">
        <f t="shared" si="20"/>
        <v>0</v>
      </c>
      <c r="H147" s="650">
        <f t="shared" si="20"/>
        <v>215214.5</v>
      </c>
      <c r="I147" s="650">
        <f t="shared" si="20"/>
        <v>161095.2682170865</v>
      </c>
      <c r="J147" s="650">
        <f t="shared" si="20"/>
        <v>0</v>
      </c>
      <c r="K147" s="650">
        <f t="shared" si="20"/>
        <v>376309.7682170865</v>
      </c>
    </row>
    <row r="148" spans="1:11" ht="18" customHeight="1" x14ac:dyDescent="0.3">
      <c r="A148" s="733" t="s">
        <v>155</v>
      </c>
      <c r="B148" s="636" t="s">
        <v>70</v>
      </c>
      <c r="C148" s="742"/>
      <c r="D148" s="742"/>
      <c r="E148" s="742"/>
      <c r="F148" s="665" t="s">
        <v>73</v>
      </c>
      <c r="G148" s="665" t="s">
        <v>73</v>
      </c>
      <c r="H148" s="666" t="s">
        <v>73</v>
      </c>
      <c r="I148" s="666" t="s">
        <v>73</v>
      </c>
      <c r="J148" s="666" t="s">
        <v>73</v>
      </c>
      <c r="K148" s="660">
        <f>F111</f>
        <v>9166191</v>
      </c>
    </row>
    <row r="149" spans="1:11" ht="18" customHeight="1" x14ac:dyDescent="0.3">
      <c r="A149" s="733"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733" t="s">
        <v>185</v>
      </c>
      <c r="B150" s="636" t="s">
        <v>186</v>
      </c>
      <c r="C150" s="742"/>
      <c r="D150" s="742"/>
      <c r="E150" s="742"/>
      <c r="F150" s="665" t="s">
        <v>73</v>
      </c>
      <c r="G150" s="665" t="s">
        <v>73</v>
      </c>
      <c r="H150" s="650">
        <f>H18</f>
        <v>6472258</v>
      </c>
      <c r="I150" s="650">
        <f>I18</f>
        <v>0</v>
      </c>
      <c r="J150" s="650">
        <f>J18</f>
        <v>5470335</v>
      </c>
      <c r="K150" s="650">
        <f>K18</f>
        <v>1001923</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313185</v>
      </c>
      <c r="G152" s="672">
        <f t="shared" si="22"/>
        <v>3344</v>
      </c>
      <c r="H152" s="672">
        <f t="shared" si="22"/>
        <v>56242806.381680898</v>
      </c>
      <c r="I152" s="672">
        <f t="shared" si="22"/>
        <v>1189709.9569505858</v>
      </c>
      <c r="J152" s="672">
        <f t="shared" si="22"/>
        <v>12600817.08</v>
      </c>
      <c r="K152" s="672">
        <f t="shared" si="22"/>
        <v>53997890.25863149</v>
      </c>
    </row>
    <row r="153" spans="1:11" ht="18" customHeight="1" x14ac:dyDescent="0.25">
      <c r="A153" s="633"/>
      <c r="B153" s="742"/>
      <c r="C153" s="742"/>
      <c r="D153" s="742"/>
      <c r="E153" s="742"/>
      <c r="F153" s="742"/>
      <c r="G153" s="742"/>
      <c r="H153" s="742"/>
      <c r="I153" s="742"/>
      <c r="J153" s="742"/>
      <c r="K153" s="742"/>
    </row>
    <row r="154" spans="1:11" ht="18" customHeight="1" x14ac:dyDescent="0.3">
      <c r="A154" s="639" t="s">
        <v>168</v>
      </c>
      <c r="B154" s="636" t="s">
        <v>28</v>
      </c>
      <c r="C154" s="742"/>
      <c r="D154" s="742"/>
      <c r="E154" s="742"/>
      <c r="F154" s="687">
        <f>K152/F121</f>
        <v>0.18817540362249954</v>
      </c>
      <c r="G154" s="742"/>
      <c r="H154" s="742"/>
      <c r="I154" s="742"/>
      <c r="J154" s="742"/>
      <c r="K154" s="742"/>
    </row>
    <row r="155" spans="1:11" ht="18" customHeight="1" x14ac:dyDescent="0.3">
      <c r="A155" s="639" t="s">
        <v>169</v>
      </c>
      <c r="B155" s="636" t="s">
        <v>72</v>
      </c>
      <c r="C155" s="742"/>
      <c r="D155" s="742"/>
      <c r="E155" s="742"/>
      <c r="F155" s="687">
        <f>K152/F127</f>
        <v>-4.1179018332114046</v>
      </c>
      <c r="G155" s="636"/>
      <c r="H155" s="742"/>
      <c r="I155" s="742"/>
      <c r="J155" s="742"/>
      <c r="K155" s="742"/>
    </row>
    <row r="156" spans="1:11" ht="18" customHeight="1" x14ac:dyDescent="0.3">
      <c r="A156" s="149"/>
      <c r="B156" s="149"/>
      <c r="C156" s="149"/>
      <c r="D156" s="149"/>
      <c r="E156" s="149"/>
      <c r="F156" s="149"/>
      <c r="G156" s="150"/>
      <c r="H156" s="829"/>
      <c r="I156" s="149"/>
      <c r="J156" s="149"/>
      <c r="K156" s="829"/>
    </row>
  </sheetData>
  <sheetProtection sheet="1" objects="1" scenarios="1"/>
  <mergeCells count="31">
    <mergeCell ref="B62:D62"/>
    <mergeCell ref="B31:D31"/>
    <mergeCell ref="B103:C103"/>
    <mergeCell ref="B96:D96"/>
    <mergeCell ref="B95:D95"/>
    <mergeCell ref="B94:D94"/>
    <mergeCell ref="B52:C52"/>
    <mergeCell ref="B90:C90"/>
    <mergeCell ref="B53:D53"/>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56"/>
  <sheetViews>
    <sheetView showGridLines="0" zoomScale="70" zoomScaleNormal="70" zoomScaleSheetLayoutView="80" workbookViewId="0">
      <selection activeCell="A2" sqref="A2"/>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5" spans="1:11" ht="18" customHeight="1" x14ac:dyDescent="0.3">
      <c r="A5" s="742"/>
      <c r="B5" s="733" t="s">
        <v>40</v>
      </c>
      <c r="C5" s="1361" t="s">
        <v>238</v>
      </c>
      <c r="D5" s="1362"/>
      <c r="E5" s="1362"/>
      <c r="F5" s="1362"/>
      <c r="G5" s="1364"/>
      <c r="H5" s="742"/>
      <c r="I5" s="742"/>
      <c r="J5" s="742"/>
      <c r="K5" s="742"/>
    </row>
    <row r="6" spans="1:11" ht="18" customHeight="1" x14ac:dyDescent="0.3">
      <c r="A6" s="742"/>
      <c r="B6" s="733" t="s">
        <v>3</v>
      </c>
      <c r="C6" s="1365">
        <v>4</v>
      </c>
      <c r="D6" s="1366"/>
      <c r="E6" s="1366"/>
      <c r="F6" s="1366"/>
      <c r="G6" s="1367"/>
      <c r="H6" s="742"/>
      <c r="I6" s="742"/>
      <c r="J6" s="742"/>
      <c r="K6" s="742"/>
    </row>
    <row r="7" spans="1:11" ht="18" customHeight="1" x14ac:dyDescent="0.3">
      <c r="A7" s="742"/>
      <c r="B7" s="733" t="s">
        <v>4</v>
      </c>
      <c r="C7" s="1368">
        <v>3551</v>
      </c>
      <c r="D7" s="1369"/>
      <c r="E7" s="1369"/>
      <c r="F7" s="1369"/>
      <c r="G7" s="1370"/>
      <c r="H7" s="742"/>
      <c r="I7" s="742"/>
      <c r="J7" s="742"/>
      <c r="K7" s="742"/>
    </row>
    <row r="9" spans="1:11" ht="18" customHeight="1" x14ac:dyDescent="0.3">
      <c r="A9" s="742"/>
      <c r="B9" s="733" t="s">
        <v>1</v>
      </c>
      <c r="C9" s="1361" t="s">
        <v>709</v>
      </c>
      <c r="D9" s="1362"/>
      <c r="E9" s="1362"/>
      <c r="F9" s="1362"/>
      <c r="G9" s="1364"/>
      <c r="H9" s="742"/>
      <c r="I9" s="742"/>
      <c r="J9" s="742"/>
      <c r="K9" s="742"/>
    </row>
    <row r="10" spans="1:11" ht="18" customHeight="1" x14ac:dyDescent="0.3">
      <c r="A10" s="742"/>
      <c r="B10" s="733" t="s">
        <v>2</v>
      </c>
      <c r="C10" s="1371" t="s">
        <v>342</v>
      </c>
      <c r="D10" s="1372"/>
      <c r="E10" s="1372"/>
      <c r="F10" s="1372"/>
      <c r="G10" s="1373"/>
      <c r="H10" s="742"/>
      <c r="I10" s="742"/>
      <c r="J10" s="742"/>
      <c r="K10" s="742"/>
    </row>
    <row r="11" spans="1:11" ht="18" customHeight="1" x14ac:dyDescent="0.3">
      <c r="A11" s="742"/>
      <c r="B11" s="733" t="s">
        <v>32</v>
      </c>
      <c r="C11" s="1361" t="s">
        <v>343</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282" t="s">
        <v>73</v>
      </c>
      <c r="G18" s="282" t="s">
        <v>73</v>
      </c>
      <c r="H18" s="283">
        <v>11182421</v>
      </c>
      <c r="I18" s="306">
        <v>0</v>
      </c>
      <c r="J18" s="283">
        <v>9451352</v>
      </c>
      <c r="K18" s="284">
        <f>(H18+I18)-J18</f>
        <v>1731069</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282">
        <v>6444.5</v>
      </c>
      <c r="G21" s="282">
        <v>162496</v>
      </c>
      <c r="H21" s="283">
        <v>1511806</v>
      </c>
      <c r="I21" s="306">
        <v>417006</v>
      </c>
      <c r="J21" s="283">
        <v>251120</v>
      </c>
      <c r="K21" s="284">
        <f t="shared" ref="K21:K34" si="0">(H21+I21)-J21</f>
        <v>1677692</v>
      </c>
    </row>
    <row r="22" spans="1:11" ht="18" customHeight="1" x14ac:dyDescent="0.3">
      <c r="A22" s="733" t="s">
        <v>76</v>
      </c>
      <c r="B22" s="742" t="s">
        <v>6</v>
      </c>
      <c r="C22" s="742"/>
      <c r="D22" s="742"/>
      <c r="E22" s="742"/>
      <c r="F22" s="282">
        <v>256</v>
      </c>
      <c r="G22" s="282">
        <v>868</v>
      </c>
      <c r="H22" s="283">
        <v>9499</v>
      </c>
      <c r="I22" s="306">
        <v>3316</v>
      </c>
      <c r="J22" s="283">
        <v>1820</v>
      </c>
      <c r="K22" s="284">
        <f t="shared" si="0"/>
        <v>10995</v>
      </c>
    </row>
    <row r="23" spans="1:11" ht="18" customHeight="1" x14ac:dyDescent="0.3">
      <c r="A23" s="733" t="s">
        <v>77</v>
      </c>
      <c r="B23" s="742" t="s">
        <v>43</v>
      </c>
      <c r="C23" s="742"/>
      <c r="D23" s="742"/>
      <c r="E23" s="742"/>
      <c r="F23" s="282"/>
      <c r="G23" s="282"/>
      <c r="H23" s="283"/>
      <c r="I23" s="306">
        <f t="shared" ref="I23:I34" si="1">H23*F$114</f>
        <v>0</v>
      </c>
      <c r="J23" s="283"/>
      <c r="K23" s="284">
        <f t="shared" si="0"/>
        <v>0</v>
      </c>
    </row>
    <row r="24" spans="1:11" ht="18" customHeight="1" x14ac:dyDescent="0.3">
      <c r="A24" s="733" t="s">
        <v>78</v>
      </c>
      <c r="B24" s="742" t="s">
        <v>44</v>
      </c>
      <c r="C24" s="742"/>
      <c r="D24" s="742"/>
      <c r="E24" s="742"/>
      <c r="F24" s="282">
        <v>74</v>
      </c>
      <c r="G24" s="282">
        <v>839</v>
      </c>
      <c r="H24" s="283">
        <v>3366</v>
      </c>
      <c r="I24" s="306">
        <v>830</v>
      </c>
      <c r="J24" s="283">
        <v>587</v>
      </c>
      <c r="K24" s="284">
        <f t="shared" si="0"/>
        <v>3609</v>
      </c>
    </row>
    <row r="25" spans="1:11" ht="18" customHeight="1" x14ac:dyDescent="0.3">
      <c r="A25" s="733" t="s">
        <v>79</v>
      </c>
      <c r="B25" s="742" t="s">
        <v>5</v>
      </c>
      <c r="C25" s="742"/>
      <c r="D25" s="742"/>
      <c r="E25" s="742"/>
      <c r="F25" s="282"/>
      <c r="G25" s="282"/>
      <c r="H25" s="283"/>
      <c r="I25" s="306">
        <f t="shared" si="1"/>
        <v>0</v>
      </c>
      <c r="J25" s="283"/>
      <c r="K25" s="284">
        <f t="shared" si="0"/>
        <v>0</v>
      </c>
    </row>
    <row r="26" spans="1:11" ht="18" customHeight="1" x14ac:dyDescent="0.3">
      <c r="A26" s="733" t="s">
        <v>80</v>
      </c>
      <c r="B26" s="742" t="s">
        <v>45</v>
      </c>
      <c r="C26" s="742"/>
      <c r="D26" s="742"/>
      <c r="E26" s="742"/>
      <c r="F26" s="282"/>
      <c r="G26" s="282"/>
      <c r="H26" s="283"/>
      <c r="I26" s="306">
        <f t="shared" si="1"/>
        <v>0</v>
      </c>
      <c r="J26" s="283"/>
      <c r="K26" s="284">
        <f t="shared" si="0"/>
        <v>0</v>
      </c>
    </row>
    <row r="27" spans="1:11" ht="18" customHeight="1" x14ac:dyDescent="0.3">
      <c r="A27" s="733" t="s">
        <v>81</v>
      </c>
      <c r="B27" s="742" t="s">
        <v>710</v>
      </c>
      <c r="C27" s="742"/>
      <c r="D27" s="742"/>
      <c r="E27" s="742"/>
      <c r="F27" s="282"/>
      <c r="G27" s="282"/>
      <c r="H27" s="283"/>
      <c r="I27" s="306">
        <f t="shared" si="1"/>
        <v>0</v>
      </c>
      <c r="J27" s="283"/>
      <c r="K27" s="284">
        <f t="shared" si="0"/>
        <v>0</v>
      </c>
    </row>
    <row r="28" spans="1:11" ht="18" customHeight="1" x14ac:dyDescent="0.3">
      <c r="A28" s="733" t="s">
        <v>82</v>
      </c>
      <c r="B28" s="742" t="s">
        <v>47</v>
      </c>
      <c r="C28" s="742"/>
      <c r="D28" s="742"/>
      <c r="E28" s="742"/>
      <c r="F28" s="282"/>
      <c r="G28" s="282"/>
      <c r="H28" s="283"/>
      <c r="I28" s="306">
        <f t="shared" si="1"/>
        <v>0</v>
      </c>
      <c r="J28" s="283"/>
      <c r="K28" s="284">
        <f t="shared" si="0"/>
        <v>0</v>
      </c>
    </row>
    <row r="29" spans="1:11" ht="18" customHeight="1" x14ac:dyDescent="0.3">
      <c r="A29" s="733" t="s">
        <v>83</v>
      </c>
      <c r="B29" s="742" t="s">
        <v>48</v>
      </c>
      <c r="C29" s="742"/>
      <c r="D29" s="742"/>
      <c r="E29" s="742"/>
      <c r="F29" s="282">
        <v>19407.400000000001</v>
      </c>
      <c r="G29" s="282">
        <v>11246</v>
      </c>
      <c r="H29" s="283">
        <v>1307308</v>
      </c>
      <c r="I29" s="306">
        <v>275734</v>
      </c>
      <c r="J29" s="283">
        <v>0</v>
      </c>
      <c r="K29" s="284">
        <f t="shared" si="0"/>
        <v>1583042</v>
      </c>
    </row>
    <row r="30" spans="1:11" ht="18" customHeight="1" x14ac:dyDescent="0.3">
      <c r="A30" s="733" t="s">
        <v>84</v>
      </c>
      <c r="B30" s="1351" t="s">
        <v>541</v>
      </c>
      <c r="C30" s="1352"/>
      <c r="D30" s="1353"/>
      <c r="E30" s="742"/>
      <c r="F30" s="282">
        <v>1586.5</v>
      </c>
      <c r="G30" s="282">
        <v>16064</v>
      </c>
      <c r="H30" s="283">
        <v>2342362</v>
      </c>
      <c r="I30" s="306">
        <v>39905</v>
      </c>
      <c r="J30" s="283">
        <v>2296292</v>
      </c>
      <c r="K30" s="284">
        <f t="shared" si="0"/>
        <v>85975</v>
      </c>
    </row>
    <row r="31" spans="1:11" ht="18" customHeight="1" x14ac:dyDescent="0.3">
      <c r="A31" s="733" t="s">
        <v>133</v>
      </c>
      <c r="B31" s="1351" t="s">
        <v>590</v>
      </c>
      <c r="C31" s="1352"/>
      <c r="D31" s="1353"/>
      <c r="E31" s="742"/>
      <c r="F31" s="282">
        <v>330</v>
      </c>
      <c r="G31" s="282">
        <v>1658</v>
      </c>
      <c r="H31" s="283">
        <v>230269</v>
      </c>
      <c r="I31" s="306">
        <v>80364</v>
      </c>
      <c r="J31" s="283">
        <v>0</v>
      </c>
      <c r="K31" s="284">
        <f t="shared" si="0"/>
        <v>310633</v>
      </c>
    </row>
    <row r="32" spans="1:11" ht="18" customHeight="1" x14ac:dyDescent="0.3">
      <c r="A32" s="733" t="s">
        <v>134</v>
      </c>
      <c r="B32" s="837" t="s">
        <v>711</v>
      </c>
      <c r="C32" s="838"/>
      <c r="D32" s="839"/>
      <c r="E32" s="742"/>
      <c r="F32" s="282">
        <v>3564</v>
      </c>
      <c r="G32" s="308">
        <v>11400</v>
      </c>
      <c r="H32" s="283">
        <v>145802</v>
      </c>
      <c r="I32" s="306">
        <v>50884</v>
      </c>
      <c r="J32" s="283">
        <v>1291</v>
      </c>
      <c r="K32" s="284">
        <f t="shared" si="0"/>
        <v>195395</v>
      </c>
    </row>
    <row r="33" spans="1:11" ht="18" customHeight="1" x14ac:dyDescent="0.3">
      <c r="A33" s="733" t="s">
        <v>135</v>
      </c>
      <c r="B33" s="837" t="s">
        <v>712</v>
      </c>
      <c r="C33" s="838"/>
      <c r="D33" s="839"/>
      <c r="E33" s="742"/>
      <c r="F33" s="282">
        <v>7</v>
      </c>
      <c r="G33" s="308">
        <v>7</v>
      </c>
      <c r="H33" s="283">
        <v>495</v>
      </c>
      <c r="I33" s="306">
        <v>0</v>
      </c>
      <c r="J33" s="283"/>
      <c r="K33" s="284">
        <f t="shared" si="0"/>
        <v>495</v>
      </c>
    </row>
    <row r="34" spans="1:11" ht="18" customHeight="1" x14ac:dyDescent="0.3">
      <c r="A34" s="733" t="s">
        <v>136</v>
      </c>
      <c r="B34" s="1351"/>
      <c r="C34" s="1352"/>
      <c r="D34" s="1353"/>
      <c r="E34" s="742"/>
      <c r="F34" s="282"/>
      <c r="G34" s="308"/>
      <c r="H34" s="283"/>
      <c r="I34" s="306">
        <f t="shared" si="1"/>
        <v>0</v>
      </c>
      <c r="J34" s="283"/>
      <c r="K34" s="284">
        <f t="shared" si="0"/>
        <v>0</v>
      </c>
    </row>
    <row r="35" spans="1:11" ht="18" customHeight="1" x14ac:dyDescent="0.25">
      <c r="A35" s="742"/>
      <c r="B35" s="742"/>
      <c r="C35" s="742"/>
      <c r="D35" s="742"/>
      <c r="E35" s="742"/>
      <c r="F35" s="742"/>
      <c r="G35" s="742"/>
      <c r="H35" s="742"/>
      <c r="I35" s="742"/>
      <c r="J35" s="742"/>
      <c r="K35" s="315"/>
    </row>
    <row r="36" spans="1:11" ht="18" customHeight="1" x14ac:dyDescent="0.3">
      <c r="A36" s="639" t="s">
        <v>137</v>
      </c>
      <c r="B36" s="636" t="s">
        <v>138</v>
      </c>
      <c r="C36" s="742"/>
      <c r="D36" s="742"/>
      <c r="E36" s="636" t="s">
        <v>7</v>
      </c>
      <c r="F36" s="286">
        <f t="shared" ref="F36:K36" si="2">SUM(F21:F34)</f>
        <v>31669.4</v>
      </c>
      <c r="G36" s="286">
        <f t="shared" si="2"/>
        <v>204578</v>
      </c>
      <c r="H36" s="286">
        <f t="shared" si="2"/>
        <v>5550907</v>
      </c>
      <c r="I36" s="284">
        <f t="shared" si="2"/>
        <v>868039</v>
      </c>
      <c r="J36" s="284">
        <f t="shared" si="2"/>
        <v>2551110</v>
      </c>
      <c r="K36" s="284">
        <f t="shared" si="2"/>
        <v>3867836</v>
      </c>
    </row>
    <row r="37" spans="1:11" ht="18" customHeight="1" thickBot="1" x14ac:dyDescent="0.35">
      <c r="A37" s="742"/>
      <c r="B37" s="636"/>
      <c r="C37" s="742"/>
      <c r="D37" s="742"/>
      <c r="E37" s="742"/>
      <c r="F37" s="287"/>
      <c r="G37" s="287"/>
      <c r="H37" s="288"/>
      <c r="I37" s="288"/>
      <c r="J37" s="288"/>
      <c r="K37" s="303"/>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282">
        <v>2859.6</v>
      </c>
      <c r="G40" s="282">
        <v>8458</v>
      </c>
      <c r="H40" s="283">
        <v>2906426</v>
      </c>
      <c r="I40" s="306">
        <v>1014342</v>
      </c>
      <c r="J40" s="283"/>
      <c r="K40" s="284">
        <f t="shared" ref="K40:K47" si="3">(H40+I40)-J40</f>
        <v>3920768</v>
      </c>
    </row>
    <row r="41" spans="1:11" ht="18" customHeight="1" x14ac:dyDescent="0.3">
      <c r="A41" s="733" t="s">
        <v>88</v>
      </c>
      <c r="B41" s="1359" t="s">
        <v>50</v>
      </c>
      <c r="C41" s="1359"/>
      <c r="D41" s="742"/>
      <c r="E41" s="742"/>
      <c r="F41" s="282">
        <v>87</v>
      </c>
      <c r="G41" s="282">
        <v>1758</v>
      </c>
      <c r="H41" s="283">
        <v>39660</v>
      </c>
      <c r="I41" s="306">
        <v>13839</v>
      </c>
      <c r="J41" s="283"/>
      <c r="K41" s="284">
        <f t="shared" si="3"/>
        <v>53499</v>
      </c>
    </row>
    <row r="42" spans="1:11" ht="18" customHeight="1" x14ac:dyDescent="0.3">
      <c r="A42" s="733" t="s">
        <v>89</v>
      </c>
      <c r="B42" s="635" t="s">
        <v>11</v>
      </c>
      <c r="C42" s="742"/>
      <c r="D42" s="742"/>
      <c r="E42" s="742"/>
      <c r="F42" s="282">
        <v>433</v>
      </c>
      <c r="G42" s="282">
        <v>8</v>
      </c>
      <c r="H42" s="283">
        <v>14240</v>
      </c>
      <c r="I42" s="306">
        <v>4967</v>
      </c>
      <c r="J42" s="283"/>
      <c r="K42" s="284">
        <f t="shared" si="3"/>
        <v>19207</v>
      </c>
    </row>
    <row r="43" spans="1:11" ht="18" customHeight="1" x14ac:dyDescent="0.3">
      <c r="A43" s="733" t="s">
        <v>90</v>
      </c>
      <c r="B43" s="670" t="s">
        <v>10</v>
      </c>
      <c r="C43" s="642"/>
      <c r="D43" s="642"/>
      <c r="E43" s="742"/>
      <c r="F43" s="282"/>
      <c r="G43" s="282"/>
      <c r="H43" s="283"/>
      <c r="I43" s="306">
        <v>0</v>
      </c>
      <c r="J43" s="283"/>
      <c r="K43" s="284">
        <f t="shared" si="3"/>
        <v>0</v>
      </c>
    </row>
    <row r="44" spans="1:11" ht="18" customHeight="1" x14ac:dyDescent="0.3">
      <c r="A44" s="733" t="s">
        <v>91</v>
      </c>
      <c r="B44" s="1351"/>
      <c r="C44" s="1352"/>
      <c r="D44" s="1353"/>
      <c r="E44" s="742"/>
      <c r="F44" s="324"/>
      <c r="G44" s="324"/>
      <c r="H44" s="324"/>
      <c r="I44" s="325">
        <v>0</v>
      </c>
      <c r="J44" s="324"/>
      <c r="K44" s="326">
        <f t="shared" si="3"/>
        <v>0</v>
      </c>
    </row>
    <row r="45" spans="1:11" ht="18" customHeight="1" x14ac:dyDescent="0.3">
      <c r="A45" s="733" t="s">
        <v>139</v>
      </c>
      <c r="B45" s="1351"/>
      <c r="C45" s="1352"/>
      <c r="D45" s="1353"/>
      <c r="E45" s="742"/>
      <c r="F45" s="282"/>
      <c r="G45" s="282"/>
      <c r="H45" s="283"/>
      <c r="I45" s="306">
        <v>0</v>
      </c>
      <c r="J45" s="283"/>
      <c r="K45" s="284">
        <f t="shared" si="3"/>
        <v>0</v>
      </c>
    </row>
    <row r="46" spans="1:11" ht="18" customHeight="1" x14ac:dyDescent="0.3">
      <c r="A46" s="733" t="s">
        <v>140</v>
      </c>
      <c r="B46" s="1351"/>
      <c r="C46" s="1352"/>
      <c r="D46" s="1353"/>
      <c r="E46" s="742"/>
      <c r="F46" s="282"/>
      <c r="G46" s="282"/>
      <c r="H46" s="283"/>
      <c r="I46" s="306">
        <v>0</v>
      </c>
      <c r="J46" s="283"/>
      <c r="K46" s="284">
        <f t="shared" si="3"/>
        <v>0</v>
      </c>
    </row>
    <row r="47" spans="1:11" ht="18" customHeight="1" x14ac:dyDescent="0.3">
      <c r="A47" s="733" t="s">
        <v>141</v>
      </c>
      <c r="B47" s="1351"/>
      <c r="C47" s="1352"/>
      <c r="D47" s="1353"/>
      <c r="E47" s="742"/>
      <c r="F47" s="282"/>
      <c r="G47" s="282"/>
      <c r="H47" s="283"/>
      <c r="I47" s="306">
        <v>0</v>
      </c>
      <c r="J47" s="283"/>
      <c r="K47" s="284">
        <f t="shared" si="3"/>
        <v>0</v>
      </c>
    </row>
    <row r="49" spans="1:11" ht="18" customHeight="1" x14ac:dyDescent="0.3">
      <c r="A49" s="639" t="s">
        <v>142</v>
      </c>
      <c r="B49" s="636" t="s">
        <v>143</v>
      </c>
      <c r="C49" s="742"/>
      <c r="D49" s="742"/>
      <c r="E49" s="636" t="s">
        <v>7</v>
      </c>
      <c r="F49" s="290">
        <f t="shared" ref="F49:K49" si="4">SUM(F40:F47)</f>
        <v>3379.6</v>
      </c>
      <c r="G49" s="290">
        <f t="shared" si="4"/>
        <v>10224</v>
      </c>
      <c r="H49" s="284">
        <f t="shared" si="4"/>
        <v>2960326</v>
      </c>
      <c r="I49" s="284">
        <f t="shared" si="4"/>
        <v>1033148</v>
      </c>
      <c r="J49" s="284">
        <f t="shared" si="4"/>
        <v>0</v>
      </c>
      <c r="K49" s="284">
        <f t="shared" si="4"/>
        <v>3993474</v>
      </c>
    </row>
    <row r="50" spans="1:11" ht="18" customHeight="1" thickBot="1" x14ac:dyDescent="0.3">
      <c r="A50" s="742"/>
      <c r="B50" s="742"/>
      <c r="C50" s="742"/>
      <c r="D50" s="742"/>
      <c r="E50" s="742"/>
      <c r="F50" s="742"/>
      <c r="G50" s="291"/>
      <c r="H50" s="291"/>
      <c r="I50" s="291"/>
      <c r="J50" s="291"/>
      <c r="K50" s="291"/>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386</v>
      </c>
      <c r="C53" s="1355"/>
      <c r="D53" s="1356"/>
      <c r="E53" s="742"/>
      <c r="F53" s="282"/>
      <c r="G53" s="282"/>
      <c r="H53" s="283">
        <v>3603540</v>
      </c>
      <c r="I53" s="306">
        <v>1257637</v>
      </c>
      <c r="J53" s="283">
        <v>0</v>
      </c>
      <c r="K53" s="284">
        <f t="shared" ref="K53:K62" si="5">(H53+I53)-J53</f>
        <v>4861177</v>
      </c>
    </row>
    <row r="54" spans="1:11" ht="18" customHeight="1" x14ac:dyDescent="0.3">
      <c r="A54" s="733" t="s">
        <v>93</v>
      </c>
      <c r="B54" s="840" t="s">
        <v>591</v>
      </c>
      <c r="C54" s="841"/>
      <c r="D54" s="842"/>
      <c r="E54" s="742"/>
      <c r="F54" s="282"/>
      <c r="G54" s="282">
        <v>55886</v>
      </c>
      <c r="H54" s="283">
        <v>0</v>
      </c>
      <c r="I54" s="306">
        <v>2537705</v>
      </c>
      <c r="J54" s="283">
        <v>0</v>
      </c>
      <c r="K54" s="284">
        <f t="shared" si="5"/>
        <v>2537705</v>
      </c>
    </row>
    <row r="55" spans="1:11" ht="18" customHeight="1" x14ac:dyDescent="0.3">
      <c r="A55" s="733" t="s">
        <v>94</v>
      </c>
      <c r="B55" s="1354" t="s">
        <v>388</v>
      </c>
      <c r="C55" s="1355"/>
      <c r="D55" s="1356"/>
      <c r="E55" s="742"/>
      <c r="F55" s="282">
        <v>5235</v>
      </c>
      <c r="G55" s="282">
        <v>12271</v>
      </c>
      <c r="H55" s="283">
        <v>1713125</v>
      </c>
      <c r="I55" s="306">
        <v>594011</v>
      </c>
      <c r="J55" s="283">
        <v>447537</v>
      </c>
      <c r="K55" s="284">
        <f t="shared" si="5"/>
        <v>1859599</v>
      </c>
    </row>
    <row r="56" spans="1:11" ht="18" customHeight="1" x14ac:dyDescent="0.3">
      <c r="A56" s="733" t="s">
        <v>95</v>
      </c>
      <c r="B56" s="1354" t="s">
        <v>713</v>
      </c>
      <c r="C56" s="1355"/>
      <c r="D56" s="1356"/>
      <c r="E56" s="742"/>
      <c r="F56" s="282"/>
      <c r="G56" s="282">
        <v>5997</v>
      </c>
      <c r="H56" s="283">
        <v>545025</v>
      </c>
      <c r="I56" s="306">
        <v>192529</v>
      </c>
      <c r="J56" s="283">
        <v>451100</v>
      </c>
      <c r="K56" s="284">
        <f t="shared" si="5"/>
        <v>286454</v>
      </c>
    </row>
    <row r="57" spans="1:11" ht="18" customHeight="1" x14ac:dyDescent="0.3">
      <c r="A57" s="733" t="s">
        <v>96</v>
      </c>
      <c r="B57" s="1354"/>
      <c r="C57" s="1355"/>
      <c r="D57" s="1356"/>
      <c r="E57" s="742"/>
      <c r="F57" s="282"/>
      <c r="G57" s="282"/>
      <c r="H57" s="283"/>
      <c r="I57" s="306">
        <v>0</v>
      </c>
      <c r="J57" s="283"/>
      <c r="K57" s="284">
        <f t="shared" si="5"/>
        <v>0</v>
      </c>
    </row>
    <row r="58" spans="1:11" ht="18" customHeight="1" x14ac:dyDescent="0.3">
      <c r="A58" s="733" t="s">
        <v>97</v>
      </c>
      <c r="B58" s="840"/>
      <c r="C58" s="841"/>
      <c r="D58" s="842"/>
      <c r="E58" s="742"/>
      <c r="F58" s="282"/>
      <c r="G58" s="282"/>
      <c r="H58" s="283"/>
      <c r="I58" s="306">
        <v>0</v>
      </c>
      <c r="J58" s="283"/>
      <c r="K58" s="284">
        <f t="shared" si="5"/>
        <v>0</v>
      </c>
    </row>
    <row r="59" spans="1:11" ht="18" customHeight="1" x14ac:dyDescent="0.3">
      <c r="A59" s="733" t="s">
        <v>98</v>
      </c>
      <c r="B59" s="1354"/>
      <c r="C59" s="1355"/>
      <c r="D59" s="1356"/>
      <c r="E59" s="742"/>
      <c r="F59" s="282"/>
      <c r="G59" s="282"/>
      <c r="H59" s="283"/>
      <c r="I59" s="306">
        <v>0</v>
      </c>
      <c r="J59" s="283"/>
      <c r="K59" s="284">
        <f t="shared" si="5"/>
        <v>0</v>
      </c>
    </row>
    <row r="60" spans="1:11" ht="18" customHeight="1" x14ac:dyDescent="0.3">
      <c r="A60" s="733" t="s">
        <v>99</v>
      </c>
      <c r="B60" s="840"/>
      <c r="C60" s="841"/>
      <c r="D60" s="842"/>
      <c r="E60" s="742"/>
      <c r="F60" s="282"/>
      <c r="G60" s="282"/>
      <c r="H60" s="283"/>
      <c r="I60" s="306">
        <v>0</v>
      </c>
      <c r="J60" s="283"/>
      <c r="K60" s="284">
        <f t="shared" si="5"/>
        <v>0</v>
      </c>
    </row>
    <row r="61" spans="1:11" ht="18" customHeight="1" x14ac:dyDescent="0.3">
      <c r="A61" s="733" t="s">
        <v>100</v>
      </c>
      <c r="B61" s="840"/>
      <c r="C61" s="841"/>
      <c r="D61" s="842"/>
      <c r="E61" s="742"/>
      <c r="F61" s="282"/>
      <c r="G61" s="282"/>
      <c r="H61" s="283"/>
      <c r="I61" s="306">
        <v>0</v>
      </c>
      <c r="J61" s="283"/>
      <c r="K61" s="284">
        <f t="shared" si="5"/>
        <v>0</v>
      </c>
    </row>
    <row r="62" spans="1:11" ht="18" customHeight="1" x14ac:dyDescent="0.3">
      <c r="A62" s="733" t="s">
        <v>101</v>
      </c>
      <c r="B62" s="1354"/>
      <c r="C62" s="1355"/>
      <c r="D62" s="1356"/>
      <c r="E62" s="742"/>
      <c r="F62" s="282"/>
      <c r="G62" s="282"/>
      <c r="H62" s="283"/>
      <c r="I62" s="306">
        <v>0</v>
      </c>
      <c r="J62" s="283"/>
      <c r="K62" s="284">
        <f t="shared" si="5"/>
        <v>0</v>
      </c>
    </row>
    <row r="63" spans="1:11" ht="18" customHeight="1" x14ac:dyDescent="0.3">
      <c r="A63" s="733"/>
      <c r="B63" s="742"/>
      <c r="C63" s="742"/>
      <c r="D63" s="742"/>
      <c r="E63" s="742"/>
      <c r="F63" s="742"/>
      <c r="G63" s="742"/>
      <c r="H63" s="742"/>
      <c r="I63" s="276"/>
      <c r="J63" s="742"/>
      <c r="K63" s="742"/>
    </row>
    <row r="64" spans="1:11" ht="18" customHeight="1" x14ac:dyDescent="0.3">
      <c r="A64" s="733" t="s">
        <v>144</v>
      </c>
      <c r="B64" s="636" t="s">
        <v>145</v>
      </c>
      <c r="C64" s="742"/>
      <c r="D64" s="742"/>
      <c r="E64" s="636" t="s">
        <v>7</v>
      </c>
      <c r="F64" s="286">
        <f t="shared" ref="F64:K64" si="6">SUM(F53:F62)</f>
        <v>5235</v>
      </c>
      <c r="G64" s="286">
        <f t="shared" si="6"/>
        <v>74154</v>
      </c>
      <c r="H64" s="284">
        <f t="shared" si="6"/>
        <v>5861690</v>
      </c>
      <c r="I64" s="284">
        <f t="shared" si="6"/>
        <v>4581882</v>
      </c>
      <c r="J64" s="284">
        <f t="shared" si="6"/>
        <v>898637</v>
      </c>
      <c r="K64" s="284">
        <f t="shared" si="6"/>
        <v>9544935</v>
      </c>
    </row>
    <row r="65" spans="1:11" ht="18" customHeight="1" x14ac:dyDescent="0.25">
      <c r="A65" s="742"/>
      <c r="B65" s="742"/>
      <c r="C65" s="742"/>
      <c r="D65" s="742"/>
      <c r="E65" s="742"/>
      <c r="F65" s="304"/>
      <c r="G65" s="304"/>
      <c r="H65" s="304"/>
      <c r="I65" s="304"/>
      <c r="J65" s="304"/>
      <c r="K65" s="304"/>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307">
        <v>4480.6000000000004</v>
      </c>
      <c r="G68" s="307">
        <v>1181</v>
      </c>
      <c r="H68" s="307">
        <v>232688</v>
      </c>
      <c r="I68" s="306">
        <v>81210</v>
      </c>
      <c r="J68" s="307">
        <v>9625</v>
      </c>
      <c r="K68" s="284">
        <f>(H68+I68)-J68</f>
        <v>304273</v>
      </c>
    </row>
    <row r="69" spans="1:11" ht="18" customHeight="1" x14ac:dyDescent="0.3">
      <c r="A69" s="733" t="s">
        <v>104</v>
      </c>
      <c r="B69" s="635" t="s">
        <v>53</v>
      </c>
      <c r="C69" s="742"/>
      <c r="D69" s="742"/>
      <c r="E69" s="742"/>
      <c r="F69" s="307"/>
      <c r="G69" s="307"/>
      <c r="H69" s="307"/>
      <c r="I69" s="306">
        <v>0</v>
      </c>
      <c r="J69" s="307"/>
      <c r="K69" s="284">
        <f>(H69+I69)-J69</f>
        <v>0</v>
      </c>
    </row>
    <row r="70" spans="1:11" ht="18" customHeight="1" x14ac:dyDescent="0.3">
      <c r="A70" s="733" t="s">
        <v>178</v>
      </c>
      <c r="B70" s="840"/>
      <c r="C70" s="841"/>
      <c r="D70" s="842"/>
      <c r="E70" s="636"/>
      <c r="F70" s="294"/>
      <c r="G70" s="294"/>
      <c r="H70" s="295"/>
      <c r="I70" s="306">
        <v>0</v>
      </c>
      <c r="J70" s="295"/>
      <c r="K70" s="284">
        <f>(H70+I70)-J70</f>
        <v>0</v>
      </c>
    </row>
    <row r="71" spans="1:11" ht="18" customHeight="1" x14ac:dyDescent="0.3">
      <c r="A71" s="733" t="s">
        <v>179</v>
      </c>
      <c r="B71" s="840"/>
      <c r="C71" s="841"/>
      <c r="D71" s="842"/>
      <c r="E71" s="636"/>
      <c r="F71" s="294"/>
      <c r="G71" s="294"/>
      <c r="H71" s="295"/>
      <c r="I71" s="306">
        <v>0</v>
      </c>
      <c r="J71" s="295"/>
      <c r="K71" s="284">
        <f>(H71+I71)-J71</f>
        <v>0</v>
      </c>
    </row>
    <row r="72" spans="1:11" ht="18" customHeight="1" x14ac:dyDescent="0.3">
      <c r="A72" s="733" t="s">
        <v>180</v>
      </c>
      <c r="B72" s="843"/>
      <c r="C72" s="844"/>
      <c r="D72" s="293"/>
      <c r="E72" s="636"/>
      <c r="F72" s="282"/>
      <c r="G72" s="282"/>
      <c r="H72" s="283"/>
      <c r="I72" s="306">
        <v>0</v>
      </c>
      <c r="J72" s="283"/>
      <c r="K72" s="284">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289">
        <f t="shared" ref="F74:K74" si="7">SUM(F68:F72)</f>
        <v>4480.6000000000004</v>
      </c>
      <c r="G74" s="289">
        <f t="shared" si="7"/>
        <v>1181</v>
      </c>
      <c r="H74" s="289">
        <f t="shared" si="7"/>
        <v>232688</v>
      </c>
      <c r="I74" s="309">
        <f t="shared" si="7"/>
        <v>81210</v>
      </c>
      <c r="J74" s="289">
        <f t="shared" si="7"/>
        <v>9625</v>
      </c>
      <c r="K74" s="285">
        <f t="shared" si="7"/>
        <v>304273</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282"/>
      <c r="G77" s="282"/>
      <c r="H77" s="283"/>
      <c r="I77" s="306">
        <v>0</v>
      </c>
      <c r="J77" s="283"/>
      <c r="K77" s="284">
        <f>(H77+I77)-J77</f>
        <v>0</v>
      </c>
    </row>
    <row r="78" spans="1:11" ht="18" customHeight="1" x14ac:dyDescent="0.3">
      <c r="A78" s="733" t="s">
        <v>108</v>
      </c>
      <c r="B78" s="635" t="s">
        <v>55</v>
      </c>
      <c r="C78" s="742"/>
      <c r="D78" s="742"/>
      <c r="E78" s="742"/>
      <c r="F78" s="282"/>
      <c r="G78" s="282"/>
      <c r="H78" s="283"/>
      <c r="I78" s="306">
        <v>0</v>
      </c>
      <c r="J78" s="283"/>
      <c r="K78" s="284">
        <f>(H78+I78)-J78</f>
        <v>0</v>
      </c>
    </row>
    <row r="79" spans="1:11" ht="18" customHeight="1" x14ac:dyDescent="0.3">
      <c r="A79" s="733" t="s">
        <v>109</v>
      </c>
      <c r="B79" s="635" t="s">
        <v>13</v>
      </c>
      <c r="C79" s="742"/>
      <c r="D79" s="742"/>
      <c r="E79" s="742"/>
      <c r="F79" s="282"/>
      <c r="G79" s="282"/>
      <c r="H79" s="283">
        <v>3370</v>
      </c>
      <c r="I79" s="306">
        <v>0</v>
      </c>
      <c r="J79" s="283"/>
      <c r="K79" s="284">
        <f>(H79+I79)-J79</f>
        <v>3370</v>
      </c>
    </row>
    <row r="80" spans="1:11" ht="18" customHeight="1" x14ac:dyDescent="0.3">
      <c r="A80" s="733" t="s">
        <v>110</v>
      </c>
      <c r="B80" s="635" t="s">
        <v>56</v>
      </c>
      <c r="C80" s="742"/>
      <c r="D80" s="742"/>
      <c r="E80" s="742"/>
      <c r="F80" s="282"/>
      <c r="G80" s="282"/>
      <c r="H80" s="283"/>
      <c r="I80" s="306">
        <v>0</v>
      </c>
      <c r="J80" s="283"/>
      <c r="K80" s="284">
        <f>(H80+I80)-J80</f>
        <v>0</v>
      </c>
    </row>
    <row r="81" spans="1:11" ht="18" customHeight="1" x14ac:dyDescent="0.3">
      <c r="A81" s="733"/>
      <c r="B81" s="742"/>
      <c r="C81" s="742"/>
      <c r="D81" s="742"/>
      <c r="E81" s="742"/>
      <c r="F81" s="742"/>
      <c r="G81" s="742"/>
      <c r="H81" s="742"/>
      <c r="I81" s="742"/>
      <c r="J81" s="742"/>
      <c r="K81" s="299"/>
    </row>
    <row r="82" spans="1:11" ht="18" customHeight="1" x14ac:dyDescent="0.3">
      <c r="A82" s="733" t="s">
        <v>148</v>
      </c>
      <c r="B82" s="636" t="s">
        <v>149</v>
      </c>
      <c r="C82" s="742"/>
      <c r="D82" s="742"/>
      <c r="E82" s="636" t="s">
        <v>7</v>
      </c>
      <c r="F82" s="289">
        <f t="shared" ref="F82:K82" si="8">SUM(F77:F80)</f>
        <v>0</v>
      </c>
      <c r="G82" s="289">
        <f t="shared" si="8"/>
        <v>0</v>
      </c>
      <c r="H82" s="285">
        <f t="shared" si="8"/>
        <v>3370</v>
      </c>
      <c r="I82" s="285">
        <f t="shared" si="8"/>
        <v>0</v>
      </c>
      <c r="J82" s="285">
        <f t="shared" si="8"/>
        <v>0</v>
      </c>
      <c r="K82" s="285">
        <f t="shared" si="8"/>
        <v>3370</v>
      </c>
    </row>
    <row r="83" spans="1:11" ht="18" customHeight="1" thickBot="1" x14ac:dyDescent="0.35">
      <c r="A83" s="733"/>
      <c r="B83" s="742"/>
      <c r="C83" s="742"/>
      <c r="D83" s="742"/>
      <c r="E83" s="742"/>
      <c r="F83" s="291"/>
      <c r="G83" s="291"/>
      <c r="H83" s="291"/>
      <c r="I83" s="291"/>
      <c r="J83" s="291"/>
      <c r="K83" s="291"/>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282"/>
      <c r="G86" s="282"/>
      <c r="H86" s="283"/>
      <c r="I86" s="306">
        <f t="shared" ref="I86:I96" si="9">H86*F$114</f>
        <v>0</v>
      </c>
      <c r="J86" s="283"/>
      <c r="K86" s="284">
        <f t="shared" ref="K86:K96" si="10">(H86+I86)-J86</f>
        <v>0</v>
      </c>
    </row>
    <row r="87" spans="1:11" ht="18" customHeight="1" x14ac:dyDescent="0.3">
      <c r="A87" s="733" t="s">
        <v>114</v>
      </c>
      <c r="B87" s="635" t="s">
        <v>14</v>
      </c>
      <c r="C87" s="742"/>
      <c r="D87" s="742"/>
      <c r="E87" s="742"/>
      <c r="F87" s="282"/>
      <c r="G87" s="282">
        <v>36</v>
      </c>
      <c r="H87" s="283">
        <v>31587</v>
      </c>
      <c r="I87" s="306">
        <v>11022</v>
      </c>
      <c r="J87" s="283"/>
      <c r="K87" s="284">
        <f t="shared" si="10"/>
        <v>42609</v>
      </c>
    </row>
    <row r="88" spans="1:11" ht="18" customHeight="1" x14ac:dyDescent="0.3">
      <c r="A88" s="733" t="s">
        <v>115</v>
      </c>
      <c r="B88" s="635" t="s">
        <v>116</v>
      </c>
      <c r="C88" s="742"/>
      <c r="D88" s="742"/>
      <c r="E88" s="742"/>
      <c r="F88" s="282"/>
      <c r="G88" s="282"/>
      <c r="H88" s="283"/>
      <c r="I88" s="306">
        <f t="shared" si="9"/>
        <v>0</v>
      </c>
      <c r="J88" s="283"/>
      <c r="K88" s="284">
        <f t="shared" si="10"/>
        <v>0</v>
      </c>
    </row>
    <row r="89" spans="1:11" ht="18" customHeight="1" x14ac:dyDescent="0.3">
      <c r="A89" s="733" t="s">
        <v>117</v>
      </c>
      <c r="B89" s="635" t="s">
        <v>58</v>
      </c>
      <c r="C89" s="742"/>
      <c r="D89" s="742"/>
      <c r="E89" s="742"/>
      <c r="F89" s="282"/>
      <c r="G89" s="282"/>
      <c r="H89" s="283"/>
      <c r="I89" s="306">
        <f t="shared" si="9"/>
        <v>0</v>
      </c>
      <c r="J89" s="283"/>
      <c r="K89" s="284">
        <f t="shared" si="10"/>
        <v>0</v>
      </c>
    </row>
    <row r="90" spans="1:11" ht="18" customHeight="1" x14ac:dyDescent="0.3">
      <c r="A90" s="733" t="s">
        <v>118</v>
      </c>
      <c r="B90" s="1359" t="s">
        <v>59</v>
      </c>
      <c r="C90" s="1359"/>
      <c r="D90" s="742"/>
      <c r="E90" s="742"/>
      <c r="F90" s="282"/>
      <c r="G90" s="282"/>
      <c r="H90" s="283"/>
      <c r="I90" s="306">
        <f t="shared" si="9"/>
        <v>0</v>
      </c>
      <c r="J90" s="283"/>
      <c r="K90" s="284">
        <f t="shared" si="10"/>
        <v>0</v>
      </c>
    </row>
    <row r="91" spans="1:11" ht="18" customHeight="1" x14ac:dyDescent="0.3">
      <c r="A91" s="733" t="s">
        <v>119</v>
      </c>
      <c r="B91" s="635" t="s">
        <v>60</v>
      </c>
      <c r="C91" s="742"/>
      <c r="D91" s="742"/>
      <c r="E91" s="742"/>
      <c r="F91" s="282"/>
      <c r="G91" s="282"/>
      <c r="H91" s="283"/>
      <c r="I91" s="306">
        <f t="shared" si="9"/>
        <v>0</v>
      </c>
      <c r="J91" s="283"/>
      <c r="K91" s="284">
        <f t="shared" si="10"/>
        <v>0</v>
      </c>
    </row>
    <row r="92" spans="1:11" ht="18" customHeight="1" x14ac:dyDescent="0.3">
      <c r="A92" s="733" t="s">
        <v>120</v>
      </c>
      <c r="B92" s="635" t="s">
        <v>121</v>
      </c>
      <c r="C92" s="742"/>
      <c r="D92" s="742"/>
      <c r="E92" s="742"/>
      <c r="F92" s="297"/>
      <c r="G92" s="297"/>
      <c r="H92" s="298"/>
      <c r="I92" s="306">
        <f t="shared" si="9"/>
        <v>0</v>
      </c>
      <c r="J92" s="298"/>
      <c r="K92" s="284">
        <f t="shared" si="10"/>
        <v>0</v>
      </c>
    </row>
    <row r="93" spans="1:11" ht="18" customHeight="1" x14ac:dyDescent="0.3">
      <c r="A93" s="733" t="s">
        <v>122</v>
      </c>
      <c r="B93" s="635" t="s">
        <v>123</v>
      </c>
      <c r="C93" s="742"/>
      <c r="D93" s="742"/>
      <c r="E93" s="742"/>
      <c r="F93" s="282"/>
      <c r="G93" s="282"/>
      <c r="H93" s="283"/>
      <c r="I93" s="306">
        <f t="shared" si="9"/>
        <v>0</v>
      </c>
      <c r="J93" s="283"/>
      <c r="K93" s="284">
        <f t="shared" si="10"/>
        <v>0</v>
      </c>
    </row>
    <row r="94" spans="1:11" ht="18" customHeight="1" x14ac:dyDescent="0.3">
      <c r="A94" s="733" t="s">
        <v>124</v>
      </c>
      <c r="B94" s="1354"/>
      <c r="C94" s="1355"/>
      <c r="D94" s="1356"/>
      <c r="E94" s="742"/>
      <c r="F94" s="282"/>
      <c r="G94" s="282"/>
      <c r="H94" s="283"/>
      <c r="I94" s="306">
        <f t="shared" si="9"/>
        <v>0</v>
      </c>
      <c r="J94" s="283"/>
      <c r="K94" s="284">
        <f t="shared" si="10"/>
        <v>0</v>
      </c>
    </row>
    <row r="95" spans="1:11" ht="18" customHeight="1" x14ac:dyDescent="0.3">
      <c r="A95" s="733" t="s">
        <v>125</v>
      </c>
      <c r="B95" s="1354"/>
      <c r="C95" s="1355"/>
      <c r="D95" s="1356"/>
      <c r="E95" s="742"/>
      <c r="F95" s="282"/>
      <c r="G95" s="282"/>
      <c r="H95" s="283"/>
      <c r="I95" s="306">
        <f t="shared" si="9"/>
        <v>0</v>
      </c>
      <c r="J95" s="283"/>
      <c r="K95" s="284">
        <f t="shared" si="10"/>
        <v>0</v>
      </c>
    </row>
    <row r="96" spans="1:11" ht="18" customHeight="1" x14ac:dyDescent="0.3">
      <c r="A96" s="733" t="s">
        <v>126</v>
      </c>
      <c r="B96" s="1354"/>
      <c r="C96" s="1355"/>
      <c r="D96" s="1356"/>
      <c r="E96" s="742"/>
      <c r="F96" s="282"/>
      <c r="G96" s="282"/>
      <c r="H96" s="283"/>
      <c r="I96" s="306">
        <f t="shared" si="9"/>
        <v>0</v>
      </c>
      <c r="J96" s="283"/>
      <c r="K96" s="284">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286">
        <f t="shared" ref="F98:K98" si="11">SUM(F86:F96)</f>
        <v>0</v>
      </c>
      <c r="G98" s="286">
        <f t="shared" si="11"/>
        <v>36</v>
      </c>
      <c r="H98" s="286">
        <f t="shared" si="11"/>
        <v>31587</v>
      </c>
      <c r="I98" s="286">
        <f t="shared" si="11"/>
        <v>11022</v>
      </c>
      <c r="J98" s="286">
        <f t="shared" si="11"/>
        <v>0</v>
      </c>
      <c r="K98" s="286">
        <f t="shared" si="11"/>
        <v>42609</v>
      </c>
    </row>
    <row r="99" spans="1:11" ht="18" customHeight="1" thickBot="1" x14ac:dyDescent="0.35">
      <c r="A99" s="742"/>
      <c r="B99" s="636"/>
      <c r="C99" s="742"/>
      <c r="D99" s="742"/>
      <c r="E99" s="742"/>
      <c r="F99" s="291"/>
      <c r="G99" s="291"/>
      <c r="H99" s="291"/>
      <c r="I99" s="291"/>
      <c r="J99" s="291"/>
      <c r="K99" s="291"/>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282">
        <v>5322.7</v>
      </c>
      <c r="G102" s="282"/>
      <c r="H102" s="283">
        <v>376426</v>
      </c>
      <c r="I102" s="306">
        <v>131364</v>
      </c>
      <c r="J102" s="283"/>
      <c r="K102" s="284">
        <f>(H102+I102)-J102</f>
        <v>507790</v>
      </c>
    </row>
    <row r="103" spans="1:11" ht="18" customHeight="1" x14ac:dyDescent="0.3">
      <c r="A103" s="733" t="s">
        <v>132</v>
      </c>
      <c r="B103" s="1357" t="s">
        <v>62</v>
      </c>
      <c r="C103" s="1357"/>
      <c r="D103" s="742"/>
      <c r="E103" s="742"/>
      <c r="F103" s="282">
        <v>49.5</v>
      </c>
      <c r="G103" s="282">
        <v>33</v>
      </c>
      <c r="H103" s="283">
        <v>29032</v>
      </c>
      <c r="I103" s="306">
        <v>1406</v>
      </c>
      <c r="J103" s="283">
        <v>0</v>
      </c>
      <c r="K103" s="284">
        <f>(H103+I103)-J103</f>
        <v>30438</v>
      </c>
    </row>
    <row r="104" spans="1:11" ht="18" customHeight="1" x14ac:dyDescent="0.3">
      <c r="A104" s="733" t="s">
        <v>128</v>
      </c>
      <c r="B104" s="1354" t="s">
        <v>389</v>
      </c>
      <c r="C104" s="1355"/>
      <c r="D104" s="1356"/>
      <c r="E104" s="742"/>
      <c r="F104" s="282">
        <v>783</v>
      </c>
      <c r="G104" s="282"/>
      <c r="H104" s="283">
        <v>499000</v>
      </c>
      <c r="I104" s="306">
        <v>0</v>
      </c>
      <c r="J104" s="283"/>
      <c r="K104" s="284">
        <f>(H104+I104)-J104</f>
        <v>499000</v>
      </c>
    </row>
    <row r="105" spans="1:11" ht="18" customHeight="1" x14ac:dyDescent="0.3">
      <c r="A105" s="733" t="s">
        <v>127</v>
      </c>
      <c r="B105" s="1354"/>
      <c r="C105" s="1355"/>
      <c r="D105" s="1356"/>
      <c r="E105" s="742"/>
      <c r="F105" s="282"/>
      <c r="G105" s="282"/>
      <c r="H105" s="283"/>
      <c r="I105" s="306">
        <f>H105*F$114</f>
        <v>0</v>
      </c>
      <c r="J105" s="283"/>
      <c r="K105" s="284">
        <f>(H105+I105)-J105</f>
        <v>0</v>
      </c>
    </row>
    <row r="106" spans="1:11" ht="18" customHeight="1" x14ac:dyDescent="0.3">
      <c r="A106" s="733" t="s">
        <v>129</v>
      </c>
      <c r="B106" s="1354"/>
      <c r="C106" s="1355"/>
      <c r="D106" s="1356"/>
      <c r="E106" s="742"/>
      <c r="F106" s="282"/>
      <c r="G106" s="282"/>
      <c r="H106" s="283"/>
      <c r="I106" s="306">
        <f>H106*F$114</f>
        <v>0</v>
      </c>
      <c r="J106" s="283"/>
      <c r="K106" s="284">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286">
        <f t="shared" ref="F108:K108" si="12">SUM(F102:F106)</f>
        <v>6155.2</v>
      </c>
      <c r="G108" s="286">
        <f t="shared" si="12"/>
        <v>33</v>
      </c>
      <c r="H108" s="284">
        <f t="shared" si="12"/>
        <v>904458</v>
      </c>
      <c r="I108" s="284">
        <f t="shared" si="12"/>
        <v>132770</v>
      </c>
      <c r="J108" s="284">
        <f t="shared" si="12"/>
        <v>0</v>
      </c>
      <c r="K108" s="284">
        <f t="shared" si="12"/>
        <v>1037228</v>
      </c>
    </row>
    <row r="109" spans="1:11" s="29" customFormat="1" ht="18" customHeight="1" thickBot="1" x14ac:dyDescent="0.35">
      <c r="A109" s="279"/>
      <c r="B109" s="280"/>
      <c r="C109" s="281"/>
      <c r="D109" s="281"/>
      <c r="E109" s="281"/>
      <c r="F109" s="291"/>
      <c r="G109" s="291"/>
      <c r="H109" s="291"/>
      <c r="I109" s="291"/>
      <c r="J109" s="291"/>
      <c r="K109" s="291"/>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283">
        <v>31396990</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6" ht="18" customHeight="1" x14ac:dyDescent="0.3">
      <c r="A113" s="639"/>
      <c r="B113" s="636" t="s">
        <v>15</v>
      </c>
      <c r="C113" s="742"/>
      <c r="D113" s="742"/>
      <c r="E113" s="742"/>
      <c r="F113" s="742"/>
    </row>
    <row r="114" spans="1:6" ht="18" customHeight="1" x14ac:dyDescent="0.3">
      <c r="A114" s="733" t="s">
        <v>171</v>
      </c>
      <c r="B114" s="635" t="s">
        <v>35</v>
      </c>
      <c r="C114" s="742"/>
      <c r="D114" s="742"/>
      <c r="E114" s="742"/>
      <c r="F114" s="292">
        <v>0.34899999999999998</v>
      </c>
    </row>
    <row r="115" spans="1:6" ht="18" customHeight="1" x14ac:dyDescent="0.3">
      <c r="A115" s="733"/>
      <c r="B115" s="636"/>
      <c r="C115" s="742"/>
      <c r="D115" s="742"/>
      <c r="E115" s="742"/>
      <c r="F115" s="742"/>
    </row>
    <row r="116" spans="1:6" ht="18" customHeight="1" x14ac:dyDescent="0.3">
      <c r="A116" s="733" t="s">
        <v>170</v>
      </c>
      <c r="B116" s="636" t="s">
        <v>16</v>
      </c>
      <c r="C116" s="742"/>
      <c r="D116" s="742"/>
      <c r="E116" s="742"/>
      <c r="F116" s="742"/>
    </row>
    <row r="117" spans="1:6" ht="18" customHeight="1" x14ac:dyDescent="0.3">
      <c r="A117" s="733" t="s">
        <v>172</v>
      </c>
      <c r="B117" s="635" t="s">
        <v>17</v>
      </c>
      <c r="C117" s="742"/>
      <c r="D117" s="742"/>
      <c r="E117" s="742"/>
      <c r="F117" s="283">
        <v>434816157</v>
      </c>
    </row>
    <row r="118" spans="1:6" ht="18" customHeight="1" x14ac:dyDescent="0.3">
      <c r="A118" s="733" t="s">
        <v>173</v>
      </c>
      <c r="B118" s="742" t="s">
        <v>18</v>
      </c>
      <c r="C118" s="742"/>
      <c r="D118" s="742"/>
      <c r="E118" s="742"/>
      <c r="F118" s="283">
        <v>13462328</v>
      </c>
    </row>
    <row r="119" spans="1:6" ht="18" customHeight="1" x14ac:dyDescent="0.3">
      <c r="A119" s="733" t="s">
        <v>174</v>
      </c>
      <c r="B119" s="636" t="s">
        <v>19</v>
      </c>
      <c r="C119" s="742"/>
      <c r="D119" s="742"/>
      <c r="E119" s="742"/>
      <c r="F119" s="285">
        <f>SUM(F117:F118)</f>
        <v>448278485</v>
      </c>
    </row>
    <row r="120" spans="1:6" ht="18" customHeight="1" x14ac:dyDescent="0.3">
      <c r="A120" s="733"/>
      <c r="B120" s="636"/>
      <c r="C120" s="742"/>
      <c r="D120" s="742"/>
      <c r="E120" s="742"/>
      <c r="F120" s="742"/>
    </row>
    <row r="121" spans="1:6" ht="18" customHeight="1" x14ac:dyDescent="0.3">
      <c r="A121" s="733" t="s">
        <v>167</v>
      </c>
      <c r="B121" s="636" t="s">
        <v>36</v>
      </c>
      <c r="C121" s="742"/>
      <c r="D121" s="742"/>
      <c r="E121" s="742"/>
      <c r="F121" s="283">
        <v>413796889</v>
      </c>
    </row>
    <row r="122" spans="1:6" ht="18" customHeight="1" x14ac:dyDescent="0.3">
      <c r="A122" s="733"/>
      <c r="B122" s="742"/>
      <c r="C122" s="742"/>
      <c r="D122" s="742"/>
      <c r="E122" s="742"/>
      <c r="F122" s="742"/>
    </row>
    <row r="123" spans="1:6" ht="18" customHeight="1" x14ac:dyDescent="0.3">
      <c r="A123" s="733" t="s">
        <v>175</v>
      </c>
      <c r="B123" s="636" t="s">
        <v>20</v>
      </c>
      <c r="C123" s="742"/>
      <c r="D123" s="742"/>
      <c r="E123" s="742"/>
      <c r="F123" s="283">
        <v>34368050</v>
      </c>
    </row>
    <row r="124" spans="1:6" ht="18" customHeight="1" x14ac:dyDescent="0.3">
      <c r="A124" s="733"/>
      <c r="B124" s="742"/>
      <c r="C124" s="742"/>
      <c r="D124" s="742"/>
      <c r="E124" s="742"/>
      <c r="F124" s="742"/>
    </row>
    <row r="125" spans="1:6" ht="18" customHeight="1" x14ac:dyDescent="0.3">
      <c r="A125" s="733" t="s">
        <v>176</v>
      </c>
      <c r="B125" s="636" t="s">
        <v>21</v>
      </c>
      <c r="C125" s="742"/>
      <c r="D125" s="742"/>
      <c r="E125" s="742"/>
      <c r="F125" s="283">
        <v>13721634</v>
      </c>
    </row>
    <row r="126" spans="1:6" ht="18" customHeight="1" x14ac:dyDescent="0.3">
      <c r="A126" s="733"/>
      <c r="B126" s="742"/>
      <c r="C126" s="742"/>
      <c r="D126" s="742"/>
      <c r="E126" s="742"/>
      <c r="F126" s="742"/>
    </row>
    <row r="127" spans="1:6" ht="18" customHeight="1" x14ac:dyDescent="0.3">
      <c r="A127" s="733" t="s">
        <v>177</v>
      </c>
      <c r="B127" s="636" t="s">
        <v>22</v>
      </c>
      <c r="C127" s="742"/>
      <c r="D127" s="742"/>
      <c r="E127" s="742"/>
      <c r="F127" s="283">
        <v>48089685</v>
      </c>
    </row>
    <row r="128" spans="1:6" ht="18" customHeight="1" x14ac:dyDescent="0.3">
      <c r="A128" s="733"/>
      <c r="B128" s="742"/>
      <c r="C128" s="742"/>
      <c r="D128" s="742"/>
      <c r="E128" s="742"/>
      <c r="F128" s="742"/>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282"/>
      <c r="G131" s="282"/>
      <c r="H131" s="283"/>
      <c r="I131" s="306">
        <v>0</v>
      </c>
      <c r="J131" s="283"/>
      <c r="K131" s="284">
        <f>(H131+I131)-J131</f>
        <v>0</v>
      </c>
    </row>
    <row r="132" spans="1:11" ht="18" customHeight="1" x14ac:dyDescent="0.3">
      <c r="A132" s="733" t="s">
        <v>159</v>
      </c>
      <c r="B132" s="742" t="s">
        <v>25</v>
      </c>
      <c r="C132" s="742"/>
      <c r="D132" s="742"/>
      <c r="E132" s="742"/>
      <c r="F132" s="282"/>
      <c r="G132" s="282"/>
      <c r="H132" s="283"/>
      <c r="I132" s="306">
        <v>0</v>
      </c>
      <c r="J132" s="283"/>
      <c r="K132" s="284">
        <f>(H132+I132)-J132</f>
        <v>0</v>
      </c>
    </row>
    <row r="133" spans="1:11" ht="18" customHeight="1" x14ac:dyDescent="0.3">
      <c r="A133" s="733" t="s">
        <v>160</v>
      </c>
      <c r="B133" s="1351"/>
      <c r="C133" s="1352"/>
      <c r="D133" s="1353"/>
      <c r="E133" s="742"/>
      <c r="F133" s="282"/>
      <c r="G133" s="282"/>
      <c r="H133" s="283"/>
      <c r="I133" s="306">
        <v>0</v>
      </c>
      <c r="J133" s="283"/>
      <c r="K133" s="284">
        <f>(H133+I133)-J133</f>
        <v>0</v>
      </c>
    </row>
    <row r="134" spans="1:11" ht="18" customHeight="1" x14ac:dyDescent="0.3">
      <c r="A134" s="733" t="s">
        <v>161</v>
      </c>
      <c r="B134" s="1351"/>
      <c r="C134" s="1352"/>
      <c r="D134" s="1353"/>
      <c r="E134" s="742"/>
      <c r="F134" s="282"/>
      <c r="G134" s="282"/>
      <c r="H134" s="283"/>
      <c r="I134" s="306">
        <v>0</v>
      </c>
      <c r="J134" s="283"/>
      <c r="K134" s="284">
        <f>(H134+I134)-J134</f>
        <v>0</v>
      </c>
    </row>
    <row r="135" spans="1:11" ht="18" customHeight="1" x14ac:dyDescent="0.3">
      <c r="A135" s="733" t="s">
        <v>162</v>
      </c>
      <c r="B135" s="1351"/>
      <c r="C135" s="1352"/>
      <c r="D135" s="1353"/>
      <c r="E135" s="742"/>
      <c r="F135" s="282"/>
      <c r="G135" s="282"/>
      <c r="H135" s="283"/>
      <c r="I135" s="306">
        <v>0</v>
      </c>
      <c r="J135" s="283"/>
      <c r="K135" s="284">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286">
        <f t="shared" ref="F137:K137" si="13">SUM(F131:F135)</f>
        <v>0</v>
      </c>
      <c r="G137" s="286">
        <f t="shared" si="13"/>
        <v>0</v>
      </c>
      <c r="H137" s="284">
        <f t="shared" si="13"/>
        <v>0</v>
      </c>
      <c r="I137" s="284">
        <f t="shared" si="13"/>
        <v>0</v>
      </c>
      <c r="J137" s="284">
        <f t="shared" si="13"/>
        <v>0</v>
      </c>
      <c r="K137" s="284">
        <f t="shared" si="13"/>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300">
        <f t="shared" ref="F141:K141" si="14">F36</f>
        <v>31669.4</v>
      </c>
      <c r="G141" s="300">
        <f t="shared" si="14"/>
        <v>204578</v>
      </c>
      <c r="H141" s="300">
        <f t="shared" si="14"/>
        <v>5550907</v>
      </c>
      <c r="I141" s="300">
        <f t="shared" si="14"/>
        <v>868039</v>
      </c>
      <c r="J141" s="300">
        <f t="shared" si="14"/>
        <v>2551110</v>
      </c>
      <c r="K141" s="300">
        <f t="shared" si="14"/>
        <v>3867836</v>
      </c>
    </row>
    <row r="142" spans="1:11" ht="18" customHeight="1" x14ac:dyDescent="0.3">
      <c r="A142" s="733" t="s">
        <v>142</v>
      </c>
      <c r="B142" s="636" t="s">
        <v>65</v>
      </c>
      <c r="C142" s="742"/>
      <c r="D142" s="742"/>
      <c r="E142" s="742"/>
      <c r="F142" s="300">
        <f t="shared" ref="F142:K142" si="15">F49</f>
        <v>3379.6</v>
      </c>
      <c r="G142" s="300">
        <f t="shared" si="15"/>
        <v>10224</v>
      </c>
      <c r="H142" s="300">
        <f t="shared" si="15"/>
        <v>2960326</v>
      </c>
      <c r="I142" s="300">
        <f t="shared" si="15"/>
        <v>1033148</v>
      </c>
      <c r="J142" s="300">
        <f t="shared" si="15"/>
        <v>0</v>
      </c>
      <c r="K142" s="300">
        <f t="shared" si="15"/>
        <v>3993474</v>
      </c>
    </row>
    <row r="143" spans="1:11" ht="18" customHeight="1" x14ac:dyDescent="0.3">
      <c r="A143" s="733" t="s">
        <v>144</v>
      </c>
      <c r="B143" s="636" t="s">
        <v>66</v>
      </c>
      <c r="C143" s="742"/>
      <c r="D143" s="742"/>
      <c r="E143" s="742"/>
      <c r="F143" s="300">
        <f t="shared" ref="F143:K143" si="16">F64</f>
        <v>5235</v>
      </c>
      <c r="G143" s="300">
        <f t="shared" si="16"/>
        <v>74154</v>
      </c>
      <c r="H143" s="300">
        <f t="shared" si="16"/>
        <v>5861690</v>
      </c>
      <c r="I143" s="300">
        <f t="shared" si="16"/>
        <v>4581882</v>
      </c>
      <c r="J143" s="300">
        <f t="shared" si="16"/>
        <v>898637</v>
      </c>
      <c r="K143" s="300">
        <f t="shared" si="16"/>
        <v>9544935</v>
      </c>
    </row>
    <row r="144" spans="1:11" ht="18" customHeight="1" x14ac:dyDescent="0.3">
      <c r="A144" s="733" t="s">
        <v>146</v>
      </c>
      <c r="B144" s="636" t="s">
        <v>67</v>
      </c>
      <c r="C144" s="742"/>
      <c r="D144" s="742"/>
      <c r="E144" s="742"/>
      <c r="F144" s="300">
        <f t="shared" ref="F144:K144" si="17">F74</f>
        <v>4480.6000000000004</v>
      </c>
      <c r="G144" s="300">
        <f t="shared" si="17"/>
        <v>1181</v>
      </c>
      <c r="H144" s="300">
        <f t="shared" si="17"/>
        <v>232688</v>
      </c>
      <c r="I144" s="300">
        <f t="shared" si="17"/>
        <v>81210</v>
      </c>
      <c r="J144" s="300">
        <f t="shared" si="17"/>
        <v>9625</v>
      </c>
      <c r="K144" s="300">
        <f t="shared" si="17"/>
        <v>304273</v>
      </c>
    </row>
    <row r="145" spans="1:11" ht="18" customHeight="1" x14ac:dyDescent="0.3">
      <c r="A145" s="733" t="s">
        <v>148</v>
      </c>
      <c r="B145" s="636" t="s">
        <v>68</v>
      </c>
      <c r="C145" s="742"/>
      <c r="D145" s="742"/>
      <c r="E145" s="742"/>
      <c r="F145" s="300">
        <f t="shared" ref="F145:K145" si="18">F82</f>
        <v>0</v>
      </c>
      <c r="G145" s="300">
        <f t="shared" si="18"/>
        <v>0</v>
      </c>
      <c r="H145" s="300">
        <f t="shared" si="18"/>
        <v>3370</v>
      </c>
      <c r="I145" s="300">
        <f t="shared" si="18"/>
        <v>0</v>
      </c>
      <c r="J145" s="300">
        <f t="shared" si="18"/>
        <v>0</v>
      </c>
      <c r="K145" s="300">
        <f t="shared" si="18"/>
        <v>3370</v>
      </c>
    </row>
    <row r="146" spans="1:11" ht="18" customHeight="1" x14ac:dyDescent="0.3">
      <c r="A146" s="733" t="s">
        <v>150</v>
      </c>
      <c r="B146" s="636" t="s">
        <v>69</v>
      </c>
      <c r="C146" s="742"/>
      <c r="D146" s="742"/>
      <c r="E146" s="742"/>
      <c r="F146" s="300">
        <f t="shared" ref="F146:K146" si="19">F98</f>
        <v>0</v>
      </c>
      <c r="G146" s="300">
        <f t="shared" si="19"/>
        <v>36</v>
      </c>
      <c r="H146" s="300">
        <f t="shared" si="19"/>
        <v>31587</v>
      </c>
      <c r="I146" s="300">
        <f t="shared" si="19"/>
        <v>11022</v>
      </c>
      <c r="J146" s="300">
        <f t="shared" si="19"/>
        <v>0</v>
      </c>
      <c r="K146" s="300">
        <f t="shared" si="19"/>
        <v>42609</v>
      </c>
    </row>
    <row r="147" spans="1:11" ht="18" customHeight="1" x14ac:dyDescent="0.3">
      <c r="A147" s="733" t="s">
        <v>153</v>
      </c>
      <c r="B147" s="636" t="s">
        <v>61</v>
      </c>
      <c r="C147" s="742"/>
      <c r="D147" s="742"/>
      <c r="E147" s="742"/>
      <c r="F147" s="286">
        <f t="shared" ref="F147:K147" si="20">F108</f>
        <v>6155.2</v>
      </c>
      <c r="G147" s="286">
        <f t="shared" si="20"/>
        <v>33</v>
      </c>
      <c r="H147" s="286">
        <f t="shared" si="20"/>
        <v>904458</v>
      </c>
      <c r="I147" s="286">
        <f t="shared" si="20"/>
        <v>132770</v>
      </c>
      <c r="J147" s="286">
        <f t="shared" si="20"/>
        <v>0</v>
      </c>
      <c r="K147" s="286">
        <f t="shared" si="20"/>
        <v>1037228</v>
      </c>
    </row>
    <row r="148" spans="1:11" ht="18" customHeight="1" x14ac:dyDescent="0.3">
      <c r="A148" s="733" t="s">
        <v>155</v>
      </c>
      <c r="B148" s="636" t="s">
        <v>70</v>
      </c>
      <c r="C148" s="742"/>
      <c r="D148" s="742"/>
      <c r="E148" s="742"/>
      <c r="F148" s="301"/>
      <c r="G148" s="301"/>
      <c r="H148" s="302"/>
      <c r="I148" s="302"/>
      <c r="J148" s="302"/>
      <c r="K148" s="296">
        <f>F111</f>
        <v>31396990</v>
      </c>
    </row>
    <row r="149" spans="1:11" ht="18" customHeight="1" x14ac:dyDescent="0.3">
      <c r="A149" s="733" t="s">
        <v>163</v>
      </c>
      <c r="B149" s="636" t="s">
        <v>71</v>
      </c>
      <c r="C149" s="742"/>
      <c r="D149" s="742"/>
      <c r="E149" s="742"/>
      <c r="F149" s="286">
        <f t="shared" ref="F149:K149" si="21">F137</f>
        <v>0</v>
      </c>
      <c r="G149" s="286">
        <f t="shared" si="21"/>
        <v>0</v>
      </c>
      <c r="H149" s="286">
        <f t="shared" si="21"/>
        <v>0</v>
      </c>
      <c r="I149" s="286">
        <f t="shared" si="21"/>
        <v>0</v>
      </c>
      <c r="J149" s="286">
        <f t="shared" si="21"/>
        <v>0</v>
      </c>
      <c r="K149" s="286">
        <f t="shared" si="21"/>
        <v>0</v>
      </c>
    </row>
    <row r="150" spans="1:11" ht="18" customHeight="1" x14ac:dyDescent="0.3">
      <c r="A150" s="733" t="s">
        <v>185</v>
      </c>
      <c r="B150" s="636" t="s">
        <v>186</v>
      </c>
      <c r="C150" s="742"/>
      <c r="D150" s="742"/>
      <c r="E150" s="742"/>
      <c r="F150" s="301"/>
      <c r="G150" s="301"/>
      <c r="H150" s="286">
        <f>H18</f>
        <v>11182421</v>
      </c>
      <c r="I150" s="286">
        <f>I18</f>
        <v>0</v>
      </c>
      <c r="J150" s="286">
        <f>J18</f>
        <v>9451352</v>
      </c>
      <c r="K150" s="286">
        <f>K18</f>
        <v>1731069</v>
      </c>
    </row>
    <row r="151" spans="1:11" ht="18" customHeight="1" x14ac:dyDescent="0.3">
      <c r="A151" s="742"/>
      <c r="B151" s="636"/>
      <c r="C151" s="742"/>
      <c r="D151" s="742"/>
      <c r="E151" s="742"/>
      <c r="F151" s="304"/>
      <c r="G151" s="304"/>
      <c r="H151" s="304"/>
      <c r="I151" s="304"/>
      <c r="J151" s="304"/>
      <c r="K151" s="304"/>
    </row>
    <row r="152" spans="1:11" ht="18" customHeight="1" x14ac:dyDescent="0.3">
      <c r="A152" s="639" t="s">
        <v>165</v>
      </c>
      <c r="B152" s="636" t="s">
        <v>26</v>
      </c>
      <c r="C152" s="742"/>
      <c r="D152" s="742"/>
      <c r="E152" s="742"/>
      <c r="F152" s="305">
        <f t="shared" ref="F152:J152" si="22">SUM(F141:F150)</f>
        <v>50919.799999999996</v>
      </c>
      <c r="G152" s="305">
        <f t="shared" si="22"/>
        <v>290206</v>
      </c>
      <c r="H152" s="305">
        <f t="shared" si="22"/>
        <v>26727447</v>
      </c>
      <c r="I152" s="305">
        <f t="shared" si="22"/>
        <v>6708071</v>
      </c>
      <c r="J152" s="305">
        <f t="shared" si="22"/>
        <v>12910724</v>
      </c>
      <c r="K152" s="305">
        <f>SUM(K141:K150)</f>
        <v>51921784</v>
      </c>
    </row>
    <row r="154" spans="1:11" ht="18" customHeight="1" x14ac:dyDescent="0.3">
      <c r="A154" s="639" t="s">
        <v>168</v>
      </c>
      <c r="B154" s="636" t="s">
        <v>28</v>
      </c>
      <c r="C154" s="742"/>
      <c r="D154" s="742"/>
      <c r="E154" s="742"/>
      <c r="F154" s="310">
        <f>K152/F121</f>
        <v>0.12547649675539246</v>
      </c>
      <c r="G154" s="742"/>
      <c r="H154" s="742"/>
      <c r="I154" s="742"/>
      <c r="J154" s="742"/>
      <c r="K154" s="742"/>
    </row>
    <row r="155" spans="1:11" ht="18" customHeight="1" x14ac:dyDescent="0.3">
      <c r="A155" s="639" t="s">
        <v>169</v>
      </c>
      <c r="B155" s="636" t="s">
        <v>72</v>
      </c>
      <c r="C155" s="742"/>
      <c r="D155" s="742"/>
      <c r="E155" s="742"/>
      <c r="F155" s="310">
        <f>K152/F127</f>
        <v>1.0796865065762025</v>
      </c>
      <c r="G155" s="636"/>
      <c r="H155" s="742"/>
      <c r="I155" s="742"/>
      <c r="J155" s="742"/>
      <c r="K155" s="742"/>
    </row>
    <row r="156" spans="1:11" ht="18" customHeight="1" x14ac:dyDescent="0.3">
      <c r="A156" s="151"/>
      <c r="B156" s="151"/>
      <c r="C156" s="151"/>
      <c r="D156" s="151"/>
      <c r="E156" s="151"/>
      <c r="F156" s="151"/>
      <c r="G156" s="152"/>
      <c r="H156" s="151"/>
      <c r="I156" s="151"/>
      <c r="J156" s="151"/>
      <c r="K156" s="151"/>
    </row>
  </sheetData>
  <sheetProtection sheet="1" objects="1" scenarios="1"/>
  <mergeCells count="34">
    <mergeCell ref="B45:D45"/>
    <mergeCell ref="B41:C41"/>
    <mergeCell ref="B44:D44"/>
    <mergeCell ref="B13:H13"/>
    <mergeCell ref="C5:G5"/>
    <mergeCell ref="C6:G6"/>
    <mergeCell ref="C7:G7"/>
    <mergeCell ref="C9:G9"/>
    <mergeCell ref="C10:G10"/>
    <mergeCell ref="B30:D30"/>
    <mergeCell ref="B57:D57"/>
    <mergeCell ref="B94:D94"/>
    <mergeCell ref="B52:C52"/>
    <mergeCell ref="B90:C90"/>
    <mergeCell ref="B53:D53"/>
    <mergeCell ref="B55:D55"/>
    <mergeCell ref="B56:D56"/>
    <mergeCell ref="B59:D59"/>
    <mergeCell ref="B134:D134"/>
    <mergeCell ref="B135:D135"/>
    <mergeCell ref="B133:D133"/>
    <mergeCell ref="B104:D104"/>
    <mergeCell ref="D2:H2"/>
    <mergeCell ref="B46:D46"/>
    <mergeCell ref="B47:D47"/>
    <mergeCell ref="B34:D34"/>
    <mergeCell ref="C11:G11"/>
    <mergeCell ref="B105:D105"/>
    <mergeCell ref="B106:D106"/>
    <mergeCell ref="B62:D62"/>
    <mergeCell ref="B31:D31"/>
    <mergeCell ref="B103:C103"/>
    <mergeCell ref="B96:D96"/>
    <mergeCell ref="B95:D9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3" manualBreakCount="3">
    <brk id="37" max="16383" man="1"/>
    <brk id="74" max="16383" man="1"/>
    <brk id="10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56"/>
  <sheetViews>
    <sheetView showGridLines="0" zoomScale="70" zoomScaleNormal="70" zoomScaleSheetLayoutView="100" workbookViewId="0">
      <selection activeCell="B3" sqref="B3"/>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5" spans="1:11" ht="18" customHeight="1" x14ac:dyDescent="0.3">
      <c r="A5" s="742"/>
      <c r="B5" s="733" t="s">
        <v>40</v>
      </c>
      <c r="C5" s="1361" t="s">
        <v>714</v>
      </c>
      <c r="D5" s="1362"/>
      <c r="E5" s="1362"/>
      <c r="F5" s="1362"/>
      <c r="G5" s="1364"/>
      <c r="H5" s="742"/>
      <c r="I5" s="742"/>
      <c r="J5" s="742"/>
      <c r="K5" s="742"/>
    </row>
    <row r="6" spans="1:11" ht="18" customHeight="1" x14ac:dyDescent="0.3">
      <c r="A6" s="742"/>
      <c r="B6" s="733" t="s">
        <v>3</v>
      </c>
      <c r="C6" s="1365" t="s">
        <v>592</v>
      </c>
      <c r="D6" s="1366"/>
      <c r="E6" s="1366"/>
      <c r="F6" s="1366"/>
      <c r="G6" s="1367"/>
      <c r="H6" s="742"/>
      <c r="I6" s="742"/>
      <c r="J6" s="742"/>
      <c r="K6" s="742"/>
    </row>
    <row r="7" spans="1:11" ht="18" customHeight="1" x14ac:dyDescent="0.3">
      <c r="A7" s="742"/>
      <c r="B7" s="733" t="s">
        <v>4</v>
      </c>
      <c r="C7" s="1380" t="s">
        <v>715</v>
      </c>
      <c r="D7" s="1381"/>
      <c r="E7" s="1381"/>
      <c r="F7" s="1381"/>
      <c r="G7" s="1382"/>
      <c r="H7" s="742"/>
      <c r="I7" s="742"/>
      <c r="J7" s="742"/>
      <c r="K7" s="742"/>
    </row>
    <row r="9" spans="1:11" ht="18" customHeight="1" x14ac:dyDescent="0.3">
      <c r="A9" s="742"/>
      <c r="B9" s="733" t="s">
        <v>1</v>
      </c>
      <c r="C9" s="1361" t="s">
        <v>334</v>
      </c>
      <c r="D9" s="1362"/>
      <c r="E9" s="1362"/>
      <c r="F9" s="1362"/>
      <c r="G9" s="1364"/>
      <c r="H9" s="742"/>
      <c r="I9" s="742"/>
      <c r="J9" s="742"/>
      <c r="K9" s="742"/>
    </row>
    <row r="10" spans="1:11" ht="18" customHeight="1" x14ac:dyDescent="0.3">
      <c r="A10" s="742"/>
      <c r="B10" s="733" t="s">
        <v>2</v>
      </c>
      <c r="C10" s="1383" t="s">
        <v>335</v>
      </c>
      <c r="D10" s="1384"/>
      <c r="E10" s="1384"/>
      <c r="F10" s="1384"/>
      <c r="G10" s="1385"/>
      <c r="H10" s="742"/>
      <c r="I10" s="742"/>
      <c r="J10" s="742"/>
      <c r="K10" s="742"/>
    </row>
    <row r="11" spans="1:11" ht="18" customHeight="1" x14ac:dyDescent="0.3">
      <c r="A11" s="742"/>
      <c r="B11" s="733" t="s">
        <v>32</v>
      </c>
      <c r="C11" s="1361" t="s">
        <v>336</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282" t="s">
        <v>73</v>
      </c>
      <c r="G18" s="282" t="s">
        <v>73</v>
      </c>
      <c r="H18" s="283">
        <v>8207038</v>
      </c>
      <c r="I18" s="306">
        <v>0</v>
      </c>
      <c r="J18" s="283">
        <v>6936567</v>
      </c>
      <c r="K18" s="284">
        <f>(H18+I18)-J18</f>
        <v>1270471</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282">
        <v>29617</v>
      </c>
      <c r="G21" s="282">
        <v>18170</v>
      </c>
      <c r="H21" s="283">
        <v>1681536</v>
      </c>
      <c r="I21" s="306">
        <f t="shared" ref="I21:I34" si="0">H21*F$114</f>
        <v>1191368.2560000001</v>
      </c>
      <c r="J21" s="283">
        <v>57211</v>
      </c>
      <c r="K21" s="284">
        <f t="shared" ref="K21:K34" si="1">(H21+I21)-J21</f>
        <v>2815693.2560000001</v>
      </c>
    </row>
    <row r="22" spans="1:11" ht="18" customHeight="1" x14ac:dyDescent="0.3">
      <c r="A22" s="733" t="s">
        <v>76</v>
      </c>
      <c r="B22" s="742" t="s">
        <v>6</v>
      </c>
      <c r="C22" s="742"/>
      <c r="D22" s="742"/>
      <c r="E22" s="742"/>
      <c r="F22" s="282"/>
      <c r="G22" s="282"/>
      <c r="H22" s="283"/>
      <c r="I22" s="306">
        <f t="shared" si="0"/>
        <v>0</v>
      </c>
      <c r="J22" s="283"/>
      <c r="K22" s="284">
        <f t="shared" si="1"/>
        <v>0</v>
      </c>
    </row>
    <row r="23" spans="1:11" ht="18" customHeight="1" x14ac:dyDescent="0.3">
      <c r="A23" s="733" t="s">
        <v>77</v>
      </c>
      <c r="B23" s="742" t="s">
        <v>43</v>
      </c>
      <c r="C23" s="742"/>
      <c r="D23" s="742"/>
      <c r="E23" s="742"/>
      <c r="F23" s="282"/>
      <c r="G23" s="282"/>
      <c r="H23" s="283"/>
      <c r="I23" s="306">
        <f t="shared" si="0"/>
        <v>0</v>
      </c>
      <c r="J23" s="283"/>
      <c r="K23" s="284">
        <f t="shared" si="1"/>
        <v>0</v>
      </c>
    </row>
    <row r="24" spans="1:11" ht="18" customHeight="1" x14ac:dyDescent="0.3">
      <c r="A24" s="733" t="s">
        <v>78</v>
      </c>
      <c r="B24" s="742" t="s">
        <v>44</v>
      </c>
      <c r="C24" s="742"/>
      <c r="D24" s="742"/>
      <c r="E24" s="742"/>
      <c r="F24" s="282">
        <v>23771</v>
      </c>
      <c r="G24" s="282">
        <v>5827</v>
      </c>
      <c r="H24" s="283">
        <v>616942</v>
      </c>
      <c r="I24" s="306">
        <f t="shared" si="0"/>
        <v>437103.40700000001</v>
      </c>
      <c r="J24" s="283">
        <v>332797</v>
      </c>
      <c r="K24" s="284">
        <f t="shared" si="1"/>
        <v>721248.40700000012</v>
      </c>
    </row>
    <row r="25" spans="1:11" ht="18" customHeight="1" x14ac:dyDescent="0.3">
      <c r="A25" s="733" t="s">
        <v>79</v>
      </c>
      <c r="B25" s="742" t="s">
        <v>5</v>
      </c>
      <c r="C25" s="742"/>
      <c r="D25" s="742"/>
      <c r="E25" s="742"/>
      <c r="F25" s="282">
        <v>180</v>
      </c>
      <c r="G25" s="282">
        <v>811</v>
      </c>
      <c r="H25" s="283">
        <v>33277</v>
      </c>
      <c r="I25" s="306">
        <f t="shared" si="0"/>
        <v>23576.754499999999</v>
      </c>
      <c r="J25" s="283"/>
      <c r="K25" s="284">
        <f t="shared" si="1"/>
        <v>56853.754499999995</v>
      </c>
    </row>
    <row r="26" spans="1:11" ht="18" customHeight="1" x14ac:dyDescent="0.3">
      <c r="A26" s="733" t="s">
        <v>80</v>
      </c>
      <c r="B26" s="742" t="s">
        <v>45</v>
      </c>
      <c r="C26" s="742"/>
      <c r="D26" s="742"/>
      <c r="E26" s="742"/>
      <c r="F26" s="282"/>
      <c r="G26" s="282"/>
      <c r="H26" s="283"/>
      <c r="I26" s="306">
        <f t="shared" si="0"/>
        <v>0</v>
      </c>
      <c r="J26" s="283"/>
      <c r="K26" s="284">
        <f t="shared" si="1"/>
        <v>0</v>
      </c>
    </row>
    <row r="27" spans="1:11" ht="18" customHeight="1" x14ac:dyDescent="0.3">
      <c r="A27" s="733" t="s">
        <v>81</v>
      </c>
      <c r="B27" s="742" t="s">
        <v>46</v>
      </c>
      <c r="C27" s="742"/>
      <c r="D27" s="742"/>
      <c r="E27" s="742"/>
      <c r="F27" s="282"/>
      <c r="G27" s="282"/>
      <c r="H27" s="283"/>
      <c r="I27" s="306">
        <f t="shared" si="0"/>
        <v>0</v>
      </c>
      <c r="J27" s="283"/>
      <c r="K27" s="284">
        <f t="shared" si="1"/>
        <v>0</v>
      </c>
    </row>
    <row r="28" spans="1:11" ht="18" customHeight="1" x14ac:dyDescent="0.3">
      <c r="A28" s="733" t="s">
        <v>82</v>
      </c>
      <c r="B28" s="742" t="s">
        <v>47</v>
      </c>
      <c r="C28" s="742"/>
      <c r="D28" s="742"/>
      <c r="E28" s="742"/>
      <c r="F28" s="282"/>
      <c r="G28" s="282"/>
      <c r="H28" s="283"/>
      <c r="I28" s="306">
        <f t="shared" si="0"/>
        <v>0</v>
      </c>
      <c r="J28" s="283"/>
      <c r="K28" s="284">
        <f t="shared" si="1"/>
        <v>0</v>
      </c>
    </row>
    <row r="29" spans="1:11" ht="18" customHeight="1" x14ac:dyDescent="0.3">
      <c r="A29" s="733" t="s">
        <v>83</v>
      </c>
      <c r="B29" s="742" t="s">
        <v>48</v>
      </c>
      <c r="C29" s="742"/>
      <c r="D29" s="742"/>
      <c r="E29" s="742"/>
      <c r="F29" s="282">
        <v>13422</v>
      </c>
      <c r="G29" s="282">
        <v>5078</v>
      </c>
      <c r="H29" s="283">
        <v>571217</v>
      </c>
      <c r="I29" s="306">
        <f t="shared" si="0"/>
        <v>404707.24450000003</v>
      </c>
      <c r="J29" s="283">
        <v>605518</v>
      </c>
      <c r="K29" s="284">
        <f t="shared" si="1"/>
        <v>370406.24450000003</v>
      </c>
    </row>
    <row r="30" spans="1:11" ht="18" customHeight="1" x14ac:dyDescent="0.3">
      <c r="A30" s="733" t="s">
        <v>84</v>
      </c>
      <c r="B30" s="1351"/>
      <c r="C30" s="1352"/>
      <c r="D30" s="1353"/>
      <c r="E30" s="742"/>
      <c r="F30" s="282"/>
      <c r="G30" s="282"/>
      <c r="H30" s="283"/>
      <c r="I30" s="306">
        <f t="shared" si="0"/>
        <v>0</v>
      </c>
      <c r="J30" s="283"/>
      <c r="K30" s="284">
        <f t="shared" si="1"/>
        <v>0</v>
      </c>
    </row>
    <row r="31" spans="1:11" ht="18" customHeight="1" x14ac:dyDescent="0.3">
      <c r="A31" s="733" t="s">
        <v>133</v>
      </c>
      <c r="B31" s="1351"/>
      <c r="C31" s="1352"/>
      <c r="D31" s="1353"/>
      <c r="E31" s="742"/>
      <c r="F31" s="282"/>
      <c r="G31" s="282"/>
      <c r="H31" s="283"/>
      <c r="I31" s="306">
        <f t="shared" si="0"/>
        <v>0</v>
      </c>
      <c r="J31" s="283"/>
      <c r="K31" s="284">
        <f t="shared" si="1"/>
        <v>0</v>
      </c>
    </row>
    <row r="32" spans="1:11" ht="18" customHeight="1" x14ac:dyDescent="0.3">
      <c r="A32" s="733" t="s">
        <v>134</v>
      </c>
      <c r="B32" s="837"/>
      <c r="C32" s="838"/>
      <c r="D32" s="839"/>
      <c r="E32" s="742"/>
      <c r="F32" s="282"/>
      <c r="G32" s="308"/>
      <c r="H32" s="283"/>
      <c r="I32" s="306">
        <f t="shared" si="0"/>
        <v>0</v>
      </c>
      <c r="J32" s="283"/>
      <c r="K32" s="284">
        <f t="shared" si="1"/>
        <v>0</v>
      </c>
    </row>
    <row r="33" spans="1:11" ht="18" customHeight="1" x14ac:dyDescent="0.3">
      <c r="A33" s="733" t="s">
        <v>135</v>
      </c>
      <c r="B33" s="837"/>
      <c r="C33" s="838"/>
      <c r="D33" s="839"/>
      <c r="E33" s="742"/>
      <c r="F33" s="282"/>
      <c r="G33" s="308"/>
      <c r="H33" s="283"/>
      <c r="I33" s="306">
        <f t="shared" si="0"/>
        <v>0</v>
      </c>
      <c r="J33" s="283"/>
      <c r="K33" s="284">
        <f t="shared" si="1"/>
        <v>0</v>
      </c>
    </row>
    <row r="34" spans="1:11" ht="18" customHeight="1" x14ac:dyDescent="0.3">
      <c r="A34" s="733" t="s">
        <v>136</v>
      </c>
      <c r="B34" s="1351"/>
      <c r="C34" s="1352"/>
      <c r="D34" s="1353"/>
      <c r="E34" s="742"/>
      <c r="F34" s="282"/>
      <c r="G34" s="308"/>
      <c r="H34" s="283"/>
      <c r="I34" s="306">
        <f t="shared" si="0"/>
        <v>0</v>
      </c>
      <c r="J34" s="283"/>
      <c r="K34" s="284">
        <f t="shared" si="1"/>
        <v>0</v>
      </c>
    </row>
    <row r="35" spans="1:11" ht="18" customHeight="1" x14ac:dyDescent="0.25">
      <c r="A35" s="742"/>
      <c r="B35" s="742"/>
      <c r="C35" s="742"/>
      <c r="D35" s="742"/>
      <c r="E35" s="742"/>
      <c r="F35" s="742"/>
      <c r="G35" s="742"/>
      <c r="H35" s="742"/>
      <c r="I35" s="742"/>
      <c r="J35" s="742"/>
      <c r="K35" s="315"/>
    </row>
    <row r="36" spans="1:11" ht="18" customHeight="1" x14ac:dyDescent="0.3">
      <c r="A36" s="639" t="s">
        <v>137</v>
      </c>
      <c r="B36" s="636" t="s">
        <v>138</v>
      </c>
      <c r="C36" s="742"/>
      <c r="D36" s="742"/>
      <c r="E36" s="636" t="s">
        <v>7</v>
      </c>
      <c r="F36" s="286">
        <f t="shared" ref="F36:K36" si="2">SUM(F21:F34)</f>
        <v>66990</v>
      </c>
      <c r="G36" s="286">
        <f t="shared" si="2"/>
        <v>29886</v>
      </c>
      <c r="H36" s="286">
        <f t="shared" si="2"/>
        <v>2902972</v>
      </c>
      <c r="I36" s="284">
        <f t="shared" si="2"/>
        <v>2056755.6620000002</v>
      </c>
      <c r="J36" s="284">
        <f t="shared" si="2"/>
        <v>995526</v>
      </c>
      <c r="K36" s="284">
        <f t="shared" si="2"/>
        <v>3964201.662</v>
      </c>
    </row>
    <row r="37" spans="1:11" ht="18" customHeight="1" thickBot="1" x14ac:dyDescent="0.35">
      <c r="A37" s="742"/>
      <c r="B37" s="636"/>
      <c r="C37" s="742"/>
      <c r="D37" s="742"/>
      <c r="E37" s="742"/>
      <c r="F37" s="287"/>
      <c r="G37" s="287"/>
      <c r="H37" s="288"/>
      <c r="I37" s="288"/>
      <c r="J37" s="288"/>
      <c r="K37" s="303"/>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282"/>
      <c r="G40" s="282"/>
      <c r="H40" s="283">
        <v>50002</v>
      </c>
      <c r="I40" s="306">
        <v>0</v>
      </c>
      <c r="J40" s="283"/>
      <c r="K40" s="284">
        <f t="shared" ref="K40:K47" si="3">(H40+I40)-J40</f>
        <v>50002</v>
      </c>
    </row>
    <row r="41" spans="1:11" ht="18" customHeight="1" x14ac:dyDescent="0.3">
      <c r="A41" s="733" t="s">
        <v>88</v>
      </c>
      <c r="B41" s="1359" t="s">
        <v>50</v>
      </c>
      <c r="C41" s="1359"/>
      <c r="D41" s="742"/>
      <c r="E41" s="742"/>
      <c r="F41" s="282"/>
      <c r="G41" s="282"/>
      <c r="H41" s="283"/>
      <c r="I41" s="306">
        <v>0</v>
      </c>
      <c r="J41" s="283"/>
      <c r="K41" s="284">
        <f t="shared" si="3"/>
        <v>0</v>
      </c>
    </row>
    <row r="42" spans="1:11" ht="18" customHeight="1" x14ac:dyDescent="0.3">
      <c r="A42" s="733" t="s">
        <v>89</v>
      </c>
      <c r="B42" s="635" t="s">
        <v>11</v>
      </c>
      <c r="C42" s="742"/>
      <c r="D42" s="742"/>
      <c r="E42" s="742"/>
      <c r="F42" s="282"/>
      <c r="G42" s="282"/>
      <c r="H42" s="283"/>
      <c r="I42" s="306">
        <v>0</v>
      </c>
      <c r="J42" s="283"/>
      <c r="K42" s="284">
        <f t="shared" si="3"/>
        <v>0</v>
      </c>
    </row>
    <row r="43" spans="1:11" ht="18" customHeight="1" x14ac:dyDescent="0.3">
      <c r="A43" s="733" t="s">
        <v>90</v>
      </c>
      <c r="B43" s="670" t="s">
        <v>10</v>
      </c>
      <c r="C43" s="642"/>
      <c r="D43" s="642"/>
      <c r="E43" s="742"/>
      <c r="F43" s="282"/>
      <c r="G43" s="282"/>
      <c r="H43" s="283"/>
      <c r="I43" s="306">
        <v>0</v>
      </c>
      <c r="J43" s="283"/>
      <c r="K43" s="284">
        <f t="shared" si="3"/>
        <v>0</v>
      </c>
    </row>
    <row r="44" spans="1:11" ht="18" customHeight="1" x14ac:dyDescent="0.3">
      <c r="A44" s="733" t="s">
        <v>91</v>
      </c>
      <c r="B44" s="1351"/>
      <c r="C44" s="1352"/>
      <c r="D44" s="1353"/>
      <c r="E44" s="742"/>
      <c r="F44" s="324"/>
      <c r="G44" s="324"/>
      <c r="H44" s="324"/>
      <c r="I44" s="325">
        <v>0</v>
      </c>
      <c r="J44" s="324"/>
      <c r="K44" s="326">
        <f t="shared" si="3"/>
        <v>0</v>
      </c>
    </row>
    <row r="45" spans="1:11" ht="18" customHeight="1" x14ac:dyDescent="0.3">
      <c r="A45" s="733" t="s">
        <v>139</v>
      </c>
      <c r="B45" s="1351"/>
      <c r="C45" s="1352"/>
      <c r="D45" s="1353"/>
      <c r="E45" s="742"/>
      <c r="F45" s="282"/>
      <c r="G45" s="282"/>
      <c r="H45" s="283"/>
      <c r="I45" s="306">
        <v>0</v>
      </c>
      <c r="J45" s="283"/>
      <c r="K45" s="284">
        <f t="shared" si="3"/>
        <v>0</v>
      </c>
    </row>
    <row r="46" spans="1:11" ht="18" customHeight="1" x14ac:dyDescent="0.3">
      <c r="A46" s="733" t="s">
        <v>140</v>
      </c>
      <c r="B46" s="1351"/>
      <c r="C46" s="1352"/>
      <c r="D46" s="1353"/>
      <c r="E46" s="742"/>
      <c r="F46" s="282"/>
      <c r="G46" s="282"/>
      <c r="H46" s="283"/>
      <c r="I46" s="306">
        <v>0</v>
      </c>
      <c r="J46" s="283"/>
      <c r="K46" s="284">
        <f t="shared" si="3"/>
        <v>0</v>
      </c>
    </row>
    <row r="47" spans="1:11" ht="18" customHeight="1" x14ac:dyDescent="0.3">
      <c r="A47" s="733" t="s">
        <v>141</v>
      </c>
      <c r="B47" s="1351"/>
      <c r="C47" s="1352"/>
      <c r="D47" s="1353"/>
      <c r="E47" s="742"/>
      <c r="F47" s="282"/>
      <c r="G47" s="282"/>
      <c r="H47" s="283"/>
      <c r="I47" s="306">
        <v>0</v>
      </c>
      <c r="J47" s="283"/>
      <c r="K47" s="284">
        <f t="shared" si="3"/>
        <v>0</v>
      </c>
    </row>
    <row r="49" spans="1:11" ht="18" customHeight="1" x14ac:dyDescent="0.3">
      <c r="A49" s="639" t="s">
        <v>142</v>
      </c>
      <c r="B49" s="636" t="s">
        <v>143</v>
      </c>
      <c r="C49" s="742"/>
      <c r="D49" s="742"/>
      <c r="E49" s="636" t="s">
        <v>7</v>
      </c>
      <c r="F49" s="290">
        <f t="shared" ref="F49:K49" si="4">SUM(F40:F47)</f>
        <v>0</v>
      </c>
      <c r="G49" s="290">
        <f t="shared" si="4"/>
        <v>0</v>
      </c>
      <c r="H49" s="284">
        <f t="shared" si="4"/>
        <v>50002</v>
      </c>
      <c r="I49" s="284">
        <f t="shared" si="4"/>
        <v>0</v>
      </c>
      <c r="J49" s="284">
        <f t="shared" si="4"/>
        <v>0</v>
      </c>
      <c r="K49" s="284">
        <f t="shared" si="4"/>
        <v>50002</v>
      </c>
    </row>
    <row r="50" spans="1:11" ht="18" customHeight="1" thickBot="1" x14ac:dyDescent="0.3">
      <c r="A50" s="742"/>
      <c r="B50" s="742"/>
      <c r="C50" s="742"/>
      <c r="D50" s="742"/>
      <c r="E50" s="742"/>
      <c r="F50" s="742"/>
      <c r="G50" s="291"/>
      <c r="H50" s="291"/>
      <c r="I50" s="291"/>
      <c r="J50" s="291"/>
      <c r="K50" s="291"/>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593</v>
      </c>
      <c r="C53" s="1355"/>
      <c r="D53" s="1356"/>
      <c r="E53" s="742"/>
      <c r="F53" s="282">
        <v>53040</v>
      </c>
      <c r="G53" s="282">
        <v>11709</v>
      </c>
      <c r="H53" s="283">
        <v>4015764</v>
      </c>
      <c r="I53" s="306">
        <f t="shared" ref="I53:I59" si="5">H53*F$114</f>
        <v>2845168.7940000002</v>
      </c>
      <c r="J53" s="283"/>
      <c r="K53" s="284">
        <f t="shared" ref="K53:K62" si="6">(H53+I53)-J53</f>
        <v>6860932.7939999998</v>
      </c>
    </row>
    <row r="54" spans="1:11" ht="18" customHeight="1" x14ac:dyDescent="0.3">
      <c r="A54" s="733" t="s">
        <v>93</v>
      </c>
      <c r="B54" s="840" t="s">
        <v>716</v>
      </c>
      <c r="C54" s="841"/>
      <c r="D54" s="842"/>
      <c r="E54" s="742"/>
      <c r="F54" s="282">
        <v>14016</v>
      </c>
      <c r="G54" s="282">
        <v>2400</v>
      </c>
      <c r="H54" s="283">
        <v>820065</v>
      </c>
      <c r="I54" s="306">
        <f t="shared" si="5"/>
        <v>581016.05249999999</v>
      </c>
      <c r="J54" s="283"/>
      <c r="K54" s="284">
        <f t="shared" si="6"/>
        <v>1401081.0525</v>
      </c>
    </row>
    <row r="55" spans="1:11" ht="18" customHeight="1" x14ac:dyDescent="0.3">
      <c r="A55" s="733" t="s">
        <v>94</v>
      </c>
      <c r="B55" s="1354" t="s">
        <v>594</v>
      </c>
      <c r="C55" s="1355"/>
      <c r="D55" s="1356"/>
      <c r="E55" s="742"/>
      <c r="F55" s="282">
        <v>166440</v>
      </c>
      <c r="G55" s="282">
        <v>30414</v>
      </c>
      <c r="H55" s="283">
        <v>2328335</v>
      </c>
      <c r="I55" s="306">
        <f t="shared" si="5"/>
        <v>1649625.3475000001</v>
      </c>
      <c r="J55" s="283"/>
      <c r="K55" s="284">
        <f t="shared" si="6"/>
        <v>3977960.3475000001</v>
      </c>
    </row>
    <row r="56" spans="1:11" ht="18" customHeight="1" x14ac:dyDescent="0.3">
      <c r="A56" s="733" t="s">
        <v>95</v>
      </c>
      <c r="B56" s="1354" t="s">
        <v>595</v>
      </c>
      <c r="C56" s="1355"/>
      <c r="D56" s="1356"/>
      <c r="E56" s="742"/>
      <c r="F56" s="282">
        <v>17520</v>
      </c>
      <c r="G56" s="282">
        <v>5609</v>
      </c>
      <c r="H56" s="283">
        <v>950000</v>
      </c>
      <c r="I56" s="306">
        <f t="shared" si="5"/>
        <v>673075</v>
      </c>
      <c r="J56" s="283"/>
      <c r="K56" s="284">
        <f t="shared" si="6"/>
        <v>1623075</v>
      </c>
    </row>
    <row r="57" spans="1:11" ht="18" customHeight="1" x14ac:dyDescent="0.3">
      <c r="A57" s="733" t="s">
        <v>96</v>
      </c>
      <c r="B57" s="1354" t="s">
        <v>596</v>
      </c>
      <c r="C57" s="1355"/>
      <c r="D57" s="1356"/>
      <c r="E57" s="742"/>
      <c r="F57" s="282">
        <v>8760</v>
      </c>
      <c r="G57" s="282">
        <v>1007</v>
      </c>
      <c r="H57" s="283">
        <v>990136</v>
      </c>
      <c r="I57" s="306">
        <f t="shared" si="5"/>
        <v>701511.35600000003</v>
      </c>
      <c r="J57" s="283"/>
      <c r="K57" s="284">
        <f t="shared" si="6"/>
        <v>1691647.3560000001</v>
      </c>
    </row>
    <row r="58" spans="1:11" ht="18" customHeight="1" x14ac:dyDescent="0.3">
      <c r="A58" s="733" t="s">
        <v>97</v>
      </c>
      <c r="B58" s="840" t="s">
        <v>597</v>
      </c>
      <c r="C58" s="841"/>
      <c r="D58" s="842"/>
      <c r="E58" s="742"/>
      <c r="F58" s="282">
        <v>10448</v>
      </c>
      <c r="G58" s="282">
        <v>1735</v>
      </c>
      <c r="H58" s="283">
        <v>532835</v>
      </c>
      <c r="I58" s="306">
        <f t="shared" si="5"/>
        <v>377513.59750000003</v>
      </c>
      <c r="J58" s="283"/>
      <c r="K58" s="284">
        <f t="shared" si="6"/>
        <v>910348.59750000003</v>
      </c>
    </row>
    <row r="59" spans="1:11" ht="18" customHeight="1" x14ac:dyDescent="0.3">
      <c r="A59" s="733" t="s">
        <v>98</v>
      </c>
      <c r="B59" s="1354" t="s">
        <v>598</v>
      </c>
      <c r="C59" s="1355"/>
      <c r="D59" s="1356"/>
      <c r="E59" s="742"/>
      <c r="F59" s="282">
        <v>4513</v>
      </c>
      <c r="G59" s="282">
        <v>2663</v>
      </c>
      <c r="H59" s="283">
        <v>126953</v>
      </c>
      <c r="I59" s="306">
        <f t="shared" si="5"/>
        <v>89946.200500000006</v>
      </c>
      <c r="J59" s="283">
        <v>10816</v>
      </c>
      <c r="K59" s="284">
        <f t="shared" si="6"/>
        <v>206083.20050000001</v>
      </c>
    </row>
    <row r="60" spans="1:11" ht="18" customHeight="1" x14ac:dyDescent="0.3">
      <c r="A60" s="733" t="s">
        <v>99</v>
      </c>
      <c r="B60" s="840" t="s">
        <v>599</v>
      </c>
      <c r="C60" s="841"/>
      <c r="D60" s="842"/>
      <c r="E60" s="742"/>
      <c r="F60" s="282"/>
      <c r="G60" s="282"/>
      <c r="H60" s="283">
        <v>152200</v>
      </c>
      <c r="I60" s="306">
        <v>0</v>
      </c>
      <c r="J60" s="283"/>
      <c r="K60" s="284">
        <f t="shared" si="6"/>
        <v>152200</v>
      </c>
    </row>
    <row r="61" spans="1:11" ht="18" customHeight="1" x14ac:dyDescent="0.3">
      <c r="A61" s="733" t="s">
        <v>100</v>
      </c>
      <c r="B61" s="840"/>
      <c r="C61" s="841"/>
      <c r="D61" s="842"/>
      <c r="E61" s="742"/>
      <c r="F61" s="282"/>
      <c r="G61" s="282"/>
      <c r="H61" s="283"/>
      <c r="I61" s="306">
        <v>0</v>
      </c>
      <c r="J61" s="283"/>
      <c r="K61" s="284">
        <f t="shared" si="6"/>
        <v>0</v>
      </c>
    </row>
    <row r="62" spans="1:11" ht="18" customHeight="1" x14ac:dyDescent="0.3">
      <c r="A62" s="733" t="s">
        <v>101</v>
      </c>
      <c r="B62" s="1354"/>
      <c r="C62" s="1355"/>
      <c r="D62" s="1356"/>
      <c r="E62" s="742"/>
      <c r="F62" s="282"/>
      <c r="G62" s="282"/>
      <c r="H62" s="283"/>
      <c r="I62" s="306">
        <v>0</v>
      </c>
      <c r="J62" s="283"/>
      <c r="K62" s="284">
        <f t="shared" si="6"/>
        <v>0</v>
      </c>
    </row>
    <row r="63" spans="1:11" ht="18" customHeight="1" x14ac:dyDescent="0.3">
      <c r="A63" s="733"/>
      <c r="B63" s="742"/>
      <c r="C63" s="742"/>
      <c r="D63" s="742"/>
      <c r="E63" s="742"/>
      <c r="F63" s="742"/>
      <c r="G63" s="742"/>
      <c r="H63" s="742"/>
      <c r="I63" s="276"/>
      <c r="J63" s="742"/>
      <c r="K63" s="742"/>
    </row>
    <row r="64" spans="1:11" ht="18" customHeight="1" x14ac:dyDescent="0.3">
      <c r="A64" s="733" t="s">
        <v>144</v>
      </c>
      <c r="B64" s="636" t="s">
        <v>145</v>
      </c>
      <c r="C64" s="742"/>
      <c r="D64" s="742"/>
      <c r="E64" s="636" t="s">
        <v>7</v>
      </c>
      <c r="F64" s="286">
        <f t="shared" ref="F64:K64" si="7">SUM(F53:F62)</f>
        <v>274737</v>
      </c>
      <c r="G64" s="286">
        <f t="shared" si="7"/>
        <v>55537</v>
      </c>
      <c r="H64" s="284">
        <f t="shared" si="7"/>
        <v>9916288</v>
      </c>
      <c r="I64" s="284">
        <f t="shared" si="7"/>
        <v>6917856.3480000002</v>
      </c>
      <c r="J64" s="284">
        <f t="shared" si="7"/>
        <v>10816</v>
      </c>
      <c r="K64" s="284">
        <f t="shared" si="7"/>
        <v>16823328.348000001</v>
      </c>
    </row>
    <row r="65" spans="1:11" ht="18" customHeight="1" x14ac:dyDescent="0.25">
      <c r="A65" s="742"/>
      <c r="B65" s="742"/>
      <c r="C65" s="742"/>
      <c r="D65" s="742"/>
      <c r="E65" s="742"/>
      <c r="F65" s="304"/>
      <c r="G65" s="304"/>
      <c r="H65" s="304"/>
      <c r="I65" s="304"/>
      <c r="J65" s="304"/>
      <c r="K65" s="304"/>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307">
        <v>8434</v>
      </c>
      <c r="G68" s="307">
        <v>43</v>
      </c>
      <c r="H68" s="307">
        <v>296579</v>
      </c>
      <c r="I68" s="306">
        <f t="shared" ref="I68" si="8">H68*F$114</f>
        <v>210126.22150000001</v>
      </c>
      <c r="J68" s="307">
        <v>130518</v>
      </c>
      <c r="K68" s="284">
        <f>(H68+I68)-J68</f>
        <v>376187.22149999999</v>
      </c>
    </row>
    <row r="69" spans="1:11" ht="18" customHeight="1" x14ac:dyDescent="0.3">
      <c r="A69" s="733" t="s">
        <v>104</v>
      </c>
      <c r="B69" s="635" t="s">
        <v>53</v>
      </c>
      <c r="C69" s="742"/>
      <c r="D69" s="742"/>
      <c r="E69" s="742"/>
      <c r="F69" s="307"/>
      <c r="G69" s="307"/>
      <c r="H69" s="307"/>
      <c r="I69" s="306">
        <v>0</v>
      </c>
      <c r="J69" s="307"/>
      <c r="K69" s="284">
        <f>(H69+I69)-J69</f>
        <v>0</v>
      </c>
    </row>
    <row r="70" spans="1:11" ht="18" customHeight="1" x14ac:dyDescent="0.3">
      <c r="A70" s="733" t="s">
        <v>178</v>
      </c>
      <c r="B70" s="840"/>
      <c r="C70" s="841"/>
      <c r="D70" s="842"/>
      <c r="E70" s="636"/>
      <c r="F70" s="294"/>
      <c r="G70" s="294"/>
      <c r="H70" s="295"/>
      <c r="I70" s="306">
        <v>0</v>
      </c>
      <c r="J70" s="295"/>
      <c r="K70" s="284">
        <f>(H70+I70)-J70</f>
        <v>0</v>
      </c>
    </row>
    <row r="71" spans="1:11" ht="18" customHeight="1" x14ac:dyDescent="0.3">
      <c r="A71" s="733" t="s">
        <v>179</v>
      </c>
      <c r="B71" s="840"/>
      <c r="C71" s="841"/>
      <c r="D71" s="842"/>
      <c r="E71" s="636"/>
      <c r="F71" s="294"/>
      <c r="G71" s="294"/>
      <c r="H71" s="295"/>
      <c r="I71" s="306">
        <v>0</v>
      </c>
      <c r="J71" s="295"/>
      <c r="K71" s="284">
        <f>(H71+I71)-J71</f>
        <v>0</v>
      </c>
    </row>
    <row r="72" spans="1:11" ht="18" customHeight="1" x14ac:dyDescent="0.3">
      <c r="A72" s="733" t="s">
        <v>180</v>
      </c>
      <c r="B72" s="843"/>
      <c r="C72" s="844"/>
      <c r="D72" s="293"/>
      <c r="E72" s="636"/>
      <c r="F72" s="282"/>
      <c r="G72" s="282"/>
      <c r="H72" s="283"/>
      <c r="I72" s="306">
        <v>0</v>
      </c>
      <c r="J72" s="283"/>
      <c r="K72" s="284">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289">
        <f t="shared" ref="F74:K74" si="9">SUM(F68:F72)</f>
        <v>8434</v>
      </c>
      <c r="G74" s="289">
        <f t="shared" si="9"/>
        <v>43</v>
      </c>
      <c r="H74" s="289">
        <f t="shared" si="9"/>
        <v>296579</v>
      </c>
      <c r="I74" s="309">
        <f t="shared" si="9"/>
        <v>210126.22150000001</v>
      </c>
      <c r="J74" s="289">
        <f t="shared" si="9"/>
        <v>130518</v>
      </c>
      <c r="K74" s="285">
        <f t="shared" si="9"/>
        <v>376187.22149999999</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282"/>
      <c r="G77" s="282"/>
      <c r="H77" s="283">
        <v>68174</v>
      </c>
      <c r="I77" s="306">
        <v>0</v>
      </c>
      <c r="J77" s="283"/>
      <c r="K77" s="284">
        <f>(H77+I77)-J77</f>
        <v>68174</v>
      </c>
    </row>
    <row r="78" spans="1:11" ht="18" customHeight="1" x14ac:dyDescent="0.3">
      <c r="A78" s="733" t="s">
        <v>108</v>
      </c>
      <c r="B78" s="635" t="s">
        <v>55</v>
      </c>
      <c r="C78" s="742"/>
      <c r="D78" s="742"/>
      <c r="E78" s="742"/>
      <c r="F78" s="282"/>
      <c r="G78" s="282"/>
      <c r="H78" s="283"/>
      <c r="I78" s="306">
        <v>0</v>
      </c>
      <c r="J78" s="283"/>
      <c r="K78" s="284">
        <f>(H78+I78)-J78</f>
        <v>0</v>
      </c>
    </row>
    <row r="79" spans="1:11" ht="18" customHeight="1" x14ac:dyDescent="0.3">
      <c r="A79" s="733" t="s">
        <v>109</v>
      </c>
      <c r="B79" s="635" t="s">
        <v>13</v>
      </c>
      <c r="C79" s="742"/>
      <c r="D79" s="742"/>
      <c r="E79" s="742"/>
      <c r="F79" s="282"/>
      <c r="G79" s="282"/>
      <c r="H79" s="283"/>
      <c r="I79" s="306">
        <v>0</v>
      </c>
      <c r="J79" s="283"/>
      <c r="K79" s="284">
        <f>(H79+I79)-J79</f>
        <v>0</v>
      </c>
    </row>
    <row r="80" spans="1:11" ht="18" customHeight="1" x14ac:dyDescent="0.3">
      <c r="A80" s="733" t="s">
        <v>110</v>
      </c>
      <c r="B80" s="635" t="s">
        <v>56</v>
      </c>
      <c r="C80" s="742"/>
      <c r="D80" s="742"/>
      <c r="E80" s="742"/>
      <c r="F80" s="282"/>
      <c r="G80" s="282"/>
      <c r="H80" s="283"/>
      <c r="I80" s="306">
        <v>0</v>
      </c>
      <c r="J80" s="283"/>
      <c r="K80" s="284">
        <f>(H80+I80)-J80</f>
        <v>0</v>
      </c>
    </row>
    <row r="81" spans="1:11" ht="18" customHeight="1" x14ac:dyDescent="0.3">
      <c r="A81" s="733"/>
      <c r="B81" s="742"/>
      <c r="C81" s="742"/>
      <c r="D81" s="742"/>
      <c r="E81" s="742"/>
      <c r="F81" s="742"/>
      <c r="G81" s="742"/>
      <c r="H81" s="742"/>
      <c r="I81" s="742"/>
      <c r="J81" s="742"/>
      <c r="K81" s="299"/>
    </row>
    <row r="82" spans="1:11" ht="18" customHeight="1" x14ac:dyDescent="0.3">
      <c r="A82" s="733" t="s">
        <v>148</v>
      </c>
      <c r="B82" s="636" t="s">
        <v>149</v>
      </c>
      <c r="C82" s="742"/>
      <c r="D82" s="742"/>
      <c r="E82" s="636" t="s">
        <v>7</v>
      </c>
      <c r="F82" s="289">
        <f t="shared" ref="F82:K82" si="10">SUM(F77:F80)</f>
        <v>0</v>
      </c>
      <c r="G82" s="289">
        <f t="shared" si="10"/>
        <v>0</v>
      </c>
      <c r="H82" s="285">
        <f t="shared" si="10"/>
        <v>68174</v>
      </c>
      <c r="I82" s="285">
        <f t="shared" si="10"/>
        <v>0</v>
      </c>
      <c r="J82" s="285">
        <f t="shared" si="10"/>
        <v>0</v>
      </c>
      <c r="K82" s="285">
        <f t="shared" si="10"/>
        <v>68174</v>
      </c>
    </row>
    <row r="83" spans="1:11" ht="18" customHeight="1" thickBot="1" x14ac:dyDescent="0.35">
      <c r="A83" s="733"/>
      <c r="B83" s="742"/>
      <c r="C83" s="742"/>
      <c r="D83" s="742"/>
      <c r="E83" s="742"/>
      <c r="F83" s="291"/>
      <c r="G83" s="291"/>
      <c r="H83" s="291"/>
      <c r="I83" s="291"/>
      <c r="J83" s="291"/>
      <c r="K83" s="291"/>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282"/>
      <c r="G86" s="282"/>
      <c r="H86" s="283"/>
      <c r="I86" s="306">
        <f t="shared" ref="I86:I96" si="11">H86*F$114</f>
        <v>0</v>
      </c>
      <c r="J86" s="283"/>
      <c r="K86" s="284">
        <f t="shared" ref="K86:K96" si="12">(H86+I86)-J86</f>
        <v>0</v>
      </c>
    </row>
    <row r="87" spans="1:11" ht="18" customHeight="1" x14ac:dyDescent="0.3">
      <c r="A87" s="733" t="s">
        <v>114</v>
      </c>
      <c r="B87" s="635" t="s">
        <v>14</v>
      </c>
      <c r="C87" s="742"/>
      <c r="D87" s="742"/>
      <c r="E87" s="742"/>
      <c r="F87" s="282"/>
      <c r="G87" s="282"/>
      <c r="H87" s="283"/>
      <c r="I87" s="306">
        <f t="shared" si="11"/>
        <v>0</v>
      </c>
      <c r="J87" s="283"/>
      <c r="K87" s="284">
        <f t="shared" si="12"/>
        <v>0</v>
      </c>
    </row>
    <row r="88" spans="1:11" ht="18" customHeight="1" x14ac:dyDescent="0.3">
      <c r="A88" s="733" t="s">
        <v>115</v>
      </c>
      <c r="B88" s="635" t="s">
        <v>116</v>
      </c>
      <c r="C88" s="742"/>
      <c r="D88" s="742"/>
      <c r="E88" s="742"/>
      <c r="F88" s="282"/>
      <c r="G88" s="282"/>
      <c r="H88" s="283"/>
      <c r="I88" s="306">
        <f t="shared" si="11"/>
        <v>0</v>
      </c>
      <c r="J88" s="283"/>
      <c r="K88" s="284">
        <f t="shared" si="12"/>
        <v>0</v>
      </c>
    </row>
    <row r="89" spans="1:11" ht="18" customHeight="1" x14ac:dyDescent="0.3">
      <c r="A89" s="733" t="s">
        <v>117</v>
      </c>
      <c r="B89" s="635" t="s">
        <v>58</v>
      </c>
      <c r="C89" s="742"/>
      <c r="D89" s="742"/>
      <c r="E89" s="742"/>
      <c r="F89" s="282"/>
      <c r="G89" s="282"/>
      <c r="H89" s="283"/>
      <c r="I89" s="306">
        <f t="shared" si="11"/>
        <v>0</v>
      </c>
      <c r="J89" s="283"/>
      <c r="K89" s="284">
        <f t="shared" si="12"/>
        <v>0</v>
      </c>
    </row>
    <row r="90" spans="1:11" ht="18" customHeight="1" x14ac:dyDescent="0.3">
      <c r="A90" s="733" t="s">
        <v>118</v>
      </c>
      <c r="B90" s="1359" t="s">
        <v>59</v>
      </c>
      <c r="C90" s="1359"/>
      <c r="D90" s="742"/>
      <c r="E90" s="742"/>
      <c r="F90" s="282"/>
      <c r="G90" s="282"/>
      <c r="H90" s="283"/>
      <c r="I90" s="306">
        <f t="shared" si="11"/>
        <v>0</v>
      </c>
      <c r="J90" s="283"/>
      <c r="K90" s="284">
        <f t="shared" si="12"/>
        <v>0</v>
      </c>
    </row>
    <row r="91" spans="1:11" ht="18" customHeight="1" x14ac:dyDescent="0.3">
      <c r="A91" s="733" t="s">
        <v>119</v>
      </c>
      <c r="B91" s="635" t="s">
        <v>60</v>
      </c>
      <c r="C91" s="742"/>
      <c r="D91" s="742"/>
      <c r="E91" s="742"/>
      <c r="F91" s="282"/>
      <c r="G91" s="282"/>
      <c r="H91" s="283"/>
      <c r="I91" s="306">
        <f t="shared" si="11"/>
        <v>0</v>
      </c>
      <c r="J91" s="283"/>
      <c r="K91" s="284">
        <f t="shared" si="12"/>
        <v>0</v>
      </c>
    </row>
    <row r="92" spans="1:11" ht="18" customHeight="1" x14ac:dyDescent="0.3">
      <c r="A92" s="733" t="s">
        <v>120</v>
      </c>
      <c r="B92" s="635" t="s">
        <v>121</v>
      </c>
      <c r="C92" s="742"/>
      <c r="D92" s="742"/>
      <c r="E92" s="742"/>
      <c r="F92" s="297"/>
      <c r="G92" s="297"/>
      <c r="H92" s="298"/>
      <c r="I92" s="306">
        <f t="shared" si="11"/>
        <v>0</v>
      </c>
      <c r="J92" s="298"/>
      <c r="K92" s="284">
        <f t="shared" si="12"/>
        <v>0</v>
      </c>
    </row>
    <row r="93" spans="1:11" ht="18" customHeight="1" x14ac:dyDescent="0.3">
      <c r="A93" s="733" t="s">
        <v>122</v>
      </c>
      <c r="B93" s="635" t="s">
        <v>123</v>
      </c>
      <c r="C93" s="742"/>
      <c r="D93" s="742"/>
      <c r="E93" s="742"/>
      <c r="F93" s="282"/>
      <c r="G93" s="282"/>
      <c r="H93" s="283"/>
      <c r="I93" s="306">
        <f t="shared" si="11"/>
        <v>0</v>
      </c>
      <c r="J93" s="283"/>
      <c r="K93" s="284">
        <f t="shared" si="12"/>
        <v>0</v>
      </c>
    </row>
    <row r="94" spans="1:11" ht="18" customHeight="1" x14ac:dyDescent="0.3">
      <c r="A94" s="733" t="s">
        <v>124</v>
      </c>
      <c r="B94" s="1354"/>
      <c r="C94" s="1355"/>
      <c r="D94" s="1356"/>
      <c r="E94" s="742"/>
      <c r="F94" s="282"/>
      <c r="G94" s="282"/>
      <c r="H94" s="283"/>
      <c r="I94" s="306">
        <f t="shared" si="11"/>
        <v>0</v>
      </c>
      <c r="J94" s="283"/>
      <c r="K94" s="284">
        <f t="shared" si="12"/>
        <v>0</v>
      </c>
    </row>
    <row r="95" spans="1:11" ht="18" customHeight="1" x14ac:dyDescent="0.3">
      <c r="A95" s="733" t="s">
        <v>125</v>
      </c>
      <c r="B95" s="1354"/>
      <c r="C95" s="1355"/>
      <c r="D95" s="1356"/>
      <c r="E95" s="742"/>
      <c r="F95" s="282"/>
      <c r="G95" s="282"/>
      <c r="H95" s="283"/>
      <c r="I95" s="306">
        <f t="shared" si="11"/>
        <v>0</v>
      </c>
      <c r="J95" s="283"/>
      <c r="K95" s="284">
        <f t="shared" si="12"/>
        <v>0</v>
      </c>
    </row>
    <row r="96" spans="1:11" ht="18" customHeight="1" x14ac:dyDescent="0.3">
      <c r="A96" s="733" t="s">
        <v>126</v>
      </c>
      <c r="B96" s="1354"/>
      <c r="C96" s="1355"/>
      <c r="D96" s="1356"/>
      <c r="E96" s="742"/>
      <c r="F96" s="282"/>
      <c r="G96" s="282"/>
      <c r="H96" s="283"/>
      <c r="I96" s="306">
        <f t="shared" si="11"/>
        <v>0</v>
      </c>
      <c r="J96" s="283"/>
      <c r="K96" s="284">
        <f t="shared" si="12"/>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286">
        <f t="shared" ref="F98:K98" si="13">SUM(F86:F96)</f>
        <v>0</v>
      </c>
      <c r="G98" s="286">
        <f t="shared" si="13"/>
        <v>0</v>
      </c>
      <c r="H98" s="286">
        <f t="shared" si="13"/>
        <v>0</v>
      </c>
      <c r="I98" s="286">
        <f t="shared" si="13"/>
        <v>0</v>
      </c>
      <c r="J98" s="286">
        <f t="shared" si="13"/>
        <v>0</v>
      </c>
      <c r="K98" s="286">
        <f t="shared" si="13"/>
        <v>0</v>
      </c>
    </row>
    <row r="99" spans="1:11" ht="18" customHeight="1" thickBot="1" x14ac:dyDescent="0.35">
      <c r="A99" s="742"/>
      <c r="B99" s="636"/>
      <c r="C99" s="742"/>
      <c r="D99" s="742"/>
      <c r="E99" s="742"/>
      <c r="F99" s="291"/>
      <c r="G99" s="291"/>
      <c r="H99" s="291"/>
      <c r="I99" s="291"/>
      <c r="J99" s="291"/>
      <c r="K99" s="291"/>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282">
        <v>97</v>
      </c>
      <c r="G102" s="282"/>
      <c r="H102" s="283">
        <v>7971</v>
      </c>
      <c r="I102" s="306">
        <f>H102*F$114</f>
        <v>5647.4535000000005</v>
      </c>
      <c r="J102" s="283"/>
      <c r="K102" s="284">
        <f>(H102+I102)-J102</f>
        <v>13618.4535</v>
      </c>
    </row>
    <row r="103" spans="1:11" ht="18" customHeight="1" x14ac:dyDescent="0.3">
      <c r="A103" s="733" t="s">
        <v>132</v>
      </c>
      <c r="B103" s="1357" t="s">
        <v>62</v>
      </c>
      <c r="C103" s="1357"/>
      <c r="D103" s="742"/>
      <c r="E103" s="742"/>
      <c r="F103" s="282">
        <v>44</v>
      </c>
      <c r="G103" s="282"/>
      <c r="H103" s="283">
        <v>2762</v>
      </c>
      <c r="I103" s="306">
        <f>H103*F$114</f>
        <v>1956.877</v>
      </c>
      <c r="J103" s="283"/>
      <c r="K103" s="284">
        <f>(H103+I103)-J103</f>
        <v>4718.8770000000004</v>
      </c>
    </row>
    <row r="104" spans="1:11" ht="18" customHeight="1" x14ac:dyDescent="0.3">
      <c r="A104" s="733" t="s">
        <v>128</v>
      </c>
      <c r="B104" s="1354"/>
      <c r="C104" s="1355"/>
      <c r="D104" s="1356"/>
      <c r="E104" s="742"/>
      <c r="F104" s="282"/>
      <c r="G104" s="282"/>
      <c r="H104" s="283"/>
      <c r="I104" s="306">
        <f>H104*F$114</f>
        <v>0</v>
      </c>
      <c r="J104" s="283"/>
      <c r="K104" s="284">
        <f>(H104+I104)-J104</f>
        <v>0</v>
      </c>
    </row>
    <row r="105" spans="1:11" ht="18" customHeight="1" x14ac:dyDescent="0.3">
      <c r="A105" s="733" t="s">
        <v>127</v>
      </c>
      <c r="B105" s="1354"/>
      <c r="C105" s="1355"/>
      <c r="D105" s="1356"/>
      <c r="E105" s="742"/>
      <c r="F105" s="282"/>
      <c r="G105" s="282"/>
      <c r="H105" s="283"/>
      <c r="I105" s="306">
        <f>H105*F$114</f>
        <v>0</v>
      </c>
      <c r="J105" s="283"/>
      <c r="K105" s="284">
        <f>(H105+I105)-J105</f>
        <v>0</v>
      </c>
    </row>
    <row r="106" spans="1:11" ht="18" customHeight="1" x14ac:dyDescent="0.3">
      <c r="A106" s="733" t="s">
        <v>129</v>
      </c>
      <c r="B106" s="1354"/>
      <c r="C106" s="1355"/>
      <c r="D106" s="1356"/>
      <c r="E106" s="742"/>
      <c r="F106" s="282"/>
      <c r="G106" s="282"/>
      <c r="H106" s="283"/>
      <c r="I106" s="306">
        <f>H106*F$114</f>
        <v>0</v>
      </c>
      <c r="J106" s="283"/>
      <c r="K106" s="284">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286">
        <f t="shared" ref="F108:K108" si="14">SUM(F102:F106)</f>
        <v>141</v>
      </c>
      <c r="G108" s="286">
        <f t="shared" si="14"/>
        <v>0</v>
      </c>
      <c r="H108" s="284">
        <f t="shared" si="14"/>
        <v>10733</v>
      </c>
      <c r="I108" s="284">
        <f t="shared" si="14"/>
        <v>7604.3305</v>
      </c>
      <c r="J108" s="284">
        <f t="shared" si="14"/>
        <v>0</v>
      </c>
      <c r="K108" s="284">
        <f t="shared" si="14"/>
        <v>18337.3305</v>
      </c>
    </row>
    <row r="109" spans="1:11" s="29" customFormat="1" ht="18" customHeight="1" thickBot="1" x14ac:dyDescent="0.35">
      <c r="A109" s="279"/>
      <c r="B109" s="280"/>
      <c r="C109" s="281"/>
      <c r="D109" s="281"/>
      <c r="E109" s="281"/>
      <c r="F109" s="291"/>
      <c r="G109" s="291"/>
      <c r="H109" s="291"/>
      <c r="I109" s="291"/>
      <c r="J109" s="291"/>
      <c r="K109" s="291"/>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283">
        <v>8081000</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6" ht="18" customHeight="1" x14ac:dyDescent="0.3">
      <c r="A113" s="639"/>
      <c r="B113" s="636" t="s">
        <v>15</v>
      </c>
      <c r="C113" s="742"/>
      <c r="D113" s="742"/>
      <c r="E113" s="742"/>
      <c r="F113" s="742"/>
    </row>
    <row r="114" spans="1:6" ht="18" customHeight="1" x14ac:dyDescent="0.3">
      <c r="A114" s="733" t="s">
        <v>171</v>
      </c>
      <c r="B114" s="635" t="s">
        <v>35</v>
      </c>
      <c r="C114" s="742"/>
      <c r="D114" s="742"/>
      <c r="E114" s="742"/>
      <c r="F114" s="292">
        <v>0.70850000000000002</v>
      </c>
    </row>
    <row r="115" spans="1:6" ht="18" customHeight="1" x14ac:dyDescent="0.3">
      <c r="A115" s="733"/>
      <c r="B115" s="636"/>
      <c r="C115" s="742"/>
      <c r="D115" s="742"/>
      <c r="E115" s="742"/>
      <c r="F115" s="742"/>
    </row>
    <row r="116" spans="1:6" ht="18" customHeight="1" x14ac:dyDescent="0.3">
      <c r="A116" s="733" t="s">
        <v>170</v>
      </c>
      <c r="B116" s="636" t="s">
        <v>16</v>
      </c>
      <c r="C116" s="742"/>
      <c r="D116" s="742"/>
      <c r="E116" s="742"/>
      <c r="F116" s="742"/>
    </row>
    <row r="117" spans="1:6" ht="18" customHeight="1" x14ac:dyDescent="0.3">
      <c r="A117" s="733" t="s">
        <v>172</v>
      </c>
      <c r="B117" s="635" t="s">
        <v>17</v>
      </c>
      <c r="C117" s="742"/>
      <c r="D117" s="742"/>
      <c r="E117" s="742"/>
      <c r="F117" s="283">
        <v>356894000</v>
      </c>
    </row>
    <row r="118" spans="1:6" ht="18" customHeight="1" x14ac:dyDescent="0.3">
      <c r="A118" s="733" t="s">
        <v>173</v>
      </c>
      <c r="B118" s="742" t="s">
        <v>18</v>
      </c>
      <c r="C118" s="742"/>
      <c r="D118" s="742"/>
      <c r="E118" s="742"/>
      <c r="F118" s="283">
        <v>7292000</v>
      </c>
    </row>
    <row r="119" spans="1:6" ht="18" customHeight="1" x14ac:dyDescent="0.3">
      <c r="A119" s="733" t="s">
        <v>174</v>
      </c>
      <c r="B119" s="636" t="s">
        <v>19</v>
      </c>
      <c r="C119" s="742"/>
      <c r="D119" s="742"/>
      <c r="E119" s="742"/>
      <c r="F119" s="285">
        <f>SUM(F117:F118)</f>
        <v>364186000</v>
      </c>
    </row>
    <row r="120" spans="1:6" ht="18" customHeight="1" x14ac:dyDescent="0.3">
      <c r="A120" s="733"/>
      <c r="B120" s="636"/>
      <c r="C120" s="742"/>
      <c r="D120" s="742"/>
      <c r="E120" s="742"/>
      <c r="F120" s="742"/>
    </row>
    <row r="121" spans="1:6" ht="18" customHeight="1" x14ac:dyDescent="0.3">
      <c r="A121" s="733" t="s">
        <v>167</v>
      </c>
      <c r="B121" s="636" t="s">
        <v>36</v>
      </c>
      <c r="C121" s="742"/>
      <c r="D121" s="742"/>
      <c r="E121" s="742"/>
      <c r="F121" s="283">
        <f>346207000+3911000</f>
        <v>350118000</v>
      </c>
    </row>
    <row r="122" spans="1:6" ht="18" customHeight="1" x14ac:dyDescent="0.3">
      <c r="A122" s="733"/>
      <c r="B122" s="742"/>
      <c r="C122" s="742"/>
      <c r="D122" s="742"/>
      <c r="E122" s="742"/>
      <c r="F122" s="742"/>
    </row>
    <row r="123" spans="1:6" ht="18" customHeight="1" x14ac:dyDescent="0.3">
      <c r="A123" s="733" t="s">
        <v>175</v>
      </c>
      <c r="B123" s="636" t="s">
        <v>20</v>
      </c>
      <c r="C123" s="742"/>
      <c r="D123" s="742"/>
      <c r="E123" s="742"/>
      <c r="F123" s="283">
        <f>F119-F121</f>
        <v>14068000</v>
      </c>
    </row>
    <row r="124" spans="1:6" ht="18" customHeight="1" x14ac:dyDescent="0.3">
      <c r="A124" s="733"/>
      <c r="B124" s="742"/>
      <c r="C124" s="742"/>
      <c r="D124" s="742"/>
      <c r="E124" s="742"/>
      <c r="F124" s="742"/>
    </row>
    <row r="125" spans="1:6" ht="18" customHeight="1" x14ac:dyDescent="0.3">
      <c r="A125" s="733" t="s">
        <v>176</v>
      </c>
      <c r="B125" s="636" t="s">
        <v>21</v>
      </c>
      <c r="C125" s="742"/>
      <c r="D125" s="742"/>
      <c r="E125" s="742"/>
      <c r="F125" s="283">
        <v>13084000</v>
      </c>
    </row>
    <row r="126" spans="1:6" ht="18" customHeight="1" x14ac:dyDescent="0.3">
      <c r="A126" s="733"/>
      <c r="B126" s="742"/>
      <c r="C126" s="742"/>
      <c r="D126" s="742"/>
      <c r="E126" s="742"/>
      <c r="F126" s="742"/>
    </row>
    <row r="127" spans="1:6" ht="18" customHeight="1" x14ac:dyDescent="0.3">
      <c r="A127" s="733" t="s">
        <v>177</v>
      </c>
      <c r="B127" s="636" t="s">
        <v>22</v>
      </c>
      <c r="C127" s="742"/>
      <c r="D127" s="742"/>
      <c r="E127" s="742"/>
      <c r="F127" s="283">
        <f>F123+F125</f>
        <v>27152000</v>
      </c>
    </row>
    <row r="128" spans="1:6" ht="18" customHeight="1" x14ac:dyDescent="0.3">
      <c r="A128" s="733"/>
      <c r="B128" s="742"/>
      <c r="C128" s="742"/>
      <c r="D128" s="742"/>
      <c r="E128" s="742"/>
      <c r="F128" s="742"/>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282"/>
      <c r="G131" s="282"/>
      <c r="H131" s="283"/>
      <c r="I131" s="306">
        <v>0</v>
      </c>
      <c r="J131" s="283"/>
      <c r="K131" s="284">
        <f>(H131+I131)-J131</f>
        <v>0</v>
      </c>
    </row>
    <row r="132" spans="1:11" ht="18" customHeight="1" x14ac:dyDescent="0.3">
      <c r="A132" s="733" t="s">
        <v>159</v>
      </c>
      <c r="B132" s="742" t="s">
        <v>25</v>
      </c>
      <c r="C132" s="742"/>
      <c r="D132" s="742"/>
      <c r="E132" s="742"/>
      <c r="F132" s="282"/>
      <c r="G132" s="282"/>
      <c r="H132" s="283"/>
      <c r="I132" s="306">
        <v>0</v>
      </c>
      <c r="J132" s="283"/>
      <c r="K132" s="284">
        <f>(H132+I132)-J132</f>
        <v>0</v>
      </c>
    </row>
    <row r="133" spans="1:11" ht="18" customHeight="1" x14ac:dyDescent="0.3">
      <c r="A133" s="733" t="s">
        <v>160</v>
      </c>
      <c r="B133" s="1351"/>
      <c r="C133" s="1352"/>
      <c r="D133" s="1353"/>
      <c r="E133" s="742"/>
      <c r="F133" s="282"/>
      <c r="G133" s="282"/>
      <c r="H133" s="283"/>
      <c r="I133" s="306">
        <v>0</v>
      </c>
      <c r="J133" s="283"/>
      <c r="K133" s="284">
        <f>(H133+I133)-J133</f>
        <v>0</v>
      </c>
    </row>
    <row r="134" spans="1:11" ht="18" customHeight="1" x14ac:dyDescent="0.3">
      <c r="A134" s="733" t="s">
        <v>161</v>
      </c>
      <c r="B134" s="1351"/>
      <c r="C134" s="1352"/>
      <c r="D134" s="1353"/>
      <c r="E134" s="742"/>
      <c r="F134" s="282"/>
      <c r="G134" s="282"/>
      <c r="H134" s="283"/>
      <c r="I134" s="306">
        <v>0</v>
      </c>
      <c r="J134" s="283"/>
      <c r="K134" s="284">
        <f>(H134+I134)-J134</f>
        <v>0</v>
      </c>
    </row>
    <row r="135" spans="1:11" ht="18" customHeight="1" x14ac:dyDescent="0.3">
      <c r="A135" s="733" t="s">
        <v>162</v>
      </c>
      <c r="B135" s="1351"/>
      <c r="C135" s="1352"/>
      <c r="D135" s="1353"/>
      <c r="E135" s="742"/>
      <c r="F135" s="282"/>
      <c r="G135" s="282"/>
      <c r="H135" s="283"/>
      <c r="I135" s="306">
        <v>0</v>
      </c>
      <c r="J135" s="283"/>
      <c r="K135" s="284">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286">
        <f t="shared" ref="F137:K137" si="15">SUM(F131:F135)</f>
        <v>0</v>
      </c>
      <c r="G137" s="286">
        <f t="shared" si="15"/>
        <v>0</v>
      </c>
      <c r="H137" s="284">
        <f t="shared" si="15"/>
        <v>0</v>
      </c>
      <c r="I137" s="284">
        <f t="shared" si="15"/>
        <v>0</v>
      </c>
      <c r="J137" s="284">
        <f t="shared" si="15"/>
        <v>0</v>
      </c>
      <c r="K137" s="284">
        <f t="shared" si="15"/>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300">
        <f t="shared" ref="F141:K141" si="16">F36</f>
        <v>66990</v>
      </c>
      <c r="G141" s="300">
        <f t="shared" si="16"/>
        <v>29886</v>
      </c>
      <c r="H141" s="300">
        <f t="shared" si="16"/>
        <v>2902972</v>
      </c>
      <c r="I141" s="300">
        <f t="shared" si="16"/>
        <v>2056755.6620000002</v>
      </c>
      <c r="J141" s="300">
        <f t="shared" si="16"/>
        <v>995526</v>
      </c>
      <c r="K141" s="300">
        <f t="shared" si="16"/>
        <v>3964201.662</v>
      </c>
    </row>
    <row r="142" spans="1:11" ht="18" customHeight="1" x14ac:dyDescent="0.3">
      <c r="A142" s="733" t="s">
        <v>142</v>
      </c>
      <c r="B142" s="636" t="s">
        <v>65</v>
      </c>
      <c r="C142" s="742"/>
      <c r="D142" s="742"/>
      <c r="E142" s="742"/>
      <c r="F142" s="300">
        <f t="shared" ref="F142:K142" si="17">F49</f>
        <v>0</v>
      </c>
      <c r="G142" s="300">
        <f t="shared" si="17"/>
        <v>0</v>
      </c>
      <c r="H142" s="300">
        <f t="shared" si="17"/>
        <v>50002</v>
      </c>
      <c r="I142" s="300">
        <f t="shared" si="17"/>
        <v>0</v>
      </c>
      <c r="J142" s="300">
        <f t="shared" si="17"/>
        <v>0</v>
      </c>
      <c r="K142" s="300">
        <f t="shared" si="17"/>
        <v>50002</v>
      </c>
    </row>
    <row r="143" spans="1:11" ht="18" customHeight="1" x14ac:dyDescent="0.3">
      <c r="A143" s="733" t="s">
        <v>144</v>
      </c>
      <c r="B143" s="636" t="s">
        <v>66</v>
      </c>
      <c r="C143" s="742"/>
      <c r="D143" s="742"/>
      <c r="E143" s="742"/>
      <c r="F143" s="300">
        <f t="shared" ref="F143:K143" si="18">F64</f>
        <v>274737</v>
      </c>
      <c r="G143" s="300">
        <f t="shared" si="18"/>
        <v>55537</v>
      </c>
      <c r="H143" s="300">
        <f t="shared" si="18"/>
        <v>9916288</v>
      </c>
      <c r="I143" s="300">
        <f t="shared" si="18"/>
        <v>6917856.3480000002</v>
      </c>
      <c r="J143" s="300">
        <f t="shared" si="18"/>
        <v>10816</v>
      </c>
      <c r="K143" s="300">
        <f t="shared" si="18"/>
        <v>16823328.348000001</v>
      </c>
    </row>
    <row r="144" spans="1:11" ht="18" customHeight="1" x14ac:dyDescent="0.3">
      <c r="A144" s="733" t="s">
        <v>146</v>
      </c>
      <c r="B144" s="636" t="s">
        <v>67</v>
      </c>
      <c r="C144" s="742"/>
      <c r="D144" s="742"/>
      <c r="E144" s="742"/>
      <c r="F144" s="300">
        <f t="shared" ref="F144:K144" si="19">F74</f>
        <v>8434</v>
      </c>
      <c r="G144" s="300">
        <f t="shared" si="19"/>
        <v>43</v>
      </c>
      <c r="H144" s="300">
        <f t="shared" si="19"/>
        <v>296579</v>
      </c>
      <c r="I144" s="300">
        <f t="shared" si="19"/>
        <v>210126.22150000001</v>
      </c>
      <c r="J144" s="300">
        <f t="shared" si="19"/>
        <v>130518</v>
      </c>
      <c r="K144" s="300">
        <f t="shared" si="19"/>
        <v>376187.22149999999</v>
      </c>
    </row>
    <row r="145" spans="1:11" ht="18" customHeight="1" x14ac:dyDescent="0.3">
      <c r="A145" s="733" t="s">
        <v>148</v>
      </c>
      <c r="B145" s="636" t="s">
        <v>68</v>
      </c>
      <c r="C145" s="742"/>
      <c r="D145" s="742"/>
      <c r="E145" s="742"/>
      <c r="F145" s="300">
        <f t="shared" ref="F145:K145" si="20">F82</f>
        <v>0</v>
      </c>
      <c r="G145" s="300">
        <f t="shared" si="20"/>
        <v>0</v>
      </c>
      <c r="H145" s="300">
        <f t="shared" si="20"/>
        <v>68174</v>
      </c>
      <c r="I145" s="300">
        <f t="shared" si="20"/>
        <v>0</v>
      </c>
      <c r="J145" s="300">
        <f t="shared" si="20"/>
        <v>0</v>
      </c>
      <c r="K145" s="300">
        <f t="shared" si="20"/>
        <v>68174</v>
      </c>
    </row>
    <row r="146" spans="1:11" ht="18" customHeight="1" x14ac:dyDescent="0.3">
      <c r="A146" s="733" t="s">
        <v>150</v>
      </c>
      <c r="B146" s="636" t="s">
        <v>69</v>
      </c>
      <c r="C146" s="742"/>
      <c r="D146" s="742"/>
      <c r="E146" s="742"/>
      <c r="F146" s="300">
        <f t="shared" ref="F146:K146" si="21">F98</f>
        <v>0</v>
      </c>
      <c r="G146" s="300">
        <f t="shared" si="21"/>
        <v>0</v>
      </c>
      <c r="H146" s="300">
        <f t="shared" si="21"/>
        <v>0</v>
      </c>
      <c r="I146" s="300">
        <f t="shared" si="21"/>
        <v>0</v>
      </c>
      <c r="J146" s="300">
        <f t="shared" si="21"/>
        <v>0</v>
      </c>
      <c r="K146" s="300">
        <f t="shared" si="21"/>
        <v>0</v>
      </c>
    </row>
    <row r="147" spans="1:11" ht="18" customHeight="1" x14ac:dyDescent="0.3">
      <c r="A147" s="733" t="s">
        <v>153</v>
      </c>
      <c r="B147" s="636" t="s">
        <v>61</v>
      </c>
      <c r="C147" s="742"/>
      <c r="D147" s="742"/>
      <c r="E147" s="742"/>
      <c r="F147" s="286">
        <f t="shared" ref="F147:K147" si="22">F108</f>
        <v>141</v>
      </c>
      <c r="G147" s="286">
        <f t="shared" si="22"/>
        <v>0</v>
      </c>
      <c r="H147" s="286">
        <f t="shared" si="22"/>
        <v>10733</v>
      </c>
      <c r="I147" s="286">
        <f t="shared" si="22"/>
        <v>7604.3305</v>
      </c>
      <c r="J147" s="286">
        <f t="shared" si="22"/>
        <v>0</v>
      </c>
      <c r="K147" s="286">
        <f t="shared" si="22"/>
        <v>18337.3305</v>
      </c>
    </row>
    <row r="148" spans="1:11" ht="18" customHeight="1" x14ac:dyDescent="0.3">
      <c r="A148" s="733" t="s">
        <v>155</v>
      </c>
      <c r="B148" s="636" t="s">
        <v>70</v>
      </c>
      <c r="C148" s="742"/>
      <c r="D148" s="742"/>
      <c r="E148" s="742"/>
      <c r="F148" s="301" t="s">
        <v>73</v>
      </c>
      <c r="G148" s="301" t="s">
        <v>73</v>
      </c>
      <c r="H148" s="302" t="s">
        <v>73</v>
      </c>
      <c r="I148" s="302" t="s">
        <v>73</v>
      </c>
      <c r="J148" s="302" t="s">
        <v>73</v>
      </c>
      <c r="K148" s="296">
        <f>F111</f>
        <v>8081000</v>
      </c>
    </row>
    <row r="149" spans="1:11" ht="18" customHeight="1" x14ac:dyDescent="0.3">
      <c r="A149" s="733" t="s">
        <v>163</v>
      </c>
      <c r="B149" s="636" t="s">
        <v>71</v>
      </c>
      <c r="C149" s="742"/>
      <c r="D149" s="742"/>
      <c r="E149" s="742"/>
      <c r="F149" s="286">
        <f t="shared" ref="F149:K149" si="23">F137</f>
        <v>0</v>
      </c>
      <c r="G149" s="286">
        <f t="shared" si="23"/>
        <v>0</v>
      </c>
      <c r="H149" s="286">
        <f t="shared" si="23"/>
        <v>0</v>
      </c>
      <c r="I149" s="286">
        <f t="shared" si="23"/>
        <v>0</v>
      </c>
      <c r="J149" s="286">
        <f t="shared" si="23"/>
        <v>0</v>
      </c>
      <c r="K149" s="286">
        <f t="shared" si="23"/>
        <v>0</v>
      </c>
    </row>
    <row r="150" spans="1:11" ht="18" customHeight="1" x14ac:dyDescent="0.3">
      <c r="A150" s="733" t="s">
        <v>185</v>
      </c>
      <c r="B150" s="636" t="s">
        <v>186</v>
      </c>
      <c r="C150" s="742"/>
      <c r="D150" s="742"/>
      <c r="E150" s="742"/>
      <c r="F150" s="301" t="s">
        <v>73</v>
      </c>
      <c r="G150" s="301" t="s">
        <v>73</v>
      </c>
      <c r="H150" s="286">
        <f>H18</f>
        <v>8207038</v>
      </c>
      <c r="I150" s="286">
        <f>I18</f>
        <v>0</v>
      </c>
      <c r="J150" s="286">
        <f>J18</f>
        <v>6936567</v>
      </c>
      <c r="K150" s="286">
        <f>K18</f>
        <v>1270471</v>
      </c>
    </row>
    <row r="151" spans="1:11" ht="18" customHeight="1" x14ac:dyDescent="0.3">
      <c r="A151" s="742"/>
      <c r="B151" s="636"/>
      <c r="C151" s="742"/>
      <c r="D151" s="742"/>
      <c r="E151" s="742"/>
      <c r="F151" s="304"/>
      <c r="G151" s="304"/>
      <c r="H151" s="304"/>
      <c r="I151" s="304"/>
      <c r="J151" s="304"/>
      <c r="K151" s="304"/>
    </row>
    <row r="152" spans="1:11" ht="18" customHeight="1" x14ac:dyDescent="0.3">
      <c r="A152" s="639" t="s">
        <v>165</v>
      </c>
      <c r="B152" s="636" t="s">
        <v>26</v>
      </c>
      <c r="C152" s="742"/>
      <c r="D152" s="742"/>
      <c r="E152" s="742"/>
      <c r="F152" s="305">
        <f t="shared" ref="F152:K152" si="24">SUM(F141:F150)</f>
        <v>350302</v>
      </c>
      <c r="G152" s="305">
        <f t="shared" si="24"/>
        <v>85466</v>
      </c>
      <c r="H152" s="305">
        <f t="shared" si="24"/>
        <v>21451786</v>
      </c>
      <c r="I152" s="305">
        <f t="shared" si="24"/>
        <v>9192342.561999999</v>
      </c>
      <c r="J152" s="305">
        <f t="shared" si="24"/>
        <v>8073427</v>
      </c>
      <c r="K152" s="305">
        <f t="shared" si="24"/>
        <v>30651701.561999999</v>
      </c>
    </row>
    <row r="154" spans="1:11" ht="18" customHeight="1" x14ac:dyDescent="0.3">
      <c r="A154" s="639" t="s">
        <v>168</v>
      </c>
      <c r="B154" s="636" t="s">
        <v>28</v>
      </c>
      <c r="C154" s="742"/>
      <c r="D154" s="742"/>
      <c r="E154" s="742"/>
      <c r="F154" s="310">
        <f>K152/F121</f>
        <v>8.754677440748547E-2</v>
      </c>
      <c r="G154" s="742"/>
      <c r="H154" s="742"/>
      <c r="I154" s="742"/>
      <c r="J154" s="742"/>
      <c r="K154" s="742"/>
    </row>
    <row r="155" spans="1:11" ht="18" customHeight="1" x14ac:dyDescent="0.3">
      <c r="A155" s="639" t="s">
        <v>169</v>
      </c>
      <c r="B155" s="636" t="s">
        <v>72</v>
      </c>
      <c r="C155" s="742"/>
      <c r="D155" s="742"/>
      <c r="E155" s="742"/>
      <c r="F155" s="310">
        <f>K152/F127</f>
        <v>1.1288929567619328</v>
      </c>
      <c r="G155" s="636"/>
      <c r="H155" s="742"/>
      <c r="I155" s="742"/>
      <c r="J155" s="742"/>
      <c r="K155" s="742"/>
    </row>
    <row r="156" spans="1:11" ht="18" customHeight="1" x14ac:dyDescent="0.3">
      <c r="A156" s="153"/>
      <c r="B156" s="153"/>
      <c r="C156" s="153"/>
      <c r="D156" s="153"/>
      <c r="E156" s="153"/>
      <c r="F156" s="153"/>
      <c r="G156" s="154"/>
      <c r="H156" s="153"/>
      <c r="I156" s="153"/>
      <c r="J156" s="153"/>
      <c r="K156" s="153"/>
    </row>
  </sheetData>
  <sheetProtection sheet="1" objects="1" scenarios="1"/>
  <mergeCells count="34">
    <mergeCell ref="B134:D134"/>
    <mergeCell ref="B135:D135"/>
    <mergeCell ref="B133:D133"/>
    <mergeCell ref="B104:D104"/>
    <mergeCell ref="B105:D105"/>
    <mergeCell ref="B106:D106"/>
    <mergeCell ref="B31:D31"/>
    <mergeCell ref="B96:D96"/>
    <mergeCell ref="B95:D95"/>
    <mergeCell ref="B57:D57"/>
    <mergeCell ref="B94:D94"/>
    <mergeCell ref="B52:C52"/>
    <mergeCell ref="B90:C90"/>
    <mergeCell ref="B53:D53"/>
    <mergeCell ref="B55:D55"/>
    <mergeCell ref="B56:D56"/>
    <mergeCell ref="B59:D59"/>
    <mergeCell ref="B62:D62"/>
    <mergeCell ref="B103:C103"/>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7"/>
  <sheetViews>
    <sheetView showGridLines="0" zoomScale="70" zoomScaleNormal="70" zoomScaleSheetLayoutView="50" workbookViewId="0">
      <selection activeCell="A2" sqref="A2"/>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5" spans="1:11" ht="18" customHeight="1" x14ac:dyDescent="0.3">
      <c r="A5" s="742"/>
      <c r="B5" s="733" t="s">
        <v>40</v>
      </c>
      <c r="C5" s="1386" t="s">
        <v>868</v>
      </c>
      <c r="D5" s="1387"/>
      <c r="E5" s="1387"/>
      <c r="F5" s="1387"/>
      <c r="G5" s="1388"/>
      <c r="H5" s="742"/>
      <c r="I5" s="742"/>
      <c r="J5" s="742"/>
      <c r="K5" s="742"/>
    </row>
    <row r="6" spans="1:11" ht="18" customHeight="1" x14ac:dyDescent="0.3">
      <c r="A6" s="742"/>
      <c r="B6" s="733" t="s">
        <v>3</v>
      </c>
      <c r="C6" s="1365">
        <v>210006</v>
      </c>
      <c r="D6" s="1366"/>
      <c r="E6" s="1366"/>
      <c r="F6" s="1366"/>
      <c r="G6" s="1367"/>
      <c r="H6" s="742"/>
      <c r="I6" s="742"/>
      <c r="J6" s="742"/>
      <c r="K6" s="742"/>
    </row>
    <row r="7" spans="1:11" ht="18" customHeight="1" x14ac:dyDescent="0.3">
      <c r="A7" s="742"/>
      <c r="B7" s="733" t="s">
        <v>4</v>
      </c>
      <c r="C7" s="1368">
        <v>1000</v>
      </c>
      <c r="D7" s="1369"/>
      <c r="E7" s="1369"/>
      <c r="F7" s="1369"/>
      <c r="G7" s="1370"/>
      <c r="H7" s="742"/>
      <c r="I7" s="742"/>
      <c r="J7" s="742"/>
      <c r="K7" s="742"/>
    </row>
    <row r="9" spans="1:11" ht="18" customHeight="1" x14ac:dyDescent="0.3">
      <c r="A9" s="742"/>
      <c r="B9" s="733" t="s">
        <v>1</v>
      </c>
      <c r="C9" s="1386" t="s">
        <v>536</v>
      </c>
      <c r="D9" s="1387"/>
      <c r="E9" s="1387"/>
      <c r="F9" s="1387"/>
      <c r="G9" s="1388"/>
      <c r="H9" s="742"/>
      <c r="I9" s="742"/>
      <c r="J9" s="742"/>
      <c r="K9" s="742"/>
    </row>
    <row r="10" spans="1:11" ht="18" customHeight="1" x14ac:dyDescent="0.3">
      <c r="A10" s="742"/>
      <c r="B10" s="733" t="s">
        <v>2</v>
      </c>
      <c r="C10" s="1389" t="s">
        <v>537</v>
      </c>
      <c r="D10" s="1390"/>
      <c r="E10" s="1390"/>
      <c r="F10" s="1390"/>
      <c r="G10" s="1391"/>
      <c r="H10" s="742"/>
      <c r="I10" s="742"/>
      <c r="J10" s="742"/>
      <c r="K10" s="742"/>
    </row>
    <row r="11" spans="1:11" ht="18" customHeight="1" x14ac:dyDescent="0.3">
      <c r="A11" s="742"/>
      <c r="B11" s="733" t="s">
        <v>32</v>
      </c>
      <c r="C11" s="1386" t="s">
        <v>830</v>
      </c>
      <c r="D11" s="1387"/>
      <c r="E11" s="1387"/>
      <c r="F11" s="1387"/>
      <c r="G11" s="1387"/>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4"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282" t="s">
        <v>73</v>
      </c>
      <c r="G18" s="282" t="s">
        <v>73</v>
      </c>
      <c r="H18" s="283">
        <v>2297449</v>
      </c>
      <c r="I18" s="306">
        <v>0</v>
      </c>
      <c r="J18" s="283">
        <v>1941798</v>
      </c>
      <c r="K18" s="284">
        <f>(H18+I18)-J18</f>
        <v>355651</v>
      </c>
    </row>
    <row r="19" spans="1:11" ht="45.4"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282">
        <v>1699</v>
      </c>
      <c r="G21" s="282">
        <f>81148+36</f>
        <v>81184</v>
      </c>
      <c r="H21" s="283">
        <v>90110</v>
      </c>
      <c r="I21" s="306">
        <f t="shared" ref="I21:I34" si="0">H21*F$114</f>
        <v>73197.182131087742</v>
      </c>
      <c r="J21" s="283">
        <v>692</v>
      </c>
      <c r="K21" s="284">
        <f t="shared" ref="K21:K34" si="1">(H21+I21)-J21</f>
        <v>162615.18213108776</v>
      </c>
    </row>
    <row r="22" spans="1:11" ht="18" customHeight="1" x14ac:dyDescent="0.3">
      <c r="A22" s="733" t="s">
        <v>76</v>
      </c>
      <c r="B22" s="742" t="s">
        <v>6</v>
      </c>
      <c r="C22" s="742"/>
      <c r="D22" s="742"/>
      <c r="E22" s="742"/>
      <c r="F22" s="282">
        <v>188</v>
      </c>
      <c r="G22" s="282">
        <f>1205+96</f>
        <v>1301</v>
      </c>
      <c r="H22" s="283">
        <v>12474</v>
      </c>
      <c r="I22" s="306">
        <f t="shared" si="0"/>
        <v>10132.744977285411</v>
      </c>
      <c r="J22" s="283">
        <v>0</v>
      </c>
      <c r="K22" s="284">
        <f t="shared" si="1"/>
        <v>22606.744977285409</v>
      </c>
    </row>
    <row r="23" spans="1:11" ht="18" customHeight="1" x14ac:dyDescent="0.3">
      <c r="A23" s="733" t="s">
        <v>77</v>
      </c>
      <c r="B23" s="742" t="s">
        <v>43</v>
      </c>
      <c r="C23" s="742"/>
      <c r="D23" s="742"/>
      <c r="E23" s="742"/>
      <c r="F23" s="282">
        <v>437</v>
      </c>
      <c r="G23" s="282">
        <f>380+674</f>
        <v>1054</v>
      </c>
      <c r="H23" s="283">
        <f>24486</f>
        <v>24486</v>
      </c>
      <c r="I23" s="306">
        <f t="shared" si="0"/>
        <v>19890.203103560252</v>
      </c>
      <c r="J23" s="283">
        <v>1733</v>
      </c>
      <c r="K23" s="284">
        <f t="shared" si="1"/>
        <v>42643.203103560256</v>
      </c>
    </row>
    <row r="24" spans="1:11" ht="18" customHeight="1" x14ac:dyDescent="0.3">
      <c r="A24" s="733" t="s">
        <v>78</v>
      </c>
      <c r="B24" s="742" t="s">
        <v>44</v>
      </c>
      <c r="C24" s="742"/>
      <c r="D24" s="742"/>
      <c r="E24" s="742"/>
      <c r="F24" s="282">
        <v>1880</v>
      </c>
      <c r="G24" s="282">
        <f>755+2400</f>
        <v>3155</v>
      </c>
      <c r="H24" s="283">
        <f>342465</f>
        <v>342465</v>
      </c>
      <c r="I24" s="306">
        <f t="shared" si="0"/>
        <v>278187.47063059552</v>
      </c>
      <c r="J24" s="283">
        <v>17419</v>
      </c>
      <c r="K24" s="284">
        <f t="shared" si="1"/>
        <v>603233.47063059546</v>
      </c>
    </row>
    <row r="25" spans="1:11" ht="18" customHeight="1" x14ac:dyDescent="0.3">
      <c r="A25" s="733" t="s">
        <v>79</v>
      </c>
      <c r="B25" s="742" t="s">
        <v>5</v>
      </c>
      <c r="C25" s="742"/>
      <c r="D25" s="742"/>
      <c r="E25" s="742"/>
      <c r="F25" s="282">
        <v>312</v>
      </c>
      <c r="G25" s="282">
        <v>1457</v>
      </c>
      <c r="H25" s="283">
        <v>12964</v>
      </c>
      <c r="I25" s="306">
        <f t="shared" si="0"/>
        <v>10530.776485932987</v>
      </c>
      <c r="J25" s="283">
        <v>561</v>
      </c>
      <c r="K25" s="284">
        <f t="shared" si="1"/>
        <v>22933.776485932987</v>
      </c>
    </row>
    <row r="26" spans="1:11" ht="18" customHeight="1" x14ac:dyDescent="0.3">
      <c r="A26" s="733" t="s">
        <v>80</v>
      </c>
      <c r="B26" s="742" t="s">
        <v>45</v>
      </c>
      <c r="C26" s="742"/>
      <c r="D26" s="742"/>
      <c r="E26" s="742"/>
      <c r="F26" s="282">
        <v>0</v>
      </c>
      <c r="G26" s="282">
        <v>0</v>
      </c>
      <c r="H26" s="283">
        <v>0</v>
      </c>
      <c r="I26" s="306">
        <f t="shared" si="0"/>
        <v>0</v>
      </c>
      <c r="J26" s="283">
        <v>0</v>
      </c>
      <c r="K26" s="284">
        <f t="shared" si="1"/>
        <v>0</v>
      </c>
    </row>
    <row r="27" spans="1:11" ht="18" customHeight="1" x14ac:dyDescent="0.3">
      <c r="A27" s="733" t="s">
        <v>81</v>
      </c>
      <c r="B27" s="742" t="s">
        <v>46</v>
      </c>
      <c r="C27" s="742"/>
      <c r="D27" s="742"/>
      <c r="E27" s="742"/>
      <c r="F27" s="282">
        <v>15</v>
      </c>
      <c r="G27" s="282">
        <v>6</v>
      </c>
      <c r="H27" s="283">
        <v>1008</v>
      </c>
      <c r="I27" s="306">
        <f t="shared" si="0"/>
        <v>818.80767493215444</v>
      </c>
      <c r="J27" s="283">
        <v>0</v>
      </c>
      <c r="K27" s="284">
        <f t="shared" si="1"/>
        <v>1826.8076749321544</v>
      </c>
    </row>
    <row r="28" spans="1:11" ht="18" customHeight="1" x14ac:dyDescent="0.3">
      <c r="A28" s="733" t="s">
        <v>82</v>
      </c>
      <c r="B28" s="742" t="s">
        <v>47</v>
      </c>
      <c r="C28" s="742"/>
      <c r="D28" s="742"/>
      <c r="E28" s="742"/>
      <c r="F28" s="282">
        <v>647</v>
      </c>
      <c r="G28" s="282">
        <v>38</v>
      </c>
      <c r="H28" s="283">
        <v>15410</v>
      </c>
      <c r="I28" s="306">
        <f t="shared" si="0"/>
        <v>12517.684792365575</v>
      </c>
      <c r="J28" s="283">
        <v>0</v>
      </c>
      <c r="K28" s="284">
        <f t="shared" si="1"/>
        <v>27927.684792365573</v>
      </c>
    </row>
    <row r="29" spans="1:11" ht="18" customHeight="1" x14ac:dyDescent="0.3">
      <c r="A29" s="733" t="s">
        <v>83</v>
      </c>
      <c r="B29" s="742" t="s">
        <v>48</v>
      </c>
      <c r="C29" s="742"/>
      <c r="D29" s="742"/>
      <c r="E29" s="742"/>
      <c r="F29" s="282">
        <v>1028</v>
      </c>
      <c r="G29" s="282">
        <v>1532</v>
      </c>
      <c r="H29" s="283">
        <v>197750</v>
      </c>
      <c r="I29" s="306">
        <f t="shared" si="0"/>
        <v>160634.14456134281</v>
      </c>
      <c r="J29" s="283">
        <v>95</v>
      </c>
      <c r="K29" s="284">
        <f t="shared" si="1"/>
        <v>358289.14456134278</v>
      </c>
    </row>
    <row r="30" spans="1:11" ht="18" customHeight="1" x14ac:dyDescent="0.3">
      <c r="A30" s="733" t="s">
        <v>84</v>
      </c>
      <c r="B30" s="1351"/>
      <c r="C30" s="1352"/>
      <c r="D30" s="1353"/>
      <c r="E30" s="742"/>
      <c r="F30" s="282"/>
      <c r="G30" s="282"/>
      <c r="H30" s="283"/>
      <c r="I30" s="306">
        <f t="shared" si="0"/>
        <v>0</v>
      </c>
      <c r="J30" s="283"/>
      <c r="K30" s="284">
        <f t="shared" si="1"/>
        <v>0</v>
      </c>
    </row>
    <row r="31" spans="1:11" ht="18" customHeight="1" x14ac:dyDescent="0.3">
      <c r="A31" s="733" t="s">
        <v>133</v>
      </c>
      <c r="B31" s="1351"/>
      <c r="C31" s="1352"/>
      <c r="D31" s="1353"/>
      <c r="E31" s="742"/>
      <c r="F31" s="282"/>
      <c r="G31" s="282"/>
      <c r="H31" s="283"/>
      <c r="I31" s="306">
        <f t="shared" si="0"/>
        <v>0</v>
      </c>
      <c r="J31" s="283"/>
      <c r="K31" s="284">
        <f t="shared" si="1"/>
        <v>0</v>
      </c>
    </row>
    <row r="32" spans="1:11" ht="18" customHeight="1" x14ac:dyDescent="0.3">
      <c r="A32" s="733" t="s">
        <v>134</v>
      </c>
      <c r="B32" s="1056"/>
      <c r="C32" s="1057"/>
      <c r="D32" s="1058"/>
      <c r="E32" s="742"/>
      <c r="F32" s="282"/>
      <c r="G32" s="308" t="s">
        <v>85</v>
      </c>
      <c r="H32" s="283"/>
      <c r="I32" s="306">
        <f t="shared" si="0"/>
        <v>0</v>
      </c>
      <c r="J32" s="283"/>
      <c r="K32" s="284">
        <f t="shared" si="1"/>
        <v>0</v>
      </c>
    </row>
    <row r="33" spans="1:11" ht="18" customHeight="1" x14ac:dyDescent="0.3">
      <c r="A33" s="733" t="s">
        <v>135</v>
      </c>
      <c r="B33" s="1056"/>
      <c r="C33" s="1057"/>
      <c r="D33" s="1058"/>
      <c r="E33" s="742"/>
      <c r="F33" s="282"/>
      <c r="G33" s="308" t="s">
        <v>85</v>
      </c>
      <c r="H33" s="283"/>
      <c r="I33" s="306">
        <f t="shared" si="0"/>
        <v>0</v>
      </c>
      <c r="J33" s="283"/>
      <c r="K33" s="284">
        <f t="shared" si="1"/>
        <v>0</v>
      </c>
    </row>
    <row r="34" spans="1:11" ht="18" customHeight="1" x14ac:dyDescent="0.3">
      <c r="A34" s="733" t="s">
        <v>136</v>
      </c>
      <c r="B34" s="1351"/>
      <c r="C34" s="1352"/>
      <c r="D34" s="1353"/>
      <c r="E34" s="742"/>
      <c r="F34" s="282"/>
      <c r="G34" s="308" t="s">
        <v>85</v>
      </c>
      <c r="H34" s="283"/>
      <c r="I34" s="306">
        <f t="shared" si="0"/>
        <v>0</v>
      </c>
      <c r="J34" s="283"/>
      <c r="K34" s="284">
        <f t="shared" si="1"/>
        <v>0</v>
      </c>
    </row>
    <row r="35" spans="1:11" ht="18" customHeight="1" x14ac:dyDescent="0.25">
      <c r="A35" s="742"/>
      <c r="B35" s="742"/>
      <c r="C35" s="742"/>
      <c r="D35" s="742"/>
      <c r="E35" s="742"/>
      <c r="F35" s="742"/>
      <c r="G35" s="742"/>
      <c r="H35" s="742"/>
      <c r="I35" s="742"/>
      <c r="J35" s="742"/>
      <c r="K35" s="315"/>
    </row>
    <row r="36" spans="1:11" ht="18" customHeight="1" x14ac:dyDescent="0.3">
      <c r="A36" s="639" t="s">
        <v>137</v>
      </c>
      <c r="B36" s="636" t="s">
        <v>138</v>
      </c>
      <c r="C36" s="742"/>
      <c r="D36" s="742"/>
      <c r="E36" s="636" t="s">
        <v>7</v>
      </c>
      <c r="F36" s="286">
        <f t="shared" ref="F36:K36" si="2">SUM(F21:F34)</f>
        <v>6206</v>
      </c>
      <c r="G36" s="286">
        <f t="shared" si="2"/>
        <v>89727</v>
      </c>
      <c r="H36" s="286">
        <f t="shared" si="2"/>
        <v>696667</v>
      </c>
      <c r="I36" s="284">
        <f t="shared" si="2"/>
        <v>565909.01435710245</v>
      </c>
      <c r="J36" s="284">
        <f t="shared" si="2"/>
        <v>20500</v>
      </c>
      <c r="K36" s="284">
        <f t="shared" si="2"/>
        <v>1242076.0143571023</v>
      </c>
    </row>
    <row r="37" spans="1:11" ht="18" customHeight="1" thickBot="1" x14ac:dyDescent="0.35">
      <c r="A37" s="742"/>
      <c r="B37" s="636"/>
      <c r="C37" s="742"/>
      <c r="D37" s="742"/>
      <c r="E37" s="742"/>
      <c r="F37" s="287"/>
      <c r="G37" s="287"/>
      <c r="H37" s="288"/>
      <c r="I37" s="288"/>
      <c r="J37" s="288"/>
      <c r="K37" s="303"/>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282">
        <v>241</v>
      </c>
      <c r="G40" s="282">
        <v>0</v>
      </c>
      <c r="H40" s="283">
        <v>26735</v>
      </c>
      <c r="I40" s="306">
        <f t="shared" ref="I40:I47" si="3">H40*F$114</f>
        <v>21717.08649733249</v>
      </c>
      <c r="J40" s="283">
        <v>0</v>
      </c>
      <c r="K40" s="284">
        <f t="shared" ref="K40:K47" si="4">(H40+I40)-J40</f>
        <v>48452.086497332493</v>
      </c>
    </row>
    <row r="41" spans="1:11" ht="18" customHeight="1" x14ac:dyDescent="0.3">
      <c r="A41" s="733" t="s">
        <v>88</v>
      </c>
      <c r="B41" s="1359" t="s">
        <v>50</v>
      </c>
      <c r="C41" s="1359"/>
      <c r="D41" s="742"/>
      <c r="E41" s="742"/>
      <c r="F41" s="282">
        <v>1136</v>
      </c>
      <c r="G41" s="282">
        <v>0</v>
      </c>
      <c r="H41" s="283">
        <v>48662</v>
      </c>
      <c r="I41" s="306">
        <f t="shared" si="3"/>
        <v>39528.59035471081</v>
      </c>
      <c r="J41" s="283">
        <v>0</v>
      </c>
      <c r="K41" s="284">
        <f t="shared" si="4"/>
        <v>88190.590354710817</v>
      </c>
    </row>
    <row r="42" spans="1:11" ht="18" customHeight="1" x14ac:dyDescent="0.3">
      <c r="A42" s="733" t="s">
        <v>89</v>
      </c>
      <c r="B42" s="635" t="s">
        <v>11</v>
      </c>
      <c r="C42" s="742"/>
      <c r="D42" s="742"/>
      <c r="E42" s="742"/>
      <c r="F42" s="282">
        <v>3283</v>
      </c>
      <c r="G42" s="282">
        <v>9</v>
      </c>
      <c r="H42" s="283">
        <v>131768</v>
      </c>
      <c r="I42" s="306">
        <f t="shared" si="3"/>
        <v>107036.35883974218</v>
      </c>
      <c r="J42" s="283">
        <v>0</v>
      </c>
      <c r="K42" s="284">
        <f t="shared" si="4"/>
        <v>238804.3588397422</v>
      </c>
    </row>
    <row r="43" spans="1:11" ht="18" customHeight="1" x14ac:dyDescent="0.3">
      <c r="A43" s="733" t="s">
        <v>90</v>
      </c>
      <c r="B43" s="670" t="s">
        <v>10</v>
      </c>
      <c r="C43" s="642"/>
      <c r="D43" s="642"/>
      <c r="E43" s="742"/>
      <c r="F43" s="282"/>
      <c r="G43" s="282"/>
      <c r="H43" s="283"/>
      <c r="I43" s="306">
        <f t="shared" si="3"/>
        <v>0</v>
      </c>
      <c r="J43" s="283"/>
      <c r="K43" s="284">
        <f t="shared" si="4"/>
        <v>0</v>
      </c>
    </row>
    <row r="44" spans="1:11" ht="18" customHeight="1" x14ac:dyDescent="0.3">
      <c r="A44" s="733" t="s">
        <v>91</v>
      </c>
      <c r="B44" s="1351"/>
      <c r="C44" s="1352"/>
      <c r="D44" s="1353"/>
      <c r="E44" s="742"/>
      <c r="F44" s="324"/>
      <c r="G44" s="324"/>
      <c r="H44" s="324"/>
      <c r="I44" s="325">
        <f t="shared" si="3"/>
        <v>0</v>
      </c>
      <c r="J44" s="324"/>
      <c r="K44" s="326">
        <f t="shared" si="4"/>
        <v>0</v>
      </c>
    </row>
    <row r="45" spans="1:11" ht="18" customHeight="1" x14ac:dyDescent="0.3">
      <c r="A45" s="733" t="s">
        <v>139</v>
      </c>
      <c r="B45" s="1351"/>
      <c r="C45" s="1352"/>
      <c r="D45" s="1353"/>
      <c r="E45" s="742"/>
      <c r="F45" s="282"/>
      <c r="G45" s="282"/>
      <c r="H45" s="283"/>
      <c r="I45" s="306">
        <f t="shared" si="3"/>
        <v>0</v>
      </c>
      <c r="J45" s="283"/>
      <c r="K45" s="284">
        <f t="shared" si="4"/>
        <v>0</v>
      </c>
    </row>
    <row r="46" spans="1:11" ht="18" customHeight="1" x14ac:dyDescent="0.3">
      <c r="A46" s="733" t="s">
        <v>140</v>
      </c>
      <c r="B46" s="1351"/>
      <c r="C46" s="1352"/>
      <c r="D46" s="1353"/>
      <c r="E46" s="742"/>
      <c r="F46" s="282"/>
      <c r="G46" s="282"/>
      <c r="H46" s="283"/>
      <c r="I46" s="306">
        <f t="shared" si="3"/>
        <v>0</v>
      </c>
      <c r="J46" s="283"/>
      <c r="K46" s="284">
        <f t="shared" si="4"/>
        <v>0</v>
      </c>
    </row>
    <row r="47" spans="1:11" ht="18" customHeight="1" x14ac:dyDescent="0.3">
      <c r="A47" s="733" t="s">
        <v>141</v>
      </c>
      <c r="B47" s="1351"/>
      <c r="C47" s="1352"/>
      <c r="D47" s="1353"/>
      <c r="E47" s="742"/>
      <c r="F47" s="282"/>
      <c r="G47" s="282"/>
      <c r="H47" s="283"/>
      <c r="I47" s="306">
        <f t="shared" si="3"/>
        <v>0</v>
      </c>
      <c r="J47" s="283"/>
      <c r="K47" s="284">
        <f t="shared" si="4"/>
        <v>0</v>
      </c>
    </row>
    <row r="49" spans="1:11" ht="18" customHeight="1" x14ac:dyDescent="0.3">
      <c r="A49" s="639" t="s">
        <v>142</v>
      </c>
      <c r="B49" s="636" t="s">
        <v>143</v>
      </c>
      <c r="C49" s="742"/>
      <c r="D49" s="742"/>
      <c r="E49" s="636" t="s">
        <v>7</v>
      </c>
      <c r="F49" s="290">
        <f t="shared" ref="F49:K49" si="5">SUM(F40:F47)</f>
        <v>4660</v>
      </c>
      <c r="G49" s="290">
        <f t="shared" si="5"/>
        <v>9</v>
      </c>
      <c r="H49" s="284">
        <f t="shared" si="5"/>
        <v>207165</v>
      </c>
      <c r="I49" s="284">
        <f t="shared" si="5"/>
        <v>168282.03569178548</v>
      </c>
      <c r="J49" s="284">
        <f t="shared" si="5"/>
        <v>0</v>
      </c>
      <c r="K49" s="284">
        <f t="shared" si="5"/>
        <v>375447.03569178551</v>
      </c>
    </row>
    <row r="50" spans="1:11" ht="18" customHeight="1" thickBot="1" x14ac:dyDescent="0.3">
      <c r="A50" s="742"/>
      <c r="B50" s="742"/>
      <c r="C50" s="742"/>
      <c r="D50" s="742"/>
      <c r="E50" s="742"/>
      <c r="F50" s="742"/>
      <c r="G50" s="291"/>
      <c r="H50" s="291"/>
      <c r="I50" s="291"/>
      <c r="J50" s="291"/>
      <c r="K50" s="291"/>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600</v>
      </c>
      <c r="C53" s="1355"/>
      <c r="D53" s="1356"/>
      <c r="E53" s="742"/>
      <c r="F53" s="282">
        <v>0</v>
      </c>
      <c r="G53" s="282">
        <v>0</v>
      </c>
      <c r="H53" s="283">
        <v>642438</v>
      </c>
      <c r="I53" s="306">
        <f t="shared" ref="I53:I62" si="6">H53*F$114</f>
        <v>521858.29867863434</v>
      </c>
      <c r="J53" s="283">
        <v>0</v>
      </c>
      <c r="K53" s="284">
        <f t="shared" ref="K53:K62" si="7">(H53+I53)-J53</f>
        <v>1164296.2986786342</v>
      </c>
    </row>
    <row r="54" spans="1:11" ht="18" customHeight="1" x14ac:dyDescent="0.3">
      <c r="A54" s="733" t="s">
        <v>93</v>
      </c>
      <c r="B54" s="1065" t="s">
        <v>869</v>
      </c>
      <c r="C54" s="1066"/>
      <c r="D54" s="1067"/>
      <c r="E54" s="742"/>
      <c r="F54" s="282"/>
      <c r="G54" s="282"/>
      <c r="H54" s="283">
        <v>331022</v>
      </c>
      <c r="I54" s="306">
        <f t="shared" si="6"/>
        <v>268892.21643987263</v>
      </c>
      <c r="J54" s="283"/>
      <c r="K54" s="284">
        <f t="shared" si="7"/>
        <v>599914.21643987263</v>
      </c>
    </row>
    <row r="55" spans="1:11" ht="18" customHeight="1" x14ac:dyDescent="0.3">
      <c r="A55" s="733" t="s">
        <v>94</v>
      </c>
      <c r="B55" s="1354" t="s">
        <v>538</v>
      </c>
      <c r="C55" s="1355"/>
      <c r="D55" s="1356"/>
      <c r="E55" s="742"/>
      <c r="F55" s="282"/>
      <c r="G55" s="282"/>
      <c r="H55" s="283">
        <v>618954</v>
      </c>
      <c r="I55" s="306">
        <f t="shared" si="6"/>
        <v>502782.02939479833</v>
      </c>
      <c r="J55" s="283"/>
      <c r="K55" s="284">
        <f t="shared" si="7"/>
        <v>1121736.0293947984</v>
      </c>
    </row>
    <row r="56" spans="1:11" ht="18" customHeight="1" x14ac:dyDescent="0.3">
      <c r="A56" s="733" t="s">
        <v>95</v>
      </c>
      <c r="B56" s="1354"/>
      <c r="C56" s="1355"/>
      <c r="D56" s="1356"/>
      <c r="E56" s="742"/>
      <c r="F56" s="282"/>
      <c r="G56" s="282"/>
      <c r="H56" s="283"/>
      <c r="I56" s="306">
        <f t="shared" si="6"/>
        <v>0</v>
      </c>
      <c r="J56" s="283"/>
      <c r="K56" s="284">
        <f t="shared" si="7"/>
        <v>0</v>
      </c>
    </row>
    <row r="57" spans="1:11" ht="18" customHeight="1" x14ac:dyDescent="0.3">
      <c r="A57" s="733" t="s">
        <v>96</v>
      </c>
      <c r="B57" s="1354"/>
      <c r="C57" s="1355"/>
      <c r="D57" s="1356"/>
      <c r="E57" s="742"/>
      <c r="F57" s="282"/>
      <c r="G57" s="282"/>
      <c r="H57" s="283"/>
      <c r="I57" s="306">
        <f t="shared" si="6"/>
        <v>0</v>
      </c>
      <c r="J57" s="283"/>
      <c r="K57" s="284">
        <f t="shared" si="7"/>
        <v>0</v>
      </c>
    </row>
    <row r="58" spans="1:11" ht="18" customHeight="1" x14ac:dyDescent="0.3">
      <c r="A58" s="733" t="s">
        <v>97</v>
      </c>
      <c r="B58" s="1065"/>
      <c r="C58" s="1066"/>
      <c r="D58" s="1067"/>
      <c r="E58" s="742"/>
      <c r="F58" s="282"/>
      <c r="G58" s="282"/>
      <c r="H58" s="283"/>
      <c r="I58" s="306">
        <f t="shared" si="6"/>
        <v>0</v>
      </c>
      <c r="J58" s="283"/>
      <c r="K58" s="284">
        <f t="shared" si="7"/>
        <v>0</v>
      </c>
    </row>
    <row r="59" spans="1:11" ht="18" customHeight="1" x14ac:dyDescent="0.3">
      <c r="A59" s="733" t="s">
        <v>98</v>
      </c>
      <c r="B59" s="1354" t="s">
        <v>395</v>
      </c>
      <c r="C59" s="1355"/>
      <c r="D59" s="1356"/>
      <c r="E59" s="742"/>
      <c r="F59" s="282"/>
      <c r="G59" s="282"/>
      <c r="H59" s="283">
        <v>42000</v>
      </c>
      <c r="I59" s="306">
        <f t="shared" si="6"/>
        <v>34116.986455506434</v>
      </c>
      <c r="J59" s="283"/>
      <c r="K59" s="284">
        <f t="shared" si="7"/>
        <v>76116.986455506441</v>
      </c>
    </row>
    <row r="60" spans="1:11" ht="18" customHeight="1" x14ac:dyDescent="0.3">
      <c r="A60" s="733" t="s">
        <v>99</v>
      </c>
      <c r="B60" s="1065"/>
      <c r="C60" s="1066"/>
      <c r="D60" s="1067"/>
      <c r="E60" s="742"/>
      <c r="F60" s="282"/>
      <c r="G60" s="282"/>
      <c r="H60" s="283"/>
      <c r="I60" s="306">
        <f t="shared" si="6"/>
        <v>0</v>
      </c>
      <c r="J60" s="283"/>
      <c r="K60" s="284">
        <f t="shared" si="7"/>
        <v>0</v>
      </c>
    </row>
    <row r="61" spans="1:11" ht="18" customHeight="1" x14ac:dyDescent="0.3">
      <c r="A61" s="733" t="s">
        <v>100</v>
      </c>
      <c r="B61" s="1065"/>
      <c r="C61" s="1066"/>
      <c r="D61" s="1067"/>
      <c r="E61" s="742"/>
      <c r="F61" s="282"/>
      <c r="G61" s="282"/>
      <c r="H61" s="283"/>
      <c r="I61" s="306">
        <f t="shared" si="6"/>
        <v>0</v>
      </c>
      <c r="J61" s="283"/>
      <c r="K61" s="284">
        <f t="shared" si="7"/>
        <v>0</v>
      </c>
    </row>
    <row r="62" spans="1:11" ht="18" customHeight="1" x14ac:dyDescent="0.3">
      <c r="A62" s="733" t="s">
        <v>101</v>
      </c>
      <c r="B62" s="1354"/>
      <c r="C62" s="1355"/>
      <c r="D62" s="1356"/>
      <c r="E62" s="742"/>
      <c r="F62" s="282"/>
      <c r="G62" s="282"/>
      <c r="H62" s="283"/>
      <c r="I62" s="306">
        <f t="shared" si="6"/>
        <v>0</v>
      </c>
      <c r="J62" s="283"/>
      <c r="K62" s="284">
        <f t="shared" si="7"/>
        <v>0</v>
      </c>
    </row>
    <row r="63" spans="1:11" ht="18" customHeight="1" x14ac:dyDescent="0.3">
      <c r="A63" s="733"/>
      <c r="B63" s="742"/>
      <c r="C63" s="742"/>
      <c r="D63" s="742"/>
      <c r="E63" s="742"/>
      <c r="F63" s="742"/>
      <c r="G63" s="742"/>
      <c r="H63" s="742"/>
      <c r="I63" s="276"/>
      <c r="J63" s="742"/>
      <c r="K63" s="742"/>
    </row>
    <row r="64" spans="1:11" ht="18" customHeight="1" x14ac:dyDescent="0.3">
      <c r="A64" s="733" t="s">
        <v>144</v>
      </c>
      <c r="B64" s="636" t="s">
        <v>145</v>
      </c>
      <c r="C64" s="742"/>
      <c r="D64" s="742"/>
      <c r="E64" s="636" t="s">
        <v>7</v>
      </c>
      <c r="F64" s="286">
        <f t="shared" ref="F64:K64" si="8">SUM(F53:F62)</f>
        <v>0</v>
      </c>
      <c r="G64" s="286">
        <f t="shared" si="8"/>
        <v>0</v>
      </c>
      <c r="H64" s="284">
        <f t="shared" si="8"/>
        <v>1634414</v>
      </c>
      <c r="I64" s="284">
        <f t="shared" si="8"/>
        <v>1327649.5309688116</v>
      </c>
      <c r="J64" s="284">
        <f t="shared" si="8"/>
        <v>0</v>
      </c>
      <c r="K64" s="284">
        <f t="shared" si="8"/>
        <v>2962063.5309688118</v>
      </c>
    </row>
    <row r="65" spans="1:11" ht="18" customHeight="1" x14ac:dyDescent="0.25">
      <c r="A65" s="742"/>
      <c r="B65" s="742"/>
      <c r="C65" s="742"/>
      <c r="D65" s="742"/>
      <c r="E65" s="742"/>
      <c r="F65" s="304"/>
      <c r="G65" s="304"/>
      <c r="H65" s="304"/>
      <c r="I65" s="304"/>
      <c r="J65" s="304"/>
      <c r="K65" s="304"/>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282">
        <v>4219</v>
      </c>
      <c r="G68" s="307">
        <v>0</v>
      </c>
      <c r="H68" s="283">
        <v>179216</v>
      </c>
      <c r="I68" s="306">
        <f t="shared" ref="I68:I72" si="9">H68*F$114</f>
        <v>145578.80582404861</v>
      </c>
      <c r="J68" s="307">
        <v>0</v>
      </c>
      <c r="K68" s="284">
        <f>(H68+I68)-J68</f>
        <v>324794.80582404858</v>
      </c>
    </row>
    <row r="69" spans="1:11" ht="18" customHeight="1" x14ac:dyDescent="0.3">
      <c r="A69" s="733" t="s">
        <v>104</v>
      </c>
      <c r="B69" s="635" t="s">
        <v>53</v>
      </c>
      <c r="C69" s="742"/>
      <c r="D69" s="742"/>
      <c r="E69" s="742"/>
      <c r="F69" s="282"/>
      <c r="G69" s="307"/>
      <c r="H69" s="307"/>
      <c r="I69" s="306">
        <f t="shared" si="9"/>
        <v>0</v>
      </c>
      <c r="J69" s="307"/>
      <c r="K69" s="284">
        <f>(H69+I69)-J69</f>
        <v>0</v>
      </c>
    </row>
    <row r="70" spans="1:11" ht="18" customHeight="1" x14ac:dyDescent="0.3">
      <c r="A70" s="733" t="s">
        <v>178</v>
      </c>
      <c r="B70" s="1065"/>
      <c r="C70" s="1066"/>
      <c r="D70" s="1067"/>
      <c r="E70" s="636"/>
      <c r="F70" s="294"/>
      <c r="G70" s="294"/>
      <c r="H70" s="295"/>
      <c r="I70" s="306">
        <f t="shared" si="9"/>
        <v>0</v>
      </c>
      <c r="J70" s="295"/>
      <c r="K70" s="284">
        <f>(H70+I70)-J70</f>
        <v>0</v>
      </c>
    </row>
    <row r="71" spans="1:11" ht="18" customHeight="1" x14ac:dyDescent="0.3">
      <c r="A71" s="733" t="s">
        <v>179</v>
      </c>
      <c r="B71" s="1065"/>
      <c r="C71" s="1066"/>
      <c r="D71" s="1067"/>
      <c r="E71" s="636"/>
      <c r="F71" s="294"/>
      <c r="G71" s="294"/>
      <c r="H71" s="295"/>
      <c r="I71" s="306">
        <f t="shared" si="9"/>
        <v>0</v>
      </c>
      <c r="J71" s="295"/>
      <c r="K71" s="284">
        <f>(H71+I71)-J71</f>
        <v>0</v>
      </c>
    </row>
    <row r="72" spans="1:11" ht="18" customHeight="1" x14ac:dyDescent="0.3">
      <c r="A72" s="733" t="s">
        <v>180</v>
      </c>
      <c r="B72" s="1068"/>
      <c r="C72" s="1069"/>
      <c r="D72" s="293"/>
      <c r="E72" s="636"/>
      <c r="F72" s="282"/>
      <c r="G72" s="282"/>
      <c r="H72" s="283"/>
      <c r="I72" s="306">
        <f t="shared" si="9"/>
        <v>0</v>
      </c>
      <c r="J72" s="283"/>
      <c r="K72" s="284">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289">
        <f t="shared" ref="F74:K74" si="10">SUM(F68:F72)</f>
        <v>4219</v>
      </c>
      <c r="G74" s="289">
        <f t="shared" si="10"/>
        <v>0</v>
      </c>
      <c r="H74" s="289">
        <f t="shared" si="10"/>
        <v>179216</v>
      </c>
      <c r="I74" s="309">
        <f t="shared" si="10"/>
        <v>145578.80582404861</v>
      </c>
      <c r="J74" s="289">
        <f t="shared" si="10"/>
        <v>0</v>
      </c>
      <c r="K74" s="285">
        <f t="shared" si="10"/>
        <v>324794.80582404858</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282">
        <v>2</v>
      </c>
      <c r="G77" s="282">
        <v>31</v>
      </c>
      <c r="H77" s="283">
        <v>3675</v>
      </c>
      <c r="I77" s="306">
        <f t="shared" ref="I77:I80" si="11">H77*F$114</f>
        <v>2985.2363148568129</v>
      </c>
      <c r="J77" s="283">
        <v>0</v>
      </c>
      <c r="K77" s="284">
        <f>(H77+I77)-J77</f>
        <v>6660.2363148568129</v>
      </c>
    </row>
    <row r="78" spans="1:11" ht="18" customHeight="1" x14ac:dyDescent="0.3">
      <c r="A78" s="733" t="s">
        <v>108</v>
      </c>
      <c r="B78" s="635" t="s">
        <v>55</v>
      </c>
      <c r="C78" s="742"/>
      <c r="D78" s="742"/>
      <c r="E78" s="742"/>
      <c r="F78" s="282"/>
      <c r="G78" s="282"/>
      <c r="H78" s="283"/>
      <c r="I78" s="306">
        <f t="shared" si="11"/>
        <v>0</v>
      </c>
      <c r="J78" s="283"/>
      <c r="K78" s="284">
        <f>(H78+I78)-J78</f>
        <v>0</v>
      </c>
    </row>
    <row r="79" spans="1:11" ht="18" customHeight="1" x14ac:dyDescent="0.3">
      <c r="A79" s="733" t="s">
        <v>109</v>
      </c>
      <c r="B79" s="635" t="s">
        <v>13</v>
      </c>
      <c r="C79" s="742"/>
      <c r="D79" s="742"/>
      <c r="E79" s="742"/>
      <c r="F79" s="282">
        <v>434</v>
      </c>
      <c r="G79" s="282">
        <v>372</v>
      </c>
      <c r="H79" s="283">
        <v>25984</v>
      </c>
      <c r="I79" s="306">
        <f t="shared" si="11"/>
        <v>21107.042287139982</v>
      </c>
      <c r="J79" s="283">
        <v>0</v>
      </c>
      <c r="K79" s="284">
        <f>(H79+I79)-J79</f>
        <v>47091.042287139979</v>
      </c>
    </row>
    <row r="80" spans="1:11" ht="18" customHeight="1" x14ac:dyDescent="0.3">
      <c r="A80" s="733" t="s">
        <v>110</v>
      </c>
      <c r="B80" s="635" t="s">
        <v>56</v>
      </c>
      <c r="C80" s="742"/>
      <c r="D80" s="742"/>
      <c r="E80" s="742"/>
      <c r="F80" s="282"/>
      <c r="G80" s="282"/>
      <c r="H80" s="283"/>
      <c r="I80" s="306">
        <f t="shared" si="11"/>
        <v>0</v>
      </c>
      <c r="J80" s="283"/>
      <c r="K80" s="284">
        <f>(H80+I80)-J80</f>
        <v>0</v>
      </c>
    </row>
    <row r="81" spans="1:11" ht="18" customHeight="1" x14ac:dyDescent="0.3">
      <c r="A81" s="733"/>
      <c r="B81" s="742"/>
      <c r="C81" s="742"/>
      <c r="D81" s="742"/>
      <c r="E81" s="742"/>
      <c r="F81" s="742"/>
      <c r="G81" s="742"/>
      <c r="H81" s="742"/>
      <c r="I81" s="742"/>
      <c r="J81" s="742"/>
      <c r="K81" s="299"/>
    </row>
    <row r="82" spans="1:11" ht="18" customHeight="1" x14ac:dyDescent="0.3">
      <c r="A82" s="733" t="s">
        <v>148</v>
      </c>
      <c r="B82" s="636" t="s">
        <v>149</v>
      </c>
      <c r="C82" s="742"/>
      <c r="D82" s="742"/>
      <c r="E82" s="636" t="s">
        <v>7</v>
      </c>
      <c r="F82" s="289">
        <f t="shared" ref="F82:K82" si="12">SUM(F77:F80)</f>
        <v>436</v>
      </c>
      <c r="G82" s="289">
        <f t="shared" si="12"/>
        <v>403</v>
      </c>
      <c r="H82" s="285">
        <f t="shared" si="12"/>
        <v>29659</v>
      </c>
      <c r="I82" s="285">
        <f t="shared" si="12"/>
        <v>24092.278601996797</v>
      </c>
      <c r="J82" s="285">
        <f t="shared" si="12"/>
        <v>0</v>
      </c>
      <c r="K82" s="285">
        <f t="shared" si="12"/>
        <v>53751.27860199679</v>
      </c>
    </row>
    <row r="83" spans="1:11" ht="18" customHeight="1" thickBot="1" x14ac:dyDescent="0.35">
      <c r="A83" s="733"/>
      <c r="B83" s="742"/>
      <c r="C83" s="742"/>
      <c r="D83" s="742"/>
      <c r="E83" s="742"/>
      <c r="F83" s="291"/>
      <c r="G83" s="291"/>
      <c r="H83" s="291"/>
      <c r="I83" s="291"/>
      <c r="J83" s="291"/>
      <c r="K83" s="291"/>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282"/>
      <c r="G86" s="282"/>
      <c r="H86" s="283"/>
      <c r="I86" s="306">
        <f t="shared" ref="I86:I96" si="13">H86*F$114</f>
        <v>0</v>
      </c>
      <c r="J86" s="283"/>
      <c r="K86" s="284">
        <f t="shared" ref="K86:K96" si="14">(H86+I86)-J86</f>
        <v>0</v>
      </c>
    </row>
    <row r="87" spans="1:11" ht="18" customHeight="1" x14ac:dyDescent="0.3">
      <c r="A87" s="733" t="s">
        <v>114</v>
      </c>
      <c r="B87" s="635" t="s">
        <v>14</v>
      </c>
      <c r="C87" s="742"/>
      <c r="D87" s="742"/>
      <c r="E87" s="742"/>
      <c r="F87" s="282">
        <v>4</v>
      </c>
      <c r="G87" s="282"/>
      <c r="H87" s="283">
        <v>365</v>
      </c>
      <c r="I87" s="306">
        <f t="shared" si="13"/>
        <v>296.49285848237736</v>
      </c>
      <c r="J87" s="283">
        <v>0</v>
      </c>
      <c r="K87" s="284">
        <f t="shared" si="14"/>
        <v>661.49285848237741</v>
      </c>
    </row>
    <row r="88" spans="1:11" ht="18" customHeight="1" x14ac:dyDescent="0.3">
      <c r="A88" s="733" t="s">
        <v>115</v>
      </c>
      <c r="B88" s="635" t="s">
        <v>116</v>
      </c>
      <c r="C88" s="742"/>
      <c r="D88" s="742"/>
      <c r="E88" s="742"/>
      <c r="F88" s="282">
        <v>50</v>
      </c>
      <c r="G88" s="282">
        <v>69</v>
      </c>
      <c r="H88" s="283">
        <v>2205</v>
      </c>
      <c r="I88" s="306">
        <f t="shared" si="13"/>
        <v>1791.1417889140878</v>
      </c>
      <c r="J88" s="283">
        <v>0</v>
      </c>
      <c r="K88" s="284">
        <f t="shared" si="14"/>
        <v>3996.1417889140876</v>
      </c>
    </row>
    <row r="89" spans="1:11" ht="18" customHeight="1" x14ac:dyDescent="0.3">
      <c r="A89" s="733" t="s">
        <v>117</v>
      </c>
      <c r="B89" s="635" t="s">
        <v>58</v>
      </c>
      <c r="C89" s="742"/>
      <c r="D89" s="742"/>
      <c r="E89" s="742"/>
      <c r="F89" s="282">
        <v>48</v>
      </c>
      <c r="G89" s="282">
        <v>0</v>
      </c>
      <c r="H89" s="283">
        <v>3701</v>
      </c>
      <c r="I89" s="306">
        <f t="shared" si="13"/>
        <v>3006.3563540911741</v>
      </c>
      <c r="J89" s="283">
        <v>0</v>
      </c>
      <c r="K89" s="284">
        <f t="shared" si="14"/>
        <v>6707.3563540911746</v>
      </c>
    </row>
    <row r="90" spans="1:11" ht="18" customHeight="1" x14ac:dyDescent="0.3">
      <c r="A90" s="733" t="s">
        <v>118</v>
      </c>
      <c r="B90" s="1359" t="s">
        <v>59</v>
      </c>
      <c r="C90" s="1359"/>
      <c r="D90" s="742"/>
      <c r="E90" s="742"/>
      <c r="F90" s="282">
        <v>32</v>
      </c>
      <c r="G90" s="282">
        <v>15</v>
      </c>
      <c r="H90" s="283">
        <v>3220</v>
      </c>
      <c r="I90" s="306">
        <f t="shared" si="13"/>
        <v>2615.6356282554934</v>
      </c>
      <c r="J90" s="283">
        <v>0</v>
      </c>
      <c r="K90" s="284">
        <f t="shared" si="14"/>
        <v>5835.6356282554934</v>
      </c>
    </row>
    <row r="91" spans="1:11" ht="18" customHeight="1" x14ac:dyDescent="0.3">
      <c r="A91" s="733" t="s">
        <v>119</v>
      </c>
      <c r="B91" s="635" t="s">
        <v>60</v>
      </c>
      <c r="C91" s="742"/>
      <c r="D91" s="742"/>
      <c r="E91" s="742"/>
      <c r="F91" s="282">
        <v>1412</v>
      </c>
      <c r="G91" s="282">
        <v>69</v>
      </c>
      <c r="H91" s="283">
        <v>68740</v>
      </c>
      <c r="I91" s="306">
        <f t="shared" si="13"/>
        <v>55838.134498845531</v>
      </c>
      <c r="J91" s="283">
        <v>0</v>
      </c>
      <c r="K91" s="284">
        <f t="shared" si="14"/>
        <v>124578.13449884552</v>
      </c>
    </row>
    <row r="92" spans="1:11" ht="18" customHeight="1" x14ac:dyDescent="0.3">
      <c r="A92" s="733" t="s">
        <v>120</v>
      </c>
      <c r="B92" s="635" t="s">
        <v>121</v>
      </c>
      <c r="C92" s="742"/>
      <c r="D92" s="742"/>
      <c r="E92" s="742"/>
      <c r="F92" s="297"/>
      <c r="G92" s="297"/>
      <c r="H92" s="298"/>
      <c r="I92" s="306">
        <f t="shared" si="13"/>
        <v>0</v>
      </c>
      <c r="J92" s="298"/>
      <c r="K92" s="284">
        <f t="shared" si="14"/>
        <v>0</v>
      </c>
    </row>
    <row r="93" spans="1:11" ht="18" customHeight="1" x14ac:dyDescent="0.3">
      <c r="A93" s="733" t="s">
        <v>122</v>
      </c>
      <c r="B93" s="635" t="s">
        <v>123</v>
      </c>
      <c r="C93" s="742"/>
      <c r="D93" s="742"/>
      <c r="E93" s="742"/>
      <c r="F93" s="282">
        <v>20</v>
      </c>
      <c r="G93" s="282">
        <v>23</v>
      </c>
      <c r="H93" s="283">
        <v>1055</v>
      </c>
      <c r="I93" s="306">
        <f t="shared" si="13"/>
        <v>856.98620739426883</v>
      </c>
      <c r="J93" s="283">
        <v>0</v>
      </c>
      <c r="K93" s="284">
        <f t="shared" si="14"/>
        <v>1911.9862073942688</v>
      </c>
    </row>
    <row r="94" spans="1:11" ht="18" customHeight="1" x14ac:dyDescent="0.3">
      <c r="A94" s="733" t="s">
        <v>124</v>
      </c>
      <c r="B94" s="1354"/>
      <c r="C94" s="1355"/>
      <c r="D94" s="1356"/>
      <c r="E94" s="742"/>
      <c r="F94" s="282"/>
      <c r="G94" s="282"/>
      <c r="H94" s="283"/>
      <c r="I94" s="306">
        <f t="shared" si="13"/>
        <v>0</v>
      </c>
      <c r="J94" s="283"/>
      <c r="K94" s="284">
        <f t="shared" si="14"/>
        <v>0</v>
      </c>
    </row>
    <row r="95" spans="1:11" ht="18" customHeight="1" x14ac:dyDescent="0.3">
      <c r="A95" s="733" t="s">
        <v>125</v>
      </c>
      <c r="B95" s="1354"/>
      <c r="C95" s="1355"/>
      <c r="D95" s="1356"/>
      <c r="E95" s="742"/>
      <c r="F95" s="282"/>
      <c r="G95" s="282"/>
      <c r="H95" s="283"/>
      <c r="I95" s="306">
        <f t="shared" si="13"/>
        <v>0</v>
      </c>
      <c r="J95" s="283"/>
      <c r="K95" s="284">
        <f t="shared" si="14"/>
        <v>0</v>
      </c>
    </row>
    <row r="96" spans="1:11" ht="18" customHeight="1" x14ac:dyDescent="0.3">
      <c r="A96" s="733" t="s">
        <v>126</v>
      </c>
      <c r="B96" s="1354"/>
      <c r="C96" s="1355"/>
      <c r="D96" s="1356"/>
      <c r="E96" s="742"/>
      <c r="F96" s="282"/>
      <c r="G96" s="282"/>
      <c r="H96" s="283"/>
      <c r="I96" s="306">
        <f t="shared" si="13"/>
        <v>0</v>
      </c>
      <c r="J96" s="283"/>
      <c r="K96" s="284">
        <f t="shared" si="14"/>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286">
        <f t="shared" ref="F98:K98" si="15">SUM(F86:F96)</f>
        <v>1566</v>
      </c>
      <c r="G98" s="286">
        <f t="shared" si="15"/>
        <v>176</v>
      </c>
      <c r="H98" s="286">
        <f t="shared" si="15"/>
        <v>79286</v>
      </c>
      <c r="I98" s="286">
        <f t="shared" si="15"/>
        <v>64404.747335982938</v>
      </c>
      <c r="J98" s="286">
        <f t="shared" si="15"/>
        <v>0</v>
      </c>
      <c r="K98" s="286">
        <f t="shared" si="15"/>
        <v>143690.74733598295</v>
      </c>
    </row>
    <row r="99" spans="1:11" ht="18" customHeight="1" thickBot="1" x14ac:dyDescent="0.35">
      <c r="A99" s="742"/>
      <c r="B99" s="636"/>
      <c r="C99" s="742"/>
      <c r="D99" s="742"/>
      <c r="E99" s="742"/>
      <c r="F99" s="291"/>
      <c r="G99" s="291"/>
      <c r="H99" s="291"/>
      <c r="I99" s="291"/>
      <c r="J99" s="291"/>
      <c r="K99" s="291"/>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282">
        <v>921</v>
      </c>
      <c r="G102" s="282">
        <v>0</v>
      </c>
      <c r="H102" s="283">
        <v>33374</v>
      </c>
      <c r="I102" s="306">
        <f>H102*F$114</f>
        <v>27110.007284906471</v>
      </c>
      <c r="J102" s="283">
        <v>0</v>
      </c>
      <c r="K102" s="284">
        <f>(H102+I102)-J102</f>
        <v>60484.007284906475</v>
      </c>
    </row>
    <row r="103" spans="1:11" ht="18" customHeight="1" x14ac:dyDescent="0.3">
      <c r="A103" s="733" t="s">
        <v>132</v>
      </c>
      <c r="B103" s="1357" t="s">
        <v>62</v>
      </c>
      <c r="C103" s="1357"/>
      <c r="D103" s="742"/>
      <c r="E103" s="742"/>
      <c r="F103" s="282"/>
      <c r="G103" s="282"/>
      <c r="H103" s="283"/>
      <c r="I103" s="306">
        <f>H103*F$114</f>
        <v>0</v>
      </c>
      <c r="J103" s="283"/>
      <c r="K103" s="284">
        <f>(H103+I103)-J103</f>
        <v>0</v>
      </c>
    </row>
    <row r="104" spans="1:11" ht="18" customHeight="1" x14ac:dyDescent="0.3">
      <c r="A104" s="733" t="s">
        <v>128</v>
      </c>
      <c r="B104" s="1354"/>
      <c r="C104" s="1355"/>
      <c r="D104" s="1356"/>
      <c r="E104" s="742"/>
      <c r="F104" s="282"/>
      <c r="G104" s="282"/>
      <c r="H104" s="283"/>
      <c r="I104" s="306">
        <f>H104*F$114</f>
        <v>0</v>
      </c>
      <c r="J104" s="283"/>
      <c r="K104" s="284">
        <f>(H104+I104)-J104</f>
        <v>0</v>
      </c>
    </row>
    <row r="105" spans="1:11" ht="18" customHeight="1" x14ac:dyDescent="0.3">
      <c r="A105" s="733" t="s">
        <v>127</v>
      </c>
      <c r="B105" s="1354"/>
      <c r="C105" s="1355"/>
      <c r="D105" s="1356"/>
      <c r="E105" s="742"/>
      <c r="F105" s="282"/>
      <c r="G105" s="282"/>
      <c r="H105" s="283"/>
      <c r="I105" s="306">
        <f>H105*F$114</f>
        <v>0</v>
      </c>
      <c r="J105" s="283"/>
      <c r="K105" s="284">
        <f>(H105+I105)-J105</f>
        <v>0</v>
      </c>
    </row>
    <row r="106" spans="1:11" ht="18" customHeight="1" x14ac:dyDescent="0.3">
      <c r="A106" s="733" t="s">
        <v>129</v>
      </c>
      <c r="B106" s="1354"/>
      <c r="C106" s="1355"/>
      <c r="D106" s="1356"/>
      <c r="E106" s="742"/>
      <c r="F106" s="282"/>
      <c r="G106" s="282"/>
      <c r="H106" s="283"/>
      <c r="I106" s="306">
        <f>H106*F$114</f>
        <v>0</v>
      </c>
      <c r="J106" s="283"/>
      <c r="K106" s="284">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286">
        <f t="shared" ref="F108:K108" si="16">SUM(F102:F106)</f>
        <v>921</v>
      </c>
      <c r="G108" s="286">
        <f t="shared" si="16"/>
        <v>0</v>
      </c>
      <c r="H108" s="284">
        <f t="shared" si="16"/>
        <v>33374</v>
      </c>
      <c r="I108" s="284">
        <f t="shared" si="16"/>
        <v>27110.007284906471</v>
      </c>
      <c r="J108" s="284">
        <f t="shared" si="16"/>
        <v>0</v>
      </c>
      <c r="K108" s="284">
        <f t="shared" si="16"/>
        <v>60484.007284906475</v>
      </c>
    </row>
    <row r="109" spans="1:11" s="29" customFormat="1" ht="18" customHeight="1" thickBot="1" x14ac:dyDescent="0.35">
      <c r="A109" s="279"/>
      <c r="B109" s="280"/>
      <c r="C109" s="281"/>
      <c r="D109" s="281"/>
      <c r="E109" s="281"/>
      <c r="F109" s="291"/>
      <c r="G109" s="291"/>
      <c r="H109" s="291"/>
      <c r="I109" s="291"/>
      <c r="J109" s="291"/>
      <c r="K109" s="291"/>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283">
        <v>1927000</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6" ht="18" customHeight="1" x14ac:dyDescent="0.3">
      <c r="A113" s="639"/>
      <c r="B113" s="636" t="s">
        <v>15</v>
      </c>
      <c r="C113" s="742"/>
      <c r="D113" s="742"/>
      <c r="E113" s="742"/>
      <c r="F113" s="742"/>
    </row>
    <row r="114" spans="1:6" ht="18" customHeight="1" x14ac:dyDescent="0.3">
      <c r="A114" s="733" t="s">
        <v>171</v>
      </c>
      <c r="B114" s="635" t="s">
        <v>35</v>
      </c>
      <c r="C114" s="742"/>
      <c r="D114" s="742"/>
      <c r="E114" s="742"/>
      <c r="F114" s="292">
        <v>0.8123092013215818</v>
      </c>
    </row>
    <row r="115" spans="1:6" ht="18" customHeight="1" x14ac:dyDescent="0.3">
      <c r="A115" s="733"/>
      <c r="B115" s="636"/>
      <c r="C115" s="742"/>
      <c r="D115" s="742"/>
      <c r="E115" s="742"/>
      <c r="F115" s="742"/>
    </row>
    <row r="116" spans="1:6" ht="18" customHeight="1" x14ac:dyDescent="0.3">
      <c r="A116" s="733" t="s">
        <v>170</v>
      </c>
      <c r="B116" s="636" t="s">
        <v>16</v>
      </c>
      <c r="C116" s="742"/>
      <c r="D116" s="742"/>
      <c r="E116" s="742"/>
      <c r="F116" s="742"/>
    </row>
    <row r="117" spans="1:6" ht="18" customHeight="1" x14ac:dyDescent="0.3">
      <c r="A117" s="733" t="s">
        <v>172</v>
      </c>
      <c r="B117" s="635" t="s">
        <v>17</v>
      </c>
      <c r="C117" s="742"/>
      <c r="D117" s="742"/>
      <c r="E117" s="742"/>
      <c r="F117" s="283">
        <v>89121000</v>
      </c>
    </row>
    <row r="118" spans="1:6" ht="18" customHeight="1" x14ac:dyDescent="0.3">
      <c r="A118" s="733" t="s">
        <v>173</v>
      </c>
      <c r="B118" s="742" t="s">
        <v>18</v>
      </c>
      <c r="C118" s="742"/>
      <c r="D118" s="742"/>
      <c r="E118" s="742"/>
      <c r="F118" s="283">
        <v>1162000</v>
      </c>
    </row>
    <row r="119" spans="1:6" ht="18" customHeight="1" x14ac:dyDescent="0.3">
      <c r="A119" s="733" t="s">
        <v>174</v>
      </c>
      <c r="B119" s="636" t="s">
        <v>19</v>
      </c>
      <c r="C119" s="742"/>
      <c r="D119" s="742"/>
      <c r="E119" s="742"/>
      <c r="F119" s="285">
        <f>SUM(F117:F118)</f>
        <v>90283000</v>
      </c>
    </row>
    <row r="120" spans="1:6" ht="18" customHeight="1" x14ac:dyDescent="0.3">
      <c r="A120" s="733"/>
      <c r="B120" s="636"/>
      <c r="C120" s="742"/>
      <c r="D120" s="742"/>
      <c r="E120" s="742"/>
      <c r="F120" s="742"/>
    </row>
    <row r="121" spans="1:6" ht="18" customHeight="1" x14ac:dyDescent="0.3">
      <c r="A121" s="733" t="s">
        <v>167</v>
      </c>
      <c r="B121" s="636" t="s">
        <v>36</v>
      </c>
      <c r="C121" s="742"/>
      <c r="D121" s="742"/>
      <c r="E121" s="742"/>
      <c r="F121" s="283">
        <v>84926000</v>
      </c>
    </row>
    <row r="122" spans="1:6" ht="18" customHeight="1" x14ac:dyDescent="0.3">
      <c r="A122" s="733"/>
      <c r="B122" s="742"/>
      <c r="C122" s="742"/>
      <c r="D122" s="742"/>
      <c r="E122" s="742"/>
      <c r="F122" s="742"/>
    </row>
    <row r="123" spans="1:6" ht="18" customHeight="1" x14ac:dyDescent="0.3">
      <c r="A123" s="733" t="s">
        <v>175</v>
      </c>
      <c r="B123" s="636" t="s">
        <v>20</v>
      </c>
      <c r="C123" s="742"/>
      <c r="D123" s="742"/>
      <c r="E123" s="742"/>
      <c r="F123" s="283">
        <v>5357000</v>
      </c>
    </row>
    <row r="124" spans="1:6" ht="18" customHeight="1" x14ac:dyDescent="0.3">
      <c r="A124" s="733"/>
      <c r="B124" s="742"/>
      <c r="C124" s="742"/>
      <c r="D124" s="742"/>
      <c r="E124" s="742"/>
      <c r="F124" s="742"/>
    </row>
    <row r="125" spans="1:6" ht="18" customHeight="1" x14ac:dyDescent="0.3">
      <c r="A125" s="733" t="s">
        <v>176</v>
      </c>
      <c r="B125" s="636" t="s">
        <v>21</v>
      </c>
      <c r="C125" s="742"/>
      <c r="D125" s="742"/>
      <c r="E125" s="742"/>
      <c r="F125" s="283">
        <v>8142000</v>
      </c>
    </row>
    <row r="126" spans="1:6" ht="18" customHeight="1" x14ac:dyDescent="0.3">
      <c r="A126" s="733"/>
      <c r="B126" s="742"/>
      <c r="C126" s="742"/>
      <c r="D126" s="742"/>
      <c r="E126" s="742"/>
      <c r="F126" s="742"/>
    </row>
    <row r="127" spans="1:6" ht="18" customHeight="1" x14ac:dyDescent="0.3">
      <c r="A127" s="733" t="s">
        <v>177</v>
      </c>
      <c r="B127" s="636" t="s">
        <v>22</v>
      </c>
      <c r="C127" s="742"/>
      <c r="D127" s="742"/>
      <c r="E127" s="742"/>
      <c r="F127" s="283">
        <v>13499000</v>
      </c>
    </row>
    <row r="128" spans="1:6" ht="18" customHeight="1" x14ac:dyDescent="0.3">
      <c r="A128" s="733"/>
      <c r="B128" s="742"/>
      <c r="C128" s="742"/>
      <c r="D128" s="742"/>
      <c r="E128" s="742"/>
      <c r="F128" s="742"/>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282">
        <v>198</v>
      </c>
      <c r="G131" s="282">
        <v>512</v>
      </c>
      <c r="H131" s="283">
        <v>9082</v>
      </c>
      <c r="I131" s="306">
        <f t="shared" ref="I131:I135" si="17">H131*F$114</f>
        <v>7377.3921664026057</v>
      </c>
      <c r="J131" s="283">
        <v>12</v>
      </c>
      <c r="K131" s="284">
        <f>(H131+I131)-J131</f>
        <v>16447.392166402606</v>
      </c>
    </row>
    <row r="132" spans="1:11" ht="18" customHeight="1" x14ac:dyDescent="0.3">
      <c r="A132" s="733" t="s">
        <v>159</v>
      </c>
      <c r="B132" s="742" t="s">
        <v>25</v>
      </c>
      <c r="C132" s="742"/>
      <c r="D132" s="742"/>
      <c r="E132" s="742"/>
      <c r="F132" s="282"/>
      <c r="G132" s="282"/>
      <c r="H132" s="283"/>
      <c r="I132" s="306">
        <f t="shared" si="17"/>
        <v>0</v>
      </c>
      <c r="J132" s="283"/>
      <c r="K132" s="284">
        <f>(H132+I132)-J132</f>
        <v>0</v>
      </c>
    </row>
    <row r="133" spans="1:11" ht="18" customHeight="1" x14ac:dyDescent="0.3">
      <c r="A133" s="733" t="s">
        <v>160</v>
      </c>
      <c r="B133" s="1351"/>
      <c r="C133" s="1352"/>
      <c r="D133" s="1353"/>
      <c r="E133" s="742"/>
      <c r="F133" s="282"/>
      <c r="G133" s="282"/>
      <c r="H133" s="283"/>
      <c r="I133" s="306">
        <f t="shared" si="17"/>
        <v>0</v>
      </c>
      <c r="J133" s="283"/>
      <c r="K133" s="284">
        <f>(H133+I133)-J133</f>
        <v>0</v>
      </c>
    </row>
    <row r="134" spans="1:11" ht="18" customHeight="1" x14ac:dyDescent="0.3">
      <c r="A134" s="733" t="s">
        <v>161</v>
      </c>
      <c r="B134" s="1351"/>
      <c r="C134" s="1352"/>
      <c r="D134" s="1353"/>
      <c r="E134" s="742"/>
      <c r="F134" s="282"/>
      <c r="G134" s="282"/>
      <c r="H134" s="283"/>
      <c r="I134" s="306">
        <f t="shared" si="17"/>
        <v>0</v>
      </c>
      <c r="J134" s="283"/>
      <c r="K134" s="284">
        <f>(H134+I134)-J134</f>
        <v>0</v>
      </c>
    </row>
    <row r="135" spans="1:11" ht="18" customHeight="1" x14ac:dyDescent="0.3">
      <c r="A135" s="733" t="s">
        <v>162</v>
      </c>
      <c r="B135" s="1351"/>
      <c r="C135" s="1352"/>
      <c r="D135" s="1353"/>
      <c r="E135" s="742"/>
      <c r="F135" s="282"/>
      <c r="G135" s="282"/>
      <c r="H135" s="283"/>
      <c r="I135" s="306">
        <f t="shared" si="17"/>
        <v>0</v>
      </c>
      <c r="J135" s="283"/>
      <c r="K135" s="284">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286">
        <f t="shared" ref="F137:K137" si="18">SUM(F131:F135)</f>
        <v>198</v>
      </c>
      <c r="G137" s="286">
        <f t="shared" si="18"/>
        <v>512</v>
      </c>
      <c r="H137" s="284">
        <f t="shared" si="18"/>
        <v>9082</v>
      </c>
      <c r="I137" s="284">
        <f t="shared" si="18"/>
        <v>7377.3921664026057</v>
      </c>
      <c r="J137" s="284">
        <f t="shared" si="18"/>
        <v>12</v>
      </c>
      <c r="K137" s="284">
        <f t="shared" si="18"/>
        <v>16447.392166402606</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300">
        <f t="shared" ref="F141:K141" si="19">F36</f>
        <v>6206</v>
      </c>
      <c r="G141" s="300">
        <f t="shared" si="19"/>
        <v>89727</v>
      </c>
      <c r="H141" s="300">
        <f t="shared" si="19"/>
        <v>696667</v>
      </c>
      <c r="I141" s="300">
        <f t="shared" si="19"/>
        <v>565909.01435710245</v>
      </c>
      <c r="J141" s="300">
        <f t="shared" si="19"/>
        <v>20500</v>
      </c>
      <c r="K141" s="300">
        <f t="shared" si="19"/>
        <v>1242076.0143571023</v>
      </c>
    </row>
    <row r="142" spans="1:11" ht="18" customHeight="1" x14ac:dyDescent="0.3">
      <c r="A142" s="733" t="s">
        <v>142</v>
      </c>
      <c r="B142" s="636" t="s">
        <v>65</v>
      </c>
      <c r="C142" s="742"/>
      <c r="D142" s="742"/>
      <c r="E142" s="742"/>
      <c r="F142" s="300">
        <f t="shared" ref="F142:K142" si="20">F49</f>
        <v>4660</v>
      </c>
      <c r="G142" s="300">
        <f t="shared" si="20"/>
        <v>9</v>
      </c>
      <c r="H142" s="300">
        <f t="shared" si="20"/>
        <v>207165</v>
      </c>
      <c r="I142" s="300">
        <f t="shared" si="20"/>
        <v>168282.03569178548</v>
      </c>
      <c r="J142" s="300">
        <f t="shared" si="20"/>
        <v>0</v>
      </c>
      <c r="K142" s="300">
        <f t="shared" si="20"/>
        <v>375447.03569178551</v>
      </c>
    </row>
    <row r="143" spans="1:11" ht="18" customHeight="1" x14ac:dyDescent="0.3">
      <c r="A143" s="733" t="s">
        <v>144</v>
      </c>
      <c r="B143" s="636" t="s">
        <v>66</v>
      </c>
      <c r="C143" s="742"/>
      <c r="D143" s="742"/>
      <c r="E143" s="742"/>
      <c r="F143" s="300">
        <f t="shared" ref="F143:K143" si="21">F64</f>
        <v>0</v>
      </c>
      <c r="G143" s="300">
        <f t="shared" si="21"/>
        <v>0</v>
      </c>
      <c r="H143" s="300">
        <f t="shared" si="21"/>
        <v>1634414</v>
      </c>
      <c r="I143" s="300">
        <f t="shared" si="21"/>
        <v>1327649.5309688116</v>
      </c>
      <c r="J143" s="300">
        <f t="shared" si="21"/>
        <v>0</v>
      </c>
      <c r="K143" s="300">
        <f t="shared" si="21"/>
        <v>2962063.5309688118</v>
      </c>
    </row>
    <row r="144" spans="1:11" ht="18" customHeight="1" x14ac:dyDescent="0.3">
      <c r="A144" s="733" t="s">
        <v>146</v>
      </c>
      <c r="B144" s="636" t="s">
        <v>67</v>
      </c>
      <c r="C144" s="742"/>
      <c r="D144" s="742"/>
      <c r="E144" s="742"/>
      <c r="F144" s="300">
        <f t="shared" ref="F144:K144" si="22">F74</f>
        <v>4219</v>
      </c>
      <c r="G144" s="300">
        <f t="shared" si="22"/>
        <v>0</v>
      </c>
      <c r="H144" s="300">
        <f t="shared" si="22"/>
        <v>179216</v>
      </c>
      <c r="I144" s="300">
        <f t="shared" si="22"/>
        <v>145578.80582404861</v>
      </c>
      <c r="J144" s="300">
        <f t="shared" si="22"/>
        <v>0</v>
      </c>
      <c r="K144" s="300">
        <f t="shared" si="22"/>
        <v>324794.80582404858</v>
      </c>
    </row>
    <row r="145" spans="1:11" ht="18" customHeight="1" x14ac:dyDescent="0.3">
      <c r="A145" s="733" t="s">
        <v>148</v>
      </c>
      <c r="B145" s="636" t="s">
        <v>68</v>
      </c>
      <c r="C145" s="742"/>
      <c r="D145" s="742"/>
      <c r="E145" s="742"/>
      <c r="F145" s="300">
        <f t="shared" ref="F145:K145" si="23">F82</f>
        <v>436</v>
      </c>
      <c r="G145" s="300">
        <f t="shared" si="23"/>
        <v>403</v>
      </c>
      <c r="H145" s="300">
        <f t="shared" si="23"/>
        <v>29659</v>
      </c>
      <c r="I145" s="300">
        <f t="shared" si="23"/>
        <v>24092.278601996797</v>
      </c>
      <c r="J145" s="300">
        <f t="shared" si="23"/>
        <v>0</v>
      </c>
      <c r="K145" s="300">
        <f t="shared" si="23"/>
        <v>53751.27860199679</v>
      </c>
    </row>
    <row r="146" spans="1:11" ht="18" customHeight="1" x14ac:dyDescent="0.3">
      <c r="A146" s="733" t="s">
        <v>150</v>
      </c>
      <c r="B146" s="636" t="s">
        <v>69</v>
      </c>
      <c r="C146" s="742"/>
      <c r="D146" s="742"/>
      <c r="E146" s="742"/>
      <c r="F146" s="300">
        <f t="shared" ref="F146:K146" si="24">F98</f>
        <v>1566</v>
      </c>
      <c r="G146" s="300">
        <f t="shared" si="24"/>
        <v>176</v>
      </c>
      <c r="H146" s="300">
        <f t="shared" si="24"/>
        <v>79286</v>
      </c>
      <c r="I146" s="300">
        <f t="shared" si="24"/>
        <v>64404.747335982938</v>
      </c>
      <c r="J146" s="300">
        <f t="shared" si="24"/>
        <v>0</v>
      </c>
      <c r="K146" s="300">
        <f t="shared" si="24"/>
        <v>143690.74733598295</v>
      </c>
    </row>
    <row r="147" spans="1:11" ht="18" customHeight="1" x14ac:dyDescent="0.3">
      <c r="A147" s="733" t="s">
        <v>153</v>
      </c>
      <c r="B147" s="636" t="s">
        <v>61</v>
      </c>
      <c r="C147" s="742"/>
      <c r="D147" s="742"/>
      <c r="E147" s="742"/>
      <c r="F147" s="286">
        <f t="shared" ref="F147:K147" si="25">F108</f>
        <v>921</v>
      </c>
      <c r="G147" s="286">
        <f t="shared" si="25"/>
        <v>0</v>
      </c>
      <c r="H147" s="286">
        <f t="shared" si="25"/>
        <v>33374</v>
      </c>
      <c r="I147" s="286">
        <f t="shared" si="25"/>
        <v>27110.007284906471</v>
      </c>
      <c r="J147" s="286">
        <f t="shared" si="25"/>
        <v>0</v>
      </c>
      <c r="K147" s="286">
        <f t="shared" si="25"/>
        <v>60484.007284906475</v>
      </c>
    </row>
    <row r="148" spans="1:11" ht="18" customHeight="1" x14ac:dyDescent="0.3">
      <c r="A148" s="733" t="s">
        <v>155</v>
      </c>
      <c r="B148" s="636" t="s">
        <v>70</v>
      </c>
      <c r="C148" s="742"/>
      <c r="D148" s="742"/>
      <c r="E148" s="742"/>
      <c r="F148" s="301" t="s">
        <v>73</v>
      </c>
      <c r="G148" s="301" t="s">
        <v>73</v>
      </c>
      <c r="H148" s="302" t="s">
        <v>73</v>
      </c>
      <c r="I148" s="302" t="s">
        <v>73</v>
      </c>
      <c r="J148" s="302" t="s">
        <v>73</v>
      </c>
      <c r="K148" s="296">
        <f>F111</f>
        <v>1927000</v>
      </c>
    </row>
    <row r="149" spans="1:11" ht="18" customHeight="1" x14ac:dyDescent="0.3">
      <c r="A149" s="733" t="s">
        <v>163</v>
      </c>
      <c r="B149" s="636" t="s">
        <v>71</v>
      </c>
      <c r="C149" s="742"/>
      <c r="D149" s="742"/>
      <c r="E149" s="742"/>
      <c r="F149" s="286">
        <f t="shared" ref="F149:K149" si="26">F137</f>
        <v>198</v>
      </c>
      <c r="G149" s="286">
        <f t="shared" si="26"/>
        <v>512</v>
      </c>
      <c r="H149" s="286">
        <f t="shared" si="26"/>
        <v>9082</v>
      </c>
      <c r="I149" s="286">
        <f t="shared" si="26"/>
        <v>7377.3921664026057</v>
      </c>
      <c r="J149" s="286">
        <f t="shared" si="26"/>
        <v>12</v>
      </c>
      <c r="K149" s="286">
        <f t="shared" si="26"/>
        <v>16447.392166402606</v>
      </c>
    </row>
    <row r="150" spans="1:11" ht="18" customHeight="1" x14ac:dyDescent="0.3">
      <c r="A150" s="733" t="s">
        <v>185</v>
      </c>
      <c r="B150" s="636" t="s">
        <v>186</v>
      </c>
      <c r="C150" s="742"/>
      <c r="D150" s="742"/>
      <c r="E150" s="742"/>
      <c r="F150" s="301" t="s">
        <v>73</v>
      </c>
      <c r="G150" s="301" t="s">
        <v>73</v>
      </c>
      <c r="H150" s="286">
        <f>H18</f>
        <v>2297449</v>
      </c>
      <c r="I150" s="286">
        <f>I18</f>
        <v>0</v>
      </c>
      <c r="J150" s="286">
        <f>J18</f>
        <v>1941798</v>
      </c>
      <c r="K150" s="286">
        <f>K18</f>
        <v>355651</v>
      </c>
    </row>
    <row r="151" spans="1:11" ht="18" customHeight="1" x14ac:dyDescent="0.3">
      <c r="A151" s="742"/>
      <c r="B151" s="636"/>
      <c r="C151" s="742"/>
      <c r="D151" s="742"/>
      <c r="E151" s="742"/>
      <c r="F151" s="304"/>
      <c r="G151" s="304"/>
      <c r="H151" s="304"/>
      <c r="I151" s="304"/>
      <c r="J151" s="304"/>
      <c r="K151" s="304"/>
    </row>
    <row r="152" spans="1:11" ht="18" customHeight="1" x14ac:dyDescent="0.3">
      <c r="A152" s="639" t="s">
        <v>165</v>
      </c>
      <c r="B152" s="636" t="s">
        <v>26</v>
      </c>
      <c r="C152" s="742"/>
      <c r="D152" s="742"/>
      <c r="E152" s="742"/>
      <c r="F152" s="305">
        <f t="shared" ref="F152:K152" si="27">SUM(F141:F150)</f>
        <v>18206</v>
      </c>
      <c r="G152" s="305">
        <f t="shared" si="27"/>
        <v>90827</v>
      </c>
      <c r="H152" s="305">
        <f t="shared" si="27"/>
        <v>5166312</v>
      </c>
      <c r="I152" s="305">
        <f t="shared" si="27"/>
        <v>2330403.8122310373</v>
      </c>
      <c r="J152" s="305">
        <f t="shared" si="27"/>
        <v>1962310</v>
      </c>
      <c r="K152" s="305">
        <f t="shared" si="27"/>
        <v>7461405.8122310359</v>
      </c>
    </row>
    <row r="154" spans="1:11" ht="18" customHeight="1" x14ac:dyDescent="0.3">
      <c r="A154" s="639" t="s">
        <v>168</v>
      </c>
      <c r="B154" s="636" t="s">
        <v>28</v>
      </c>
      <c r="C154" s="742"/>
      <c r="D154" s="742"/>
      <c r="E154" s="834"/>
      <c r="F154" s="310">
        <f>K152/F121</f>
        <v>8.7857732758295878E-2</v>
      </c>
      <c r="G154" s="742"/>
      <c r="H154" s="742"/>
      <c r="I154" s="742"/>
      <c r="J154" s="742"/>
      <c r="K154" s="742"/>
    </row>
    <row r="155" spans="1:11" ht="18" customHeight="1" x14ac:dyDescent="0.3">
      <c r="A155" s="639" t="s">
        <v>169</v>
      </c>
      <c r="B155" s="636" t="s">
        <v>72</v>
      </c>
      <c r="C155" s="742"/>
      <c r="D155" s="742"/>
      <c r="E155" s="834"/>
      <c r="F155" s="310">
        <f>K152/F127</f>
        <v>0.55273767036306654</v>
      </c>
      <c r="G155" s="636"/>
      <c r="H155" s="742"/>
      <c r="I155" s="742"/>
      <c r="J155" s="742"/>
      <c r="K155" s="742"/>
    </row>
    <row r="156" spans="1:11" ht="18" customHeight="1" x14ac:dyDescent="0.3">
      <c r="A156" s="155"/>
      <c r="B156" s="155"/>
      <c r="C156" s="155"/>
      <c r="D156" s="155"/>
      <c r="E156" s="155"/>
      <c r="F156" s="155"/>
      <c r="G156" s="156"/>
      <c r="H156" s="155"/>
      <c r="I156" s="155"/>
      <c r="J156" s="735"/>
      <c r="K156" s="155"/>
    </row>
    <row r="157" spans="1:11" ht="18" customHeight="1" x14ac:dyDescent="0.25">
      <c r="J157" s="830"/>
    </row>
  </sheetData>
  <sheetProtection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56"/>
  <sheetViews>
    <sheetView showGridLines="0" zoomScale="70" zoomScaleNormal="70" zoomScaleSheetLayoutView="80" workbookViewId="0"/>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5">
      <c r="A1" s="327"/>
      <c r="B1" s="327"/>
      <c r="C1" s="891"/>
      <c r="D1" s="878"/>
      <c r="E1" s="891"/>
      <c r="F1" s="891"/>
      <c r="G1" s="891"/>
      <c r="H1" s="891"/>
      <c r="I1" s="891"/>
      <c r="J1" s="891"/>
      <c r="K1" s="891"/>
    </row>
    <row r="2" spans="1:11" ht="18" customHeight="1" x14ac:dyDescent="0.35">
      <c r="A2" s="327"/>
      <c r="B2" s="327"/>
      <c r="C2" s="327"/>
      <c r="D2" s="1398" t="s">
        <v>700</v>
      </c>
      <c r="E2" s="1398"/>
      <c r="F2" s="1398"/>
      <c r="G2" s="1398"/>
      <c r="H2" s="1398"/>
      <c r="I2" s="327"/>
      <c r="J2" s="327"/>
      <c r="K2" s="327"/>
    </row>
    <row r="3" spans="1:11" ht="18" customHeight="1" x14ac:dyDescent="0.35">
      <c r="A3" s="327"/>
      <c r="B3" s="328" t="s">
        <v>0</v>
      </c>
      <c r="C3" s="327"/>
      <c r="D3" s="327"/>
      <c r="E3" s="327"/>
      <c r="F3" s="327"/>
      <c r="G3" s="327"/>
      <c r="H3" s="327"/>
      <c r="I3" s="327"/>
      <c r="J3" s="327"/>
      <c r="K3" s="327"/>
    </row>
    <row r="5" spans="1:11" ht="18" customHeight="1" x14ac:dyDescent="0.35">
      <c r="A5" s="327"/>
      <c r="B5" s="329" t="s">
        <v>40</v>
      </c>
      <c r="C5" s="1399" t="s">
        <v>717</v>
      </c>
      <c r="D5" s="1400"/>
      <c r="E5" s="1400"/>
      <c r="F5" s="1400"/>
      <c r="G5" s="1401"/>
      <c r="H5" s="327"/>
      <c r="I5" s="327"/>
      <c r="J5" s="327"/>
      <c r="K5" s="327"/>
    </row>
    <row r="6" spans="1:11" ht="18" customHeight="1" x14ac:dyDescent="0.35">
      <c r="A6" s="327"/>
      <c r="B6" s="329" t="s">
        <v>3</v>
      </c>
      <c r="C6" s="1402" t="s">
        <v>397</v>
      </c>
      <c r="D6" s="1403"/>
      <c r="E6" s="1403"/>
      <c r="F6" s="1403"/>
      <c r="G6" s="1404"/>
      <c r="H6" s="327"/>
      <c r="I6" s="327"/>
      <c r="J6" s="327"/>
      <c r="K6" s="327"/>
    </row>
    <row r="7" spans="1:11" ht="18" customHeight="1" x14ac:dyDescent="0.35">
      <c r="A7" s="327"/>
      <c r="B7" s="329" t="s">
        <v>4</v>
      </c>
      <c r="C7" s="1405" t="s">
        <v>718</v>
      </c>
      <c r="D7" s="1406"/>
      <c r="E7" s="1406"/>
      <c r="F7" s="1406"/>
      <c r="G7" s="1407"/>
      <c r="H7" s="327"/>
      <c r="I7" s="327"/>
      <c r="J7" s="327"/>
      <c r="K7" s="327"/>
    </row>
    <row r="9" spans="1:11" ht="18" customHeight="1" x14ac:dyDescent="0.35">
      <c r="A9" s="327"/>
      <c r="B9" s="329" t="s">
        <v>1</v>
      </c>
      <c r="C9" s="1399" t="s">
        <v>398</v>
      </c>
      <c r="D9" s="1400"/>
      <c r="E9" s="1400"/>
      <c r="F9" s="1400"/>
      <c r="G9" s="1401"/>
      <c r="H9" s="327"/>
      <c r="I9" s="327"/>
      <c r="J9" s="327"/>
      <c r="K9" s="327"/>
    </row>
    <row r="10" spans="1:11" ht="18" customHeight="1" x14ac:dyDescent="0.35">
      <c r="A10" s="327"/>
      <c r="B10" s="329" t="s">
        <v>2</v>
      </c>
      <c r="C10" s="1408" t="s">
        <v>719</v>
      </c>
      <c r="D10" s="1409"/>
      <c r="E10" s="1409"/>
      <c r="F10" s="1409"/>
      <c r="G10" s="1410"/>
      <c r="H10" s="327"/>
      <c r="I10" s="327"/>
      <c r="J10" s="327"/>
      <c r="K10" s="327"/>
    </row>
    <row r="11" spans="1:11" ht="18" customHeight="1" x14ac:dyDescent="0.35">
      <c r="A11" s="327"/>
      <c r="B11" s="329" t="s">
        <v>32</v>
      </c>
      <c r="C11" s="1399" t="s">
        <v>399</v>
      </c>
      <c r="D11" s="1400"/>
      <c r="E11" s="1400"/>
      <c r="F11" s="1400"/>
      <c r="G11" s="1400"/>
      <c r="H11" s="327"/>
      <c r="I11" s="327"/>
      <c r="J11" s="327"/>
      <c r="K11" s="327"/>
    </row>
    <row r="12" spans="1:11" ht="18" customHeight="1" x14ac:dyDescent="0.35">
      <c r="A12" s="327"/>
      <c r="B12" s="329"/>
      <c r="C12" s="329"/>
      <c r="D12" s="329"/>
      <c r="E12" s="329"/>
      <c r="F12" s="329"/>
      <c r="G12" s="329"/>
      <c r="H12" s="327"/>
      <c r="I12" s="327"/>
      <c r="J12" s="327"/>
      <c r="K12" s="327"/>
    </row>
    <row r="13" spans="1:11" ht="24.65" customHeight="1" x14ac:dyDescent="0.35">
      <c r="A13" s="327"/>
      <c r="B13" s="1411"/>
      <c r="C13" s="1411"/>
      <c r="D13" s="1411"/>
      <c r="E13" s="1411"/>
      <c r="F13" s="1411"/>
      <c r="G13" s="1411"/>
      <c r="H13" s="1411"/>
      <c r="I13" s="891"/>
      <c r="J13" s="327"/>
      <c r="K13" s="327"/>
    </row>
    <row r="14" spans="1:11" ht="18" customHeight="1" x14ac:dyDescent="0.35">
      <c r="A14" s="327"/>
      <c r="B14" s="330"/>
      <c r="C14" s="327"/>
      <c r="D14" s="327"/>
      <c r="E14" s="327"/>
      <c r="F14" s="327"/>
      <c r="G14" s="327"/>
      <c r="H14" s="327"/>
      <c r="I14" s="327"/>
      <c r="J14" s="327"/>
      <c r="K14" s="327"/>
    </row>
    <row r="15" spans="1:11" ht="18" customHeight="1" x14ac:dyDescent="0.35">
      <c r="A15" s="327"/>
      <c r="B15" s="330"/>
      <c r="C15" s="327"/>
      <c r="D15" s="327"/>
      <c r="E15" s="327"/>
      <c r="F15" s="327"/>
      <c r="G15" s="327"/>
      <c r="H15" s="327"/>
      <c r="I15" s="327"/>
      <c r="J15" s="327"/>
      <c r="K15" s="327"/>
    </row>
    <row r="16" spans="1:11" ht="45" customHeight="1" x14ac:dyDescent="0.35">
      <c r="A16" s="878" t="s">
        <v>181</v>
      </c>
      <c r="B16" s="891"/>
      <c r="C16" s="891"/>
      <c r="D16" s="891"/>
      <c r="E16" s="891"/>
      <c r="F16" s="331" t="s">
        <v>9</v>
      </c>
      <c r="G16" s="331" t="s">
        <v>37</v>
      </c>
      <c r="H16" s="331" t="s">
        <v>29</v>
      </c>
      <c r="I16" s="331" t="s">
        <v>30</v>
      </c>
      <c r="J16" s="331" t="s">
        <v>33</v>
      </c>
      <c r="K16" s="331" t="s">
        <v>34</v>
      </c>
    </row>
    <row r="17" spans="1:11" ht="18" customHeight="1" x14ac:dyDescent="0.35">
      <c r="A17" s="332" t="s">
        <v>184</v>
      </c>
      <c r="B17" s="328" t="s">
        <v>182</v>
      </c>
      <c r="C17" s="327"/>
      <c r="D17" s="327"/>
      <c r="E17" s="327"/>
      <c r="F17" s="327"/>
      <c r="G17" s="327"/>
      <c r="H17" s="327"/>
      <c r="I17" s="327"/>
      <c r="J17" s="327"/>
      <c r="K17" s="327"/>
    </row>
    <row r="18" spans="1:11" ht="18" customHeight="1" x14ac:dyDescent="0.35">
      <c r="A18" s="329" t="s">
        <v>185</v>
      </c>
      <c r="B18" s="333" t="s">
        <v>183</v>
      </c>
      <c r="C18" s="327"/>
      <c r="D18" s="327"/>
      <c r="E18" s="327"/>
      <c r="F18" s="159" t="s">
        <v>73</v>
      </c>
      <c r="G18" s="159" t="s">
        <v>73</v>
      </c>
      <c r="H18" s="160">
        <v>11609089</v>
      </c>
      <c r="I18" s="161">
        <v>0</v>
      </c>
      <c r="J18" s="160">
        <v>9811971</v>
      </c>
      <c r="K18" s="162">
        <f>(H18+I18)-J18</f>
        <v>1797118</v>
      </c>
    </row>
    <row r="19" spans="1:11" ht="45" customHeight="1" x14ac:dyDescent="0.35">
      <c r="A19" s="878" t="s">
        <v>8</v>
      </c>
      <c r="B19" s="891"/>
      <c r="C19" s="891"/>
      <c r="D19" s="891"/>
      <c r="E19" s="891"/>
      <c r="F19" s="331" t="s">
        <v>9</v>
      </c>
      <c r="G19" s="331" t="s">
        <v>37</v>
      </c>
      <c r="H19" s="331" t="s">
        <v>29</v>
      </c>
      <c r="I19" s="331" t="s">
        <v>30</v>
      </c>
      <c r="J19" s="331" t="s">
        <v>33</v>
      </c>
      <c r="K19" s="331" t="s">
        <v>34</v>
      </c>
    </row>
    <row r="20" spans="1:11" ht="18" customHeight="1" x14ac:dyDescent="0.35">
      <c r="A20" s="332" t="s">
        <v>74</v>
      </c>
      <c r="B20" s="328" t="s">
        <v>41</v>
      </c>
      <c r="C20" s="327"/>
      <c r="D20" s="327"/>
      <c r="E20" s="327"/>
      <c r="F20" s="327"/>
      <c r="G20" s="327"/>
      <c r="H20" s="327"/>
      <c r="I20" s="327"/>
      <c r="J20" s="327"/>
      <c r="K20" s="327"/>
    </row>
    <row r="21" spans="1:11" ht="18" customHeight="1" x14ac:dyDescent="0.35">
      <c r="A21" s="329" t="s">
        <v>75</v>
      </c>
      <c r="B21" s="333" t="s">
        <v>42</v>
      </c>
      <c r="C21" s="327"/>
      <c r="D21" s="327"/>
      <c r="E21" s="327"/>
      <c r="F21" s="159">
        <f>46428-F31-F33-F34-F32</f>
        <v>39887</v>
      </c>
      <c r="G21" s="159">
        <f>3599-G31</f>
        <v>2842</v>
      </c>
      <c r="H21" s="160">
        <f>1626275-H34-H33-H32-H31</f>
        <v>1409458</v>
      </c>
      <c r="I21" s="161">
        <f t="shared" ref="I21:I34" si="0">H21*F$114</f>
        <v>962659.81400000013</v>
      </c>
      <c r="J21" s="160">
        <f>122866-J31</f>
        <v>6781</v>
      </c>
      <c r="K21" s="162">
        <f t="shared" ref="K21:K34" si="1">(H21+I21)-J21</f>
        <v>2365336.8140000002</v>
      </c>
    </row>
    <row r="22" spans="1:11" ht="18" customHeight="1" x14ac:dyDescent="0.35">
      <c r="A22" s="329" t="s">
        <v>76</v>
      </c>
      <c r="B22" s="327" t="s">
        <v>6</v>
      </c>
      <c r="C22" s="327"/>
      <c r="D22" s="327"/>
      <c r="E22" s="327"/>
      <c r="F22" s="159">
        <v>2375</v>
      </c>
      <c r="G22" s="159">
        <f>24733-G24</f>
        <v>733</v>
      </c>
      <c r="H22" s="160">
        <f>1308658-H24</f>
        <v>140398</v>
      </c>
      <c r="I22" s="161">
        <f t="shared" si="0"/>
        <v>95891.834000000003</v>
      </c>
      <c r="J22" s="160"/>
      <c r="K22" s="162">
        <f t="shared" si="1"/>
        <v>236289.834</v>
      </c>
    </row>
    <row r="23" spans="1:11" ht="18" customHeight="1" x14ac:dyDescent="0.35">
      <c r="A23" s="329" t="s">
        <v>77</v>
      </c>
      <c r="B23" s="327" t="s">
        <v>43</v>
      </c>
      <c r="C23" s="327"/>
      <c r="D23" s="327"/>
      <c r="E23" s="327"/>
      <c r="F23" s="159"/>
      <c r="G23" s="159"/>
      <c r="H23" s="160"/>
      <c r="I23" s="161">
        <f t="shared" si="0"/>
        <v>0</v>
      </c>
      <c r="J23" s="160"/>
      <c r="K23" s="162">
        <f t="shared" si="1"/>
        <v>0</v>
      </c>
    </row>
    <row r="24" spans="1:11" ht="18" customHeight="1" x14ac:dyDescent="0.35">
      <c r="A24" s="329" t="s">
        <v>78</v>
      </c>
      <c r="B24" s="327" t="s">
        <v>44</v>
      </c>
      <c r="C24" s="327"/>
      <c r="D24" s="327"/>
      <c r="E24" s="327"/>
      <c r="F24" s="159"/>
      <c r="G24" s="159">
        <v>24000</v>
      </c>
      <c r="H24" s="160">
        <v>1168260</v>
      </c>
      <c r="I24" s="161">
        <f t="shared" si="0"/>
        <v>797921.58000000007</v>
      </c>
      <c r="J24" s="160"/>
      <c r="K24" s="162">
        <f t="shared" si="1"/>
        <v>1966181.58</v>
      </c>
    </row>
    <row r="25" spans="1:11" ht="18" customHeight="1" x14ac:dyDescent="0.35">
      <c r="A25" s="329" t="s">
        <v>79</v>
      </c>
      <c r="B25" s="327" t="s">
        <v>5</v>
      </c>
      <c r="C25" s="327"/>
      <c r="D25" s="327"/>
      <c r="E25" s="327"/>
      <c r="F25" s="159"/>
      <c r="G25" s="159"/>
      <c r="H25" s="160"/>
      <c r="I25" s="161">
        <f t="shared" si="0"/>
        <v>0</v>
      </c>
      <c r="J25" s="160"/>
      <c r="K25" s="162">
        <f t="shared" si="1"/>
        <v>0</v>
      </c>
    </row>
    <row r="26" spans="1:11" ht="18" customHeight="1" x14ac:dyDescent="0.35">
      <c r="A26" s="329" t="s">
        <v>80</v>
      </c>
      <c r="B26" s="327" t="s">
        <v>45</v>
      </c>
      <c r="C26" s="327"/>
      <c r="D26" s="327"/>
      <c r="E26" s="327"/>
      <c r="F26" s="159"/>
      <c r="G26" s="159"/>
      <c r="H26" s="160"/>
      <c r="I26" s="161">
        <f t="shared" si="0"/>
        <v>0</v>
      </c>
      <c r="J26" s="160"/>
      <c r="K26" s="162">
        <f t="shared" si="1"/>
        <v>0</v>
      </c>
    </row>
    <row r="27" spans="1:11" ht="18" customHeight="1" x14ac:dyDescent="0.35">
      <c r="A27" s="329" t="s">
        <v>81</v>
      </c>
      <c r="B27" s="327" t="s">
        <v>46</v>
      </c>
      <c r="C27" s="327"/>
      <c r="D27" s="327"/>
      <c r="E27" s="327"/>
      <c r="F27" s="159"/>
      <c r="G27" s="159"/>
      <c r="H27" s="160"/>
      <c r="I27" s="161">
        <f t="shared" si="0"/>
        <v>0</v>
      </c>
      <c r="J27" s="160"/>
      <c r="K27" s="162">
        <f t="shared" si="1"/>
        <v>0</v>
      </c>
    </row>
    <row r="28" spans="1:11" ht="18" customHeight="1" x14ac:dyDescent="0.35">
      <c r="A28" s="329" t="s">
        <v>82</v>
      </c>
      <c r="B28" s="327" t="s">
        <v>47</v>
      </c>
      <c r="C28" s="327"/>
      <c r="D28" s="327"/>
      <c r="E28" s="327"/>
      <c r="F28" s="159"/>
      <c r="G28" s="159"/>
      <c r="H28" s="160"/>
      <c r="I28" s="161">
        <f t="shared" si="0"/>
        <v>0</v>
      </c>
      <c r="J28" s="160"/>
      <c r="K28" s="162">
        <f t="shared" si="1"/>
        <v>0</v>
      </c>
    </row>
    <row r="29" spans="1:11" ht="18" customHeight="1" x14ac:dyDescent="0.35">
      <c r="A29" s="329" t="s">
        <v>83</v>
      </c>
      <c r="B29" s="327" t="s">
        <v>48</v>
      </c>
      <c r="C29" s="327"/>
      <c r="D29" s="327"/>
      <c r="E29" s="327"/>
      <c r="F29" s="159"/>
      <c r="G29" s="159"/>
      <c r="H29" s="160">
        <v>1090200</v>
      </c>
      <c r="I29" s="161">
        <f t="shared" si="0"/>
        <v>744606.60000000009</v>
      </c>
      <c r="J29" s="160"/>
      <c r="K29" s="162">
        <f t="shared" si="1"/>
        <v>1834806.6</v>
      </c>
    </row>
    <row r="30" spans="1:11" ht="18" customHeight="1" x14ac:dyDescent="0.35">
      <c r="A30" s="329" t="s">
        <v>84</v>
      </c>
      <c r="B30" s="1392" t="s">
        <v>720</v>
      </c>
      <c r="C30" s="1393"/>
      <c r="D30" s="1394"/>
      <c r="E30" s="327"/>
      <c r="F30" s="159"/>
      <c r="G30" s="159"/>
      <c r="H30" s="160">
        <v>786633</v>
      </c>
      <c r="I30" s="161">
        <f t="shared" si="0"/>
        <v>537270.33900000004</v>
      </c>
      <c r="J30" s="160"/>
      <c r="K30" s="162">
        <f t="shared" si="1"/>
        <v>1323903.3390000002</v>
      </c>
    </row>
    <row r="31" spans="1:11" ht="18" customHeight="1" x14ac:dyDescent="0.35">
      <c r="A31" s="329" t="s">
        <v>133</v>
      </c>
      <c r="B31" s="1392" t="s">
        <v>721</v>
      </c>
      <c r="C31" s="1393"/>
      <c r="D31" s="1394"/>
      <c r="E31" s="327"/>
      <c r="F31" s="159">
        <v>4456</v>
      </c>
      <c r="G31" s="159">
        <v>757</v>
      </c>
      <c r="H31" s="160">
        <v>116085</v>
      </c>
      <c r="I31" s="161">
        <f t="shared" si="0"/>
        <v>79286.055000000008</v>
      </c>
      <c r="J31" s="160">
        <v>116085</v>
      </c>
      <c r="K31" s="162">
        <f t="shared" si="1"/>
        <v>79286.054999999993</v>
      </c>
    </row>
    <row r="32" spans="1:11" ht="18" customHeight="1" x14ac:dyDescent="0.35">
      <c r="A32" s="329" t="s">
        <v>134</v>
      </c>
      <c r="B32" s="864" t="s">
        <v>722</v>
      </c>
      <c r="C32" s="865"/>
      <c r="D32" s="866"/>
      <c r="E32" s="327"/>
      <c r="F32" s="159">
        <f>8+8+8+8</f>
        <v>32</v>
      </c>
      <c r="G32" s="163"/>
      <c r="H32" s="160">
        <f>2400+12522</f>
        <v>14922</v>
      </c>
      <c r="I32" s="161">
        <f t="shared" si="0"/>
        <v>10191.726000000001</v>
      </c>
      <c r="J32" s="160"/>
      <c r="K32" s="162">
        <f t="shared" si="1"/>
        <v>25113.726000000002</v>
      </c>
    </row>
    <row r="33" spans="1:11" ht="18" customHeight="1" x14ac:dyDescent="0.35">
      <c r="A33" s="329" t="s">
        <v>135</v>
      </c>
      <c r="B33" s="864" t="s">
        <v>723</v>
      </c>
      <c r="C33" s="865"/>
      <c r="D33" s="866"/>
      <c r="E33" s="327"/>
      <c r="F33" s="159">
        <v>1026.5</v>
      </c>
      <c r="G33" s="163"/>
      <c r="H33" s="160">
        <v>42905</v>
      </c>
      <c r="I33" s="161">
        <f t="shared" si="0"/>
        <v>29304.115000000002</v>
      </c>
      <c r="J33" s="160"/>
      <c r="K33" s="162">
        <f t="shared" si="1"/>
        <v>72209.115000000005</v>
      </c>
    </row>
    <row r="34" spans="1:11" ht="18" customHeight="1" x14ac:dyDescent="0.35">
      <c r="A34" s="329" t="s">
        <v>136</v>
      </c>
      <c r="B34" s="1392" t="s">
        <v>724</v>
      </c>
      <c r="C34" s="1393"/>
      <c r="D34" s="1394"/>
      <c r="E34" s="327"/>
      <c r="F34" s="159">
        <v>1026.5</v>
      </c>
      <c r="G34" s="163"/>
      <c r="H34" s="160">
        <v>42905</v>
      </c>
      <c r="I34" s="161">
        <f t="shared" si="0"/>
        <v>29304.115000000002</v>
      </c>
      <c r="J34" s="160"/>
      <c r="K34" s="162">
        <f t="shared" si="1"/>
        <v>72209.115000000005</v>
      </c>
    </row>
    <row r="35" spans="1:11" ht="18" customHeight="1" x14ac:dyDescent="0.35">
      <c r="A35" s="327"/>
      <c r="B35" s="327"/>
      <c r="C35" s="327"/>
      <c r="D35" s="327"/>
      <c r="E35" s="327"/>
      <c r="F35" s="327"/>
      <c r="G35" s="327"/>
      <c r="H35" s="327"/>
      <c r="I35" s="327"/>
      <c r="J35" s="327"/>
      <c r="K35" s="164"/>
    </row>
    <row r="36" spans="1:11" ht="18" customHeight="1" x14ac:dyDescent="0.35">
      <c r="A36" s="332" t="s">
        <v>137</v>
      </c>
      <c r="B36" s="328" t="s">
        <v>138</v>
      </c>
      <c r="C36" s="327"/>
      <c r="D36" s="327"/>
      <c r="E36" s="328" t="s">
        <v>7</v>
      </c>
      <c r="F36" s="165">
        <f t="shared" ref="F36:K36" si="2">SUM(F21:F34)</f>
        <v>48803</v>
      </c>
      <c r="G36" s="165">
        <f t="shared" si="2"/>
        <v>28332</v>
      </c>
      <c r="H36" s="165">
        <f t="shared" si="2"/>
        <v>4811766</v>
      </c>
      <c r="I36" s="162">
        <f t="shared" si="2"/>
        <v>3286436.1780000008</v>
      </c>
      <c r="J36" s="162">
        <f t="shared" si="2"/>
        <v>122866</v>
      </c>
      <c r="K36" s="162">
        <f t="shared" si="2"/>
        <v>7975336.1779999994</v>
      </c>
    </row>
    <row r="37" spans="1:11" ht="18" customHeight="1" thickBot="1" x14ac:dyDescent="0.4">
      <c r="A37" s="327"/>
      <c r="B37" s="328"/>
      <c r="C37" s="327"/>
      <c r="D37" s="327"/>
      <c r="E37" s="327"/>
      <c r="F37" s="166"/>
      <c r="G37" s="166"/>
      <c r="H37" s="167"/>
      <c r="I37" s="167"/>
      <c r="J37" s="167"/>
      <c r="K37" s="168"/>
    </row>
    <row r="38" spans="1:11" ht="42.75" customHeight="1" x14ac:dyDescent="0.35">
      <c r="A38" s="327"/>
      <c r="B38" s="327"/>
      <c r="C38" s="327"/>
      <c r="D38" s="327"/>
      <c r="E38" s="327"/>
      <c r="F38" s="331" t="s">
        <v>9</v>
      </c>
      <c r="G38" s="331" t="s">
        <v>37</v>
      </c>
      <c r="H38" s="331" t="s">
        <v>29</v>
      </c>
      <c r="I38" s="331" t="s">
        <v>30</v>
      </c>
      <c r="J38" s="331" t="s">
        <v>33</v>
      </c>
      <c r="K38" s="331" t="s">
        <v>34</v>
      </c>
    </row>
    <row r="39" spans="1:11" ht="18.75" customHeight="1" x14ac:dyDescent="0.35">
      <c r="A39" s="332" t="s">
        <v>86</v>
      </c>
      <c r="B39" s="328" t="s">
        <v>49</v>
      </c>
      <c r="C39" s="327"/>
      <c r="D39" s="327"/>
      <c r="E39" s="327"/>
      <c r="F39" s="327"/>
      <c r="G39" s="327"/>
      <c r="H39" s="327"/>
      <c r="I39" s="327"/>
      <c r="J39" s="327"/>
      <c r="K39" s="327"/>
    </row>
    <row r="40" spans="1:11" ht="18" customHeight="1" x14ac:dyDescent="0.35">
      <c r="A40" s="329" t="s">
        <v>87</v>
      </c>
      <c r="B40" s="327" t="s">
        <v>31</v>
      </c>
      <c r="C40" s="327"/>
      <c r="D40" s="327"/>
      <c r="E40" s="327"/>
      <c r="F40" s="159">
        <v>48003</v>
      </c>
      <c r="G40" s="159"/>
      <c r="H40" s="160">
        <v>7394372</v>
      </c>
      <c r="I40" s="161">
        <f t="shared" ref="I40:I42" si="3">H40*F$114</f>
        <v>5050356.0760000004</v>
      </c>
      <c r="J40" s="160">
        <v>307276</v>
      </c>
      <c r="K40" s="162">
        <f t="shared" ref="K40:K47" si="4">(H40+I40)-J40</f>
        <v>12137452.076000001</v>
      </c>
    </row>
    <row r="41" spans="1:11" ht="18" customHeight="1" x14ac:dyDescent="0.35">
      <c r="A41" s="329" t="s">
        <v>88</v>
      </c>
      <c r="B41" s="1412" t="s">
        <v>50</v>
      </c>
      <c r="C41" s="1412"/>
      <c r="D41" s="327"/>
      <c r="E41" s="327"/>
      <c r="F41" s="159">
        <v>832</v>
      </c>
      <c r="G41" s="159"/>
      <c r="H41" s="160">
        <v>148339</v>
      </c>
      <c r="I41" s="161">
        <f t="shared" si="3"/>
        <v>101315.53700000001</v>
      </c>
      <c r="J41" s="160"/>
      <c r="K41" s="162">
        <f t="shared" si="4"/>
        <v>249654.53700000001</v>
      </c>
    </row>
    <row r="42" spans="1:11" ht="18" customHeight="1" x14ac:dyDescent="0.35">
      <c r="A42" s="329" t="s">
        <v>89</v>
      </c>
      <c r="B42" s="333" t="s">
        <v>11</v>
      </c>
      <c r="C42" s="327"/>
      <c r="D42" s="327"/>
      <c r="E42" s="327"/>
      <c r="F42" s="159">
        <v>416</v>
      </c>
      <c r="G42" s="159"/>
      <c r="H42" s="160">
        <v>74170</v>
      </c>
      <c r="I42" s="161">
        <f t="shared" si="3"/>
        <v>50658.11</v>
      </c>
      <c r="J42" s="160"/>
      <c r="K42" s="162">
        <f t="shared" si="4"/>
        <v>124828.11</v>
      </c>
    </row>
    <row r="43" spans="1:11" ht="18" customHeight="1" x14ac:dyDescent="0.35">
      <c r="A43" s="329" t="s">
        <v>90</v>
      </c>
      <c r="B43" s="342" t="s">
        <v>10</v>
      </c>
      <c r="C43" s="343"/>
      <c r="D43" s="343"/>
      <c r="E43" s="327"/>
      <c r="F43" s="159"/>
      <c r="G43" s="159"/>
      <c r="H43" s="160"/>
      <c r="I43" s="161">
        <v>0</v>
      </c>
      <c r="J43" s="160"/>
      <c r="K43" s="162">
        <f t="shared" si="4"/>
        <v>0</v>
      </c>
    </row>
    <row r="44" spans="1:11" ht="18" customHeight="1" x14ac:dyDescent="0.35">
      <c r="A44" s="329" t="s">
        <v>91</v>
      </c>
      <c r="B44" s="1392"/>
      <c r="C44" s="1393"/>
      <c r="D44" s="1394"/>
      <c r="E44" s="327"/>
      <c r="F44" s="169"/>
      <c r="G44" s="169"/>
      <c r="H44" s="169"/>
      <c r="I44" s="161">
        <v>0</v>
      </c>
      <c r="J44" s="169"/>
      <c r="K44" s="170">
        <f t="shared" si="4"/>
        <v>0</v>
      </c>
    </row>
    <row r="45" spans="1:11" ht="18" customHeight="1" x14ac:dyDescent="0.35">
      <c r="A45" s="329" t="s">
        <v>139</v>
      </c>
      <c r="B45" s="1392"/>
      <c r="C45" s="1393"/>
      <c r="D45" s="1394"/>
      <c r="E45" s="327"/>
      <c r="F45" s="159"/>
      <c r="G45" s="159"/>
      <c r="H45" s="160"/>
      <c r="I45" s="161">
        <v>0</v>
      </c>
      <c r="J45" s="160"/>
      <c r="K45" s="162">
        <f t="shared" si="4"/>
        <v>0</v>
      </c>
    </row>
    <row r="46" spans="1:11" ht="18" customHeight="1" x14ac:dyDescent="0.35">
      <c r="A46" s="329" t="s">
        <v>140</v>
      </c>
      <c r="B46" s="1392"/>
      <c r="C46" s="1393"/>
      <c r="D46" s="1394"/>
      <c r="E46" s="327"/>
      <c r="F46" s="159"/>
      <c r="G46" s="159"/>
      <c r="H46" s="160"/>
      <c r="I46" s="161">
        <v>0</v>
      </c>
      <c r="J46" s="160"/>
      <c r="K46" s="162">
        <f t="shared" si="4"/>
        <v>0</v>
      </c>
    </row>
    <row r="47" spans="1:11" ht="18" customHeight="1" x14ac:dyDescent="0.35">
      <c r="A47" s="329" t="s">
        <v>141</v>
      </c>
      <c r="B47" s="1392"/>
      <c r="C47" s="1393"/>
      <c r="D47" s="1394"/>
      <c r="E47" s="327"/>
      <c r="F47" s="159"/>
      <c r="G47" s="159"/>
      <c r="H47" s="160"/>
      <c r="I47" s="161">
        <v>0</v>
      </c>
      <c r="J47" s="160"/>
      <c r="K47" s="162">
        <f t="shared" si="4"/>
        <v>0</v>
      </c>
    </row>
    <row r="49" spans="1:11" ht="18" customHeight="1" x14ac:dyDescent="0.35">
      <c r="A49" s="332" t="s">
        <v>142</v>
      </c>
      <c r="B49" s="328" t="s">
        <v>143</v>
      </c>
      <c r="C49" s="327"/>
      <c r="D49" s="327"/>
      <c r="E49" s="328" t="s">
        <v>7</v>
      </c>
      <c r="F49" s="171">
        <f t="shared" ref="F49:K49" si="5">SUM(F40:F47)</f>
        <v>49251</v>
      </c>
      <c r="G49" s="171">
        <f t="shared" si="5"/>
        <v>0</v>
      </c>
      <c r="H49" s="162">
        <f t="shared" si="5"/>
        <v>7616881</v>
      </c>
      <c r="I49" s="162">
        <f t="shared" si="5"/>
        <v>5202329.7230000002</v>
      </c>
      <c r="J49" s="162">
        <f t="shared" si="5"/>
        <v>307276</v>
      </c>
      <c r="K49" s="162">
        <f t="shared" si="5"/>
        <v>12511934.723000001</v>
      </c>
    </row>
    <row r="50" spans="1:11" ht="18" customHeight="1" thickBot="1" x14ac:dyDescent="0.4">
      <c r="A50" s="327"/>
      <c r="B50" s="327"/>
      <c r="C50" s="327"/>
      <c r="D50" s="327"/>
      <c r="E50" s="327"/>
      <c r="F50" s="327"/>
      <c r="G50" s="172"/>
      <c r="H50" s="172"/>
      <c r="I50" s="172"/>
      <c r="J50" s="172"/>
      <c r="K50" s="172"/>
    </row>
    <row r="51" spans="1:11" ht="42.75" customHeight="1" x14ac:dyDescent="0.35">
      <c r="A51" s="327"/>
      <c r="B51" s="327"/>
      <c r="C51" s="327"/>
      <c r="D51" s="327"/>
      <c r="E51" s="327"/>
      <c r="F51" s="331" t="s">
        <v>9</v>
      </c>
      <c r="G51" s="331" t="s">
        <v>37</v>
      </c>
      <c r="H51" s="331" t="s">
        <v>29</v>
      </c>
      <c r="I51" s="331" t="s">
        <v>30</v>
      </c>
      <c r="J51" s="331" t="s">
        <v>33</v>
      </c>
      <c r="K51" s="331" t="s">
        <v>34</v>
      </c>
    </row>
    <row r="52" spans="1:11" ht="18" customHeight="1" x14ac:dyDescent="0.35">
      <c r="A52" s="332" t="s">
        <v>92</v>
      </c>
      <c r="B52" s="1414" t="s">
        <v>38</v>
      </c>
      <c r="C52" s="1414"/>
      <c r="D52" s="327"/>
      <c r="E52" s="327"/>
      <c r="F52" s="327"/>
      <c r="G52" s="327"/>
      <c r="H52" s="327"/>
      <c r="I52" s="327"/>
      <c r="J52" s="327"/>
      <c r="K52" s="327"/>
    </row>
    <row r="53" spans="1:11" ht="18" customHeight="1" x14ac:dyDescent="0.35">
      <c r="A53" s="329" t="s">
        <v>51</v>
      </c>
      <c r="B53" s="1395" t="s">
        <v>725</v>
      </c>
      <c r="C53" s="1396"/>
      <c r="D53" s="1397"/>
      <c r="E53" s="327"/>
      <c r="F53" s="159"/>
      <c r="G53" s="159">
        <v>40280</v>
      </c>
      <c r="H53" s="160">
        <v>2014000</v>
      </c>
      <c r="I53" s="161">
        <f t="shared" ref="I53:I62" si="6">H53*F$114</f>
        <v>1375562</v>
      </c>
      <c r="J53" s="160"/>
      <c r="K53" s="162">
        <f t="shared" ref="K53:K62" si="7">(H53+I53)-J53</f>
        <v>3389562</v>
      </c>
    </row>
    <row r="54" spans="1:11" ht="18" customHeight="1" x14ac:dyDescent="0.35">
      <c r="A54" s="329" t="s">
        <v>93</v>
      </c>
      <c r="B54" s="861" t="s">
        <v>726</v>
      </c>
      <c r="C54" s="862"/>
      <c r="D54" s="863"/>
      <c r="E54" s="327"/>
      <c r="F54" s="159">
        <v>7371</v>
      </c>
      <c r="G54" s="159"/>
      <c r="H54" s="160">
        <v>1962910</v>
      </c>
      <c r="I54" s="161">
        <f t="shared" si="6"/>
        <v>1340667.53</v>
      </c>
      <c r="J54" s="160"/>
      <c r="K54" s="162">
        <f t="shared" si="7"/>
        <v>3303577.5300000003</v>
      </c>
    </row>
    <row r="55" spans="1:11" ht="18" customHeight="1" x14ac:dyDescent="0.35">
      <c r="A55" s="329" t="s">
        <v>94</v>
      </c>
      <c r="B55" s="1395" t="s">
        <v>400</v>
      </c>
      <c r="C55" s="1396"/>
      <c r="D55" s="1397"/>
      <c r="E55" s="327"/>
      <c r="F55" s="159"/>
      <c r="G55" s="159"/>
      <c r="H55" s="160">
        <v>770807</v>
      </c>
      <c r="I55" s="161">
        <f t="shared" si="6"/>
        <v>526461.18099999998</v>
      </c>
      <c r="J55" s="160"/>
      <c r="K55" s="162">
        <f t="shared" si="7"/>
        <v>1297268.1809999999</v>
      </c>
    </row>
    <row r="56" spans="1:11" ht="18" customHeight="1" x14ac:dyDescent="0.35">
      <c r="A56" s="329" t="s">
        <v>95</v>
      </c>
      <c r="B56" s="1395" t="s">
        <v>601</v>
      </c>
      <c r="C56" s="1396"/>
      <c r="D56" s="1397"/>
      <c r="E56" s="327"/>
      <c r="F56" s="159">
        <v>8056</v>
      </c>
      <c r="G56" s="159"/>
      <c r="H56" s="160">
        <v>886118</v>
      </c>
      <c r="I56" s="161">
        <f t="shared" si="6"/>
        <v>605218.59400000004</v>
      </c>
      <c r="J56" s="160"/>
      <c r="K56" s="162">
        <f t="shared" si="7"/>
        <v>1491336.594</v>
      </c>
    </row>
    <row r="57" spans="1:11" ht="18" customHeight="1" x14ac:dyDescent="0.35">
      <c r="A57" s="329" t="s">
        <v>96</v>
      </c>
      <c r="B57" s="1395" t="s">
        <v>401</v>
      </c>
      <c r="C57" s="1396"/>
      <c r="D57" s="1397"/>
      <c r="E57" s="327"/>
      <c r="F57" s="159">
        <v>12783</v>
      </c>
      <c r="G57" s="159">
        <v>1765</v>
      </c>
      <c r="H57" s="160">
        <v>881905</v>
      </c>
      <c r="I57" s="161">
        <f t="shared" si="6"/>
        <v>602341.11499999999</v>
      </c>
      <c r="J57" s="160">
        <v>693714</v>
      </c>
      <c r="K57" s="162">
        <f t="shared" si="7"/>
        <v>790532.11499999999</v>
      </c>
    </row>
    <row r="58" spans="1:11" ht="18" customHeight="1" x14ac:dyDescent="0.35">
      <c r="A58" s="329" t="s">
        <v>97</v>
      </c>
      <c r="B58" s="861" t="s">
        <v>727</v>
      </c>
      <c r="C58" s="862"/>
      <c r="D58" s="863"/>
      <c r="E58" s="327"/>
      <c r="F58" s="159">
        <v>5487</v>
      </c>
      <c r="G58" s="159">
        <v>471</v>
      </c>
      <c r="H58" s="160">
        <v>426346</v>
      </c>
      <c r="I58" s="161">
        <f t="shared" si="6"/>
        <v>291194.31800000003</v>
      </c>
      <c r="J58" s="160">
        <v>313037</v>
      </c>
      <c r="K58" s="162">
        <f t="shared" si="7"/>
        <v>404503.31799999997</v>
      </c>
    </row>
    <row r="59" spans="1:11" ht="18" customHeight="1" x14ac:dyDescent="0.35">
      <c r="A59" s="329" t="s">
        <v>98</v>
      </c>
      <c r="B59" s="1395" t="s">
        <v>602</v>
      </c>
      <c r="C59" s="1396"/>
      <c r="D59" s="1397"/>
      <c r="E59" s="327"/>
      <c r="F59" s="159">
        <v>520</v>
      </c>
      <c r="G59" s="159">
        <v>5503</v>
      </c>
      <c r="H59" s="160">
        <v>72821</v>
      </c>
      <c r="I59" s="161">
        <f t="shared" si="6"/>
        <v>49736.743000000002</v>
      </c>
      <c r="J59" s="160"/>
      <c r="K59" s="162">
        <f t="shared" si="7"/>
        <v>122557.743</v>
      </c>
    </row>
    <row r="60" spans="1:11" ht="18" customHeight="1" x14ac:dyDescent="0.35">
      <c r="A60" s="329" t="s">
        <v>99</v>
      </c>
      <c r="B60" s="861" t="s">
        <v>728</v>
      </c>
      <c r="C60" s="862"/>
      <c r="D60" s="863"/>
      <c r="E60" s="327"/>
      <c r="F60" s="159">
        <v>25372</v>
      </c>
      <c r="G60" s="159">
        <v>1042</v>
      </c>
      <c r="H60" s="160">
        <v>328058</v>
      </c>
      <c r="I60" s="161">
        <f t="shared" si="6"/>
        <v>224063.61400000003</v>
      </c>
      <c r="J60" s="160"/>
      <c r="K60" s="162">
        <f t="shared" si="7"/>
        <v>552121.61400000006</v>
      </c>
    </row>
    <row r="61" spans="1:11" ht="18" customHeight="1" x14ac:dyDescent="0.35">
      <c r="A61" s="329" t="s">
        <v>100</v>
      </c>
      <c r="B61" s="861" t="s">
        <v>603</v>
      </c>
      <c r="C61" s="862"/>
      <c r="D61" s="863"/>
      <c r="E61" s="327"/>
      <c r="F61" s="159">
        <v>1888</v>
      </c>
      <c r="G61" s="159">
        <v>239</v>
      </c>
      <c r="H61" s="160">
        <v>180391</v>
      </c>
      <c r="I61" s="161">
        <f t="shared" si="6"/>
        <v>123207.05300000001</v>
      </c>
      <c r="J61" s="160"/>
      <c r="K61" s="162">
        <f t="shared" si="7"/>
        <v>303598.05300000001</v>
      </c>
    </row>
    <row r="62" spans="1:11" ht="18" customHeight="1" x14ac:dyDescent="0.35">
      <c r="A62" s="329" t="s">
        <v>101</v>
      </c>
      <c r="B62" s="1395" t="s">
        <v>604</v>
      </c>
      <c r="C62" s="1396"/>
      <c r="D62" s="1397"/>
      <c r="E62" s="327"/>
      <c r="F62" s="159">
        <v>2562</v>
      </c>
      <c r="G62" s="159">
        <v>8</v>
      </c>
      <c r="H62" s="160">
        <v>127971</v>
      </c>
      <c r="I62" s="161">
        <f t="shared" si="6"/>
        <v>87404.193000000014</v>
      </c>
      <c r="J62" s="160">
        <v>99306</v>
      </c>
      <c r="K62" s="162">
        <f t="shared" si="7"/>
        <v>116069.19300000003</v>
      </c>
    </row>
    <row r="63" spans="1:11" ht="18" customHeight="1" x14ac:dyDescent="0.35">
      <c r="A63" s="329"/>
      <c r="B63" s="327"/>
      <c r="C63" s="327"/>
      <c r="D63" s="327"/>
      <c r="E63" s="327"/>
      <c r="F63" s="327"/>
      <c r="G63" s="327"/>
      <c r="H63" s="327"/>
      <c r="I63" s="173"/>
      <c r="J63" s="327"/>
      <c r="K63" s="327"/>
    </row>
    <row r="64" spans="1:11" ht="18" customHeight="1" x14ac:dyDescent="0.35">
      <c r="A64" s="329" t="s">
        <v>144</v>
      </c>
      <c r="B64" s="328" t="s">
        <v>145</v>
      </c>
      <c r="C64" s="327"/>
      <c r="D64" s="327"/>
      <c r="E64" s="328" t="s">
        <v>7</v>
      </c>
      <c r="F64" s="165">
        <f t="shared" ref="F64:K64" si="8">SUM(F53:F62)</f>
        <v>64039</v>
      </c>
      <c r="G64" s="165">
        <f t="shared" si="8"/>
        <v>49308</v>
      </c>
      <c r="H64" s="162">
        <f t="shared" si="8"/>
        <v>7651327</v>
      </c>
      <c r="I64" s="162">
        <f t="shared" si="8"/>
        <v>5225856.341</v>
      </c>
      <c r="J64" s="162">
        <f t="shared" si="8"/>
        <v>1106057</v>
      </c>
      <c r="K64" s="162">
        <f t="shared" si="8"/>
        <v>11771126.341</v>
      </c>
    </row>
    <row r="65" spans="1:11" ht="18" customHeight="1" x14ac:dyDescent="0.35">
      <c r="A65" s="327"/>
      <c r="B65" s="327"/>
      <c r="C65" s="327"/>
      <c r="D65" s="327"/>
      <c r="E65" s="327"/>
      <c r="F65" s="174"/>
      <c r="G65" s="174"/>
      <c r="H65" s="174"/>
      <c r="I65" s="174"/>
      <c r="J65" s="174"/>
      <c r="K65" s="174"/>
    </row>
    <row r="66" spans="1:11" ht="42.75" customHeight="1" x14ac:dyDescent="0.35">
      <c r="A66" s="327"/>
      <c r="B66" s="327"/>
      <c r="C66" s="327"/>
      <c r="D66" s="327"/>
      <c r="E66" s="327"/>
      <c r="F66" s="351" t="s">
        <v>9</v>
      </c>
      <c r="G66" s="351" t="s">
        <v>37</v>
      </c>
      <c r="H66" s="351" t="s">
        <v>29</v>
      </c>
      <c r="I66" s="351" t="s">
        <v>30</v>
      </c>
      <c r="J66" s="351" t="s">
        <v>33</v>
      </c>
      <c r="K66" s="351" t="s">
        <v>34</v>
      </c>
    </row>
    <row r="67" spans="1:11" ht="18" customHeight="1" x14ac:dyDescent="0.35">
      <c r="A67" s="332" t="s">
        <v>102</v>
      </c>
      <c r="B67" s="328" t="s">
        <v>12</v>
      </c>
      <c r="C67" s="327"/>
      <c r="D67" s="327"/>
      <c r="E67" s="327"/>
      <c r="F67" s="352"/>
      <c r="G67" s="352"/>
      <c r="H67" s="352"/>
      <c r="I67" s="353"/>
      <c r="J67" s="352"/>
      <c r="K67" s="354"/>
    </row>
    <row r="68" spans="1:11" ht="18" customHeight="1" x14ac:dyDescent="0.35">
      <c r="A68" s="329" t="s">
        <v>103</v>
      </c>
      <c r="B68" s="327" t="s">
        <v>52</v>
      </c>
      <c r="C68" s="327"/>
      <c r="D68" s="327"/>
      <c r="E68" s="327"/>
      <c r="F68" s="175"/>
      <c r="G68" s="175"/>
      <c r="H68" s="175"/>
      <c r="I68" s="161">
        <v>0</v>
      </c>
      <c r="J68" s="175"/>
      <c r="K68" s="162">
        <f>(H68+I68)-J68</f>
        <v>0</v>
      </c>
    </row>
    <row r="69" spans="1:11" ht="18" customHeight="1" x14ac:dyDescent="0.35">
      <c r="A69" s="329" t="s">
        <v>104</v>
      </c>
      <c r="B69" s="333" t="s">
        <v>53</v>
      </c>
      <c r="C69" s="327"/>
      <c r="D69" s="327"/>
      <c r="E69" s="327"/>
      <c r="F69" s="175">
        <v>11073</v>
      </c>
      <c r="G69" s="175">
        <v>1668</v>
      </c>
      <c r="H69" s="175">
        <v>526909</v>
      </c>
      <c r="I69" s="161">
        <f t="shared" ref="I69" si="9">H69*F$114</f>
        <v>359878.84700000001</v>
      </c>
      <c r="J69" s="175"/>
      <c r="K69" s="162">
        <f>(H69+I69)-J69</f>
        <v>886787.84700000007</v>
      </c>
    </row>
    <row r="70" spans="1:11" ht="18" customHeight="1" x14ac:dyDescent="0.35">
      <c r="A70" s="329" t="s">
        <v>178</v>
      </c>
      <c r="B70" s="861"/>
      <c r="C70" s="862"/>
      <c r="D70" s="863"/>
      <c r="E70" s="328"/>
      <c r="F70" s="176"/>
      <c r="G70" s="176"/>
      <c r="H70" s="177"/>
      <c r="I70" s="161">
        <v>0</v>
      </c>
      <c r="J70" s="177"/>
      <c r="K70" s="162">
        <f>(H70+I70)-J70</f>
        <v>0</v>
      </c>
    </row>
    <row r="71" spans="1:11" ht="18" customHeight="1" x14ac:dyDescent="0.35">
      <c r="A71" s="329" t="s">
        <v>179</v>
      </c>
      <c r="B71" s="861"/>
      <c r="C71" s="862"/>
      <c r="D71" s="863"/>
      <c r="E71" s="328"/>
      <c r="F71" s="176"/>
      <c r="G71" s="176"/>
      <c r="H71" s="177"/>
      <c r="I71" s="161">
        <v>0</v>
      </c>
      <c r="J71" s="177"/>
      <c r="K71" s="162">
        <f>(H71+I71)-J71</f>
        <v>0</v>
      </c>
    </row>
    <row r="72" spans="1:11" ht="18" customHeight="1" x14ac:dyDescent="0.35">
      <c r="A72" s="329" t="s">
        <v>180</v>
      </c>
      <c r="B72" s="867"/>
      <c r="C72" s="868"/>
      <c r="D72" s="178"/>
      <c r="E72" s="328"/>
      <c r="F72" s="159"/>
      <c r="G72" s="159"/>
      <c r="H72" s="160"/>
      <c r="I72" s="161">
        <v>0</v>
      </c>
      <c r="J72" s="160"/>
      <c r="K72" s="162">
        <f>(H72+I72)-J72</f>
        <v>0</v>
      </c>
    </row>
    <row r="73" spans="1:11" ht="18" customHeight="1" x14ac:dyDescent="0.35">
      <c r="A73" s="329"/>
      <c r="B73" s="333"/>
      <c r="C73" s="327"/>
      <c r="D73" s="327"/>
      <c r="E73" s="328"/>
      <c r="F73" s="361"/>
      <c r="G73" s="361"/>
      <c r="H73" s="362"/>
      <c r="I73" s="353"/>
      <c r="J73" s="362"/>
      <c r="K73" s="354"/>
    </row>
    <row r="74" spans="1:11" ht="18" customHeight="1" x14ac:dyDescent="0.35">
      <c r="A74" s="332" t="s">
        <v>146</v>
      </c>
      <c r="B74" s="328" t="s">
        <v>147</v>
      </c>
      <c r="C74" s="327"/>
      <c r="D74" s="327"/>
      <c r="E74" s="328" t="s">
        <v>7</v>
      </c>
      <c r="F74" s="179">
        <f t="shared" ref="F74:K74" si="10">SUM(F68:F72)</f>
        <v>11073</v>
      </c>
      <c r="G74" s="179">
        <f t="shared" si="10"/>
        <v>1668</v>
      </c>
      <c r="H74" s="179">
        <f t="shared" si="10"/>
        <v>526909</v>
      </c>
      <c r="I74" s="180">
        <f t="shared" si="10"/>
        <v>359878.84700000001</v>
      </c>
      <c r="J74" s="179">
        <f t="shared" si="10"/>
        <v>0</v>
      </c>
      <c r="K74" s="181">
        <f t="shared" si="10"/>
        <v>886787.84700000007</v>
      </c>
    </row>
    <row r="75" spans="1:11" ht="42.75" customHeight="1" x14ac:dyDescent="0.35">
      <c r="A75" s="327"/>
      <c r="B75" s="327"/>
      <c r="C75" s="327"/>
      <c r="D75" s="327"/>
      <c r="E75" s="327"/>
      <c r="F75" s="331" t="s">
        <v>9</v>
      </c>
      <c r="G75" s="331" t="s">
        <v>37</v>
      </c>
      <c r="H75" s="331" t="s">
        <v>29</v>
      </c>
      <c r="I75" s="331" t="s">
        <v>30</v>
      </c>
      <c r="J75" s="331" t="s">
        <v>33</v>
      </c>
      <c r="K75" s="331" t="s">
        <v>34</v>
      </c>
    </row>
    <row r="76" spans="1:11" ht="18" customHeight="1" x14ac:dyDescent="0.35">
      <c r="A76" s="332" t="s">
        <v>105</v>
      </c>
      <c r="B76" s="328" t="s">
        <v>106</v>
      </c>
      <c r="C76" s="327"/>
      <c r="D76" s="327"/>
      <c r="E76" s="327"/>
      <c r="F76" s="327"/>
      <c r="G76" s="327"/>
      <c r="H76" s="327"/>
      <c r="I76" s="327"/>
      <c r="J76" s="327"/>
      <c r="K76" s="327"/>
    </row>
    <row r="77" spans="1:11" ht="18" customHeight="1" x14ac:dyDescent="0.35">
      <c r="A77" s="329" t="s">
        <v>107</v>
      </c>
      <c r="B77" s="333" t="s">
        <v>54</v>
      </c>
      <c r="C77" s="327"/>
      <c r="D77" s="327"/>
      <c r="E77" s="327"/>
      <c r="F77" s="159"/>
      <c r="G77" s="159"/>
      <c r="H77" s="160">
        <v>2334304</v>
      </c>
      <c r="I77" s="161">
        <f>H77*0.01</f>
        <v>23343.040000000001</v>
      </c>
      <c r="J77" s="160"/>
      <c r="K77" s="162">
        <f>(H77+I77)-J77</f>
        <v>2357647.04</v>
      </c>
    </row>
    <row r="78" spans="1:11" ht="18" customHeight="1" x14ac:dyDescent="0.35">
      <c r="A78" s="329" t="s">
        <v>108</v>
      </c>
      <c r="B78" s="333" t="s">
        <v>55</v>
      </c>
      <c r="C78" s="327"/>
      <c r="D78" s="327"/>
      <c r="E78" s="327"/>
      <c r="F78" s="159"/>
      <c r="G78" s="159"/>
      <c r="H78" s="160"/>
      <c r="I78" s="161">
        <v>0</v>
      </c>
      <c r="J78" s="160"/>
      <c r="K78" s="162">
        <f>(H78+I78)-J78</f>
        <v>0</v>
      </c>
    </row>
    <row r="79" spans="1:11" ht="18" customHeight="1" x14ac:dyDescent="0.35">
      <c r="A79" s="329" t="s">
        <v>109</v>
      </c>
      <c r="B79" s="333" t="s">
        <v>13</v>
      </c>
      <c r="C79" s="327"/>
      <c r="D79" s="327"/>
      <c r="E79" s="327"/>
      <c r="F79" s="159">
        <v>3732</v>
      </c>
      <c r="G79" s="159">
        <v>680</v>
      </c>
      <c r="H79" s="160">
        <v>102809</v>
      </c>
      <c r="I79" s="161">
        <f t="shared" ref="I79" si="11">H79*F$114</f>
        <v>70218.547000000006</v>
      </c>
      <c r="J79" s="160"/>
      <c r="K79" s="162">
        <f>(H79+I79)-J79</f>
        <v>173027.54700000002</v>
      </c>
    </row>
    <row r="80" spans="1:11" ht="18" customHeight="1" x14ac:dyDescent="0.35">
      <c r="A80" s="329" t="s">
        <v>110</v>
      </c>
      <c r="B80" s="333" t="s">
        <v>56</v>
      </c>
      <c r="C80" s="327"/>
      <c r="D80" s="327"/>
      <c r="E80" s="327"/>
      <c r="F80" s="159"/>
      <c r="G80" s="159"/>
      <c r="H80" s="160"/>
      <c r="I80" s="161">
        <v>0</v>
      </c>
      <c r="J80" s="160"/>
      <c r="K80" s="162">
        <f>(H80+I80)-J80</f>
        <v>0</v>
      </c>
    </row>
    <row r="81" spans="1:11" ht="18" customHeight="1" x14ac:dyDescent="0.35">
      <c r="A81" s="329"/>
      <c r="B81" s="327"/>
      <c r="C81" s="327"/>
      <c r="D81" s="327"/>
      <c r="E81" s="327"/>
      <c r="F81" s="327"/>
      <c r="G81" s="327"/>
      <c r="H81" s="327"/>
      <c r="I81" s="327"/>
      <c r="J81" s="327"/>
      <c r="K81" s="182"/>
    </row>
    <row r="82" spans="1:11" ht="18" customHeight="1" x14ac:dyDescent="0.35">
      <c r="A82" s="329" t="s">
        <v>148</v>
      </c>
      <c r="B82" s="328" t="s">
        <v>149</v>
      </c>
      <c r="C82" s="327"/>
      <c r="D82" s="327"/>
      <c r="E82" s="328" t="s">
        <v>7</v>
      </c>
      <c r="F82" s="179">
        <f t="shared" ref="F82:K82" si="12">SUM(F77:F80)</f>
        <v>3732</v>
      </c>
      <c r="G82" s="179">
        <f t="shared" si="12"/>
        <v>680</v>
      </c>
      <c r="H82" s="181">
        <f t="shared" si="12"/>
        <v>2437113</v>
      </c>
      <c r="I82" s="181">
        <f t="shared" si="12"/>
        <v>93561.587</v>
      </c>
      <c r="J82" s="181">
        <f t="shared" si="12"/>
        <v>0</v>
      </c>
      <c r="K82" s="181">
        <f t="shared" si="12"/>
        <v>2530674.5870000003</v>
      </c>
    </row>
    <row r="83" spans="1:11" ht="18" customHeight="1" thickBot="1" x14ac:dyDescent="0.4">
      <c r="A83" s="329"/>
      <c r="B83" s="327"/>
      <c r="C83" s="327"/>
      <c r="D83" s="327"/>
      <c r="E83" s="327"/>
      <c r="F83" s="172"/>
      <c r="G83" s="172"/>
      <c r="H83" s="172"/>
      <c r="I83" s="172"/>
      <c r="J83" s="172"/>
      <c r="K83" s="172"/>
    </row>
    <row r="84" spans="1:11" ht="42.75" customHeight="1" x14ac:dyDescent="0.35">
      <c r="A84" s="327"/>
      <c r="B84" s="327"/>
      <c r="C84" s="327"/>
      <c r="D84" s="327"/>
      <c r="E84" s="327"/>
      <c r="F84" s="331" t="s">
        <v>9</v>
      </c>
      <c r="G84" s="331" t="s">
        <v>37</v>
      </c>
      <c r="H84" s="331" t="s">
        <v>29</v>
      </c>
      <c r="I84" s="331" t="s">
        <v>30</v>
      </c>
      <c r="J84" s="331" t="s">
        <v>33</v>
      </c>
      <c r="K84" s="331" t="s">
        <v>34</v>
      </c>
    </row>
    <row r="85" spans="1:11" ht="18" customHeight="1" x14ac:dyDescent="0.35">
      <c r="A85" s="332" t="s">
        <v>111</v>
      </c>
      <c r="B85" s="328" t="s">
        <v>57</v>
      </c>
      <c r="C85" s="327"/>
      <c r="D85" s="327"/>
      <c r="E85" s="327"/>
      <c r="F85" s="327"/>
      <c r="G85" s="327"/>
      <c r="H85" s="327"/>
      <c r="I85" s="327"/>
      <c r="J85" s="327"/>
      <c r="K85" s="327"/>
    </row>
    <row r="86" spans="1:11" ht="18" customHeight="1" x14ac:dyDescent="0.35">
      <c r="A86" s="329" t="s">
        <v>112</v>
      </c>
      <c r="B86" s="333" t="s">
        <v>113</v>
      </c>
      <c r="C86" s="327"/>
      <c r="D86" s="327"/>
      <c r="E86" s="327"/>
      <c r="F86" s="159"/>
      <c r="G86" s="159"/>
      <c r="H86" s="160">
        <v>8000</v>
      </c>
      <c r="I86" s="161">
        <f t="shared" ref="I86:I96" si="13">H86*F$114</f>
        <v>5464</v>
      </c>
      <c r="J86" s="160"/>
      <c r="K86" s="162">
        <f t="shared" ref="K86:K96" si="14">(H86+I86)-J86</f>
        <v>13464</v>
      </c>
    </row>
    <row r="87" spans="1:11" ht="18" customHeight="1" x14ac:dyDescent="0.35">
      <c r="A87" s="329" t="s">
        <v>114</v>
      </c>
      <c r="B87" s="333" t="s">
        <v>14</v>
      </c>
      <c r="C87" s="327"/>
      <c r="D87" s="327"/>
      <c r="E87" s="327"/>
      <c r="F87" s="159">
        <v>10252</v>
      </c>
      <c r="G87" s="159">
        <v>629</v>
      </c>
      <c r="H87" s="160">
        <v>392084</v>
      </c>
      <c r="I87" s="161">
        <f t="shared" si="13"/>
        <v>267793.37200000003</v>
      </c>
      <c r="J87" s="160">
        <v>377657</v>
      </c>
      <c r="K87" s="162">
        <f t="shared" si="14"/>
        <v>282220.37199999997</v>
      </c>
    </row>
    <row r="88" spans="1:11" ht="18" customHeight="1" x14ac:dyDescent="0.35">
      <c r="A88" s="329" t="s">
        <v>115</v>
      </c>
      <c r="B88" s="333" t="s">
        <v>116</v>
      </c>
      <c r="C88" s="327"/>
      <c r="D88" s="327"/>
      <c r="E88" s="327"/>
      <c r="F88" s="159">
        <v>1540</v>
      </c>
      <c r="G88" s="159">
        <v>3</v>
      </c>
      <c r="H88" s="160">
        <v>78682</v>
      </c>
      <c r="I88" s="161">
        <f t="shared" si="13"/>
        <v>53739.806000000004</v>
      </c>
      <c r="J88" s="160"/>
      <c r="K88" s="162">
        <f t="shared" si="14"/>
        <v>132421.80600000001</v>
      </c>
    </row>
    <row r="89" spans="1:11" ht="18" customHeight="1" x14ac:dyDescent="0.35">
      <c r="A89" s="329" t="s">
        <v>117</v>
      </c>
      <c r="B89" s="333" t="s">
        <v>58</v>
      </c>
      <c r="C89" s="327"/>
      <c r="D89" s="327"/>
      <c r="E89" s="327"/>
      <c r="F89" s="159"/>
      <c r="G89" s="159"/>
      <c r="H89" s="160"/>
      <c r="I89" s="161">
        <f t="shared" si="13"/>
        <v>0</v>
      </c>
      <c r="J89" s="160"/>
      <c r="K89" s="162">
        <f t="shared" si="14"/>
        <v>0</v>
      </c>
    </row>
    <row r="90" spans="1:11" ht="18" customHeight="1" x14ac:dyDescent="0.35">
      <c r="A90" s="329" t="s">
        <v>118</v>
      </c>
      <c r="B90" s="1412" t="s">
        <v>59</v>
      </c>
      <c r="C90" s="1412"/>
      <c r="D90" s="327"/>
      <c r="E90" s="327"/>
      <c r="F90" s="159">
        <v>4370</v>
      </c>
      <c r="G90" s="159">
        <v>82</v>
      </c>
      <c r="H90" s="160">
        <v>149825</v>
      </c>
      <c r="I90" s="161">
        <f t="shared" si="13"/>
        <v>102330.47500000001</v>
      </c>
      <c r="J90" s="160"/>
      <c r="K90" s="162">
        <f t="shared" si="14"/>
        <v>252155.47500000001</v>
      </c>
    </row>
    <row r="91" spans="1:11" ht="18" customHeight="1" x14ac:dyDescent="0.35">
      <c r="A91" s="329" t="s">
        <v>119</v>
      </c>
      <c r="B91" s="333" t="s">
        <v>60</v>
      </c>
      <c r="C91" s="327"/>
      <c r="D91" s="327"/>
      <c r="E91" s="327"/>
      <c r="F91" s="159"/>
      <c r="G91" s="159"/>
      <c r="H91" s="160"/>
      <c r="I91" s="161">
        <f t="shared" si="13"/>
        <v>0</v>
      </c>
      <c r="J91" s="160"/>
      <c r="K91" s="162">
        <f t="shared" si="14"/>
        <v>0</v>
      </c>
    </row>
    <row r="92" spans="1:11" ht="18" customHeight="1" x14ac:dyDescent="0.35">
      <c r="A92" s="329" t="s">
        <v>120</v>
      </c>
      <c r="B92" s="333" t="s">
        <v>121</v>
      </c>
      <c r="C92" s="327"/>
      <c r="D92" s="327"/>
      <c r="E92" s="327"/>
      <c r="F92" s="183"/>
      <c r="G92" s="183"/>
      <c r="H92" s="184"/>
      <c r="I92" s="161">
        <f t="shared" si="13"/>
        <v>0</v>
      </c>
      <c r="J92" s="184"/>
      <c r="K92" s="162">
        <f t="shared" si="14"/>
        <v>0</v>
      </c>
    </row>
    <row r="93" spans="1:11" ht="18" customHeight="1" x14ac:dyDescent="0.35">
      <c r="A93" s="329" t="s">
        <v>122</v>
      </c>
      <c r="B93" s="333" t="s">
        <v>123</v>
      </c>
      <c r="C93" s="327"/>
      <c r="D93" s="327"/>
      <c r="E93" s="327"/>
      <c r="F93" s="159"/>
      <c r="G93" s="159"/>
      <c r="H93" s="160"/>
      <c r="I93" s="161">
        <f t="shared" si="13"/>
        <v>0</v>
      </c>
      <c r="J93" s="160"/>
      <c r="K93" s="162">
        <f t="shared" si="14"/>
        <v>0</v>
      </c>
    </row>
    <row r="94" spans="1:11" ht="18" customHeight="1" x14ac:dyDescent="0.35">
      <c r="A94" s="329" t="s">
        <v>124</v>
      </c>
      <c r="B94" s="1395" t="s">
        <v>729</v>
      </c>
      <c r="C94" s="1396"/>
      <c r="D94" s="1397"/>
      <c r="E94" s="327"/>
      <c r="F94" s="159">
        <v>665</v>
      </c>
      <c r="G94" s="159"/>
      <c r="H94" s="160">
        <v>111163</v>
      </c>
      <c r="I94" s="161">
        <f t="shared" si="13"/>
        <v>75924.329000000012</v>
      </c>
      <c r="J94" s="160"/>
      <c r="K94" s="162">
        <f t="shared" si="14"/>
        <v>187087.32900000003</v>
      </c>
    </row>
    <row r="95" spans="1:11" ht="18" customHeight="1" x14ac:dyDescent="0.35">
      <c r="A95" s="329" t="s">
        <v>125</v>
      </c>
      <c r="B95" s="1395"/>
      <c r="C95" s="1396"/>
      <c r="D95" s="1397"/>
      <c r="E95" s="327"/>
      <c r="F95" s="159"/>
      <c r="G95" s="159"/>
      <c r="H95" s="160"/>
      <c r="I95" s="161">
        <f t="shared" si="13"/>
        <v>0</v>
      </c>
      <c r="J95" s="160"/>
      <c r="K95" s="162">
        <f t="shared" si="14"/>
        <v>0</v>
      </c>
    </row>
    <row r="96" spans="1:11" ht="18" customHeight="1" x14ac:dyDescent="0.35">
      <c r="A96" s="329" t="s">
        <v>126</v>
      </c>
      <c r="B96" s="1395"/>
      <c r="C96" s="1396"/>
      <c r="D96" s="1397"/>
      <c r="E96" s="327"/>
      <c r="F96" s="159"/>
      <c r="G96" s="159"/>
      <c r="H96" s="160"/>
      <c r="I96" s="161">
        <f t="shared" si="13"/>
        <v>0</v>
      </c>
      <c r="J96" s="160"/>
      <c r="K96" s="162">
        <f t="shared" si="14"/>
        <v>0</v>
      </c>
    </row>
    <row r="97" spans="1:11" ht="18" customHeight="1" x14ac:dyDescent="0.35">
      <c r="A97" s="329"/>
      <c r="B97" s="333"/>
      <c r="C97" s="327"/>
      <c r="D97" s="327"/>
      <c r="E97" s="327"/>
      <c r="F97" s="327"/>
      <c r="G97" s="327"/>
      <c r="H97" s="327"/>
      <c r="I97" s="327"/>
      <c r="J97" s="327"/>
      <c r="K97" s="327"/>
    </row>
    <row r="98" spans="1:11" ht="18" customHeight="1" x14ac:dyDescent="0.35">
      <c r="A98" s="332" t="s">
        <v>150</v>
      </c>
      <c r="B98" s="328" t="s">
        <v>151</v>
      </c>
      <c r="C98" s="327"/>
      <c r="D98" s="327"/>
      <c r="E98" s="328" t="s">
        <v>7</v>
      </c>
      <c r="F98" s="165">
        <f t="shared" ref="F98:K98" si="15">SUM(F86:F96)</f>
        <v>16827</v>
      </c>
      <c r="G98" s="165">
        <f t="shared" si="15"/>
        <v>714</v>
      </c>
      <c r="H98" s="165">
        <f t="shared" si="15"/>
        <v>739754</v>
      </c>
      <c r="I98" s="165">
        <f t="shared" si="15"/>
        <v>505251.98200000008</v>
      </c>
      <c r="J98" s="165">
        <f t="shared" si="15"/>
        <v>377657</v>
      </c>
      <c r="K98" s="165">
        <f t="shared" si="15"/>
        <v>867348.98199999996</v>
      </c>
    </row>
    <row r="99" spans="1:11" ht="18" customHeight="1" thickBot="1" x14ac:dyDescent="0.4">
      <c r="A99" s="327"/>
      <c r="B99" s="328"/>
      <c r="C99" s="327"/>
      <c r="D99" s="327"/>
      <c r="E99" s="327"/>
      <c r="F99" s="172"/>
      <c r="G99" s="172"/>
      <c r="H99" s="172"/>
      <c r="I99" s="172"/>
      <c r="J99" s="172"/>
      <c r="K99" s="172"/>
    </row>
    <row r="100" spans="1:11" ht="42.75" customHeight="1" x14ac:dyDescent="0.35">
      <c r="A100" s="327"/>
      <c r="B100" s="327"/>
      <c r="C100" s="327"/>
      <c r="D100" s="327"/>
      <c r="E100" s="327"/>
      <c r="F100" s="331" t="s">
        <v>9</v>
      </c>
      <c r="G100" s="331" t="s">
        <v>37</v>
      </c>
      <c r="H100" s="331" t="s">
        <v>29</v>
      </c>
      <c r="I100" s="331" t="s">
        <v>30</v>
      </c>
      <c r="J100" s="331" t="s">
        <v>33</v>
      </c>
      <c r="K100" s="331" t="s">
        <v>34</v>
      </c>
    </row>
    <row r="101" spans="1:11" ht="18" customHeight="1" x14ac:dyDescent="0.35">
      <c r="A101" s="332" t="s">
        <v>130</v>
      </c>
      <c r="B101" s="328" t="s">
        <v>63</v>
      </c>
      <c r="C101" s="327"/>
      <c r="D101" s="327"/>
      <c r="E101" s="327"/>
      <c r="F101" s="327"/>
      <c r="G101" s="327"/>
      <c r="H101" s="327"/>
      <c r="I101" s="327"/>
      <c r="J101" s="327"/>
      <c r="K101" s="327"/>
    </row>
    <row r="102" spans="1:11" ht="18" customHeight="1" x14ac:dyDescent="0.35">
      <c r="A102" s="329" t="s">
        <v>131</v>
      </c>
      <c r="B102" s="333" t="s">
        <v>152</v>
      </c>
      <c r="C102" s="327"/>
      <c r="D102" s="327"/>
      <c r="E102" s="327"/>
      <c r="F102" s="159">
        <v>2513</v>
      </c>
      <c r="G102" s="159"/>
      <c r="H102" s="160">
        <v>128035</v>
      </c>
      <c r="I102" s="161">
        <f>H102*F$114</f>
        <v>87447.905000000013</v>
      </c>
      <c r="J102" s="160"/>
      <c r="K102" s="162">
        <f>(H102+I102)-J102</f>
        <v>215482.90500000003</v>
      </c>
    </row>
    <row r="103" spans="1:11" ht="18" customHeight="1" x14ac:dyDescent="0.35">
      <c r="A103" s="329" t="s">
        <v>132</v>
      </c>
      <c r="B103" s="1413" t="s">
        <v>62</v>
      </c>
      <c r="C103" s="1413"/>
      <c r="D103" s="327"/>
      <c r="E103" s="327"/>
      <c r="F103" s="159"/>
      <c r="G103" s="159"/>
      <c r="H103" s="160"/>
      <c r="I103" s="161">
        <f>H103*F$114</f>
        <v>0</v>
      </c>
      <c r="J103" s="160"/>
      <c r="K103" s="162">
        <f>(H103+I103)-J103</f>
        <v>0</v>
      </c>
    </row>
    <row r="104" spans="1:11" ht="18" customHeight="1" x14ac:dyDescent="0.35">
      <c r="A104" s="329" t="s">
        <v>128</v>
      </c>
      <c r="B104" s="1395"/>
      <c r="C104" s="1396"/>
      <c r="D104" s="1397"/>
      <c r="E104" s="327"/>
      <c r="F104" s="159"/>
      <c r="G104" s="159"/>
      <c r="H104" s="160"/>
      <c r="I104" s="161">
        <f>H104*F$114</f>
        <v>0</v>
      </c>
      <c r="J104" s="160"/>
      <c r="K104" s="162">
        <f>(H104+I104)-J104</f>
        <v>0</v>
      </c>
    </row>
    <row r="105" spans="1:11" ht="18" customHeight="1" x14ac:dyDescent="0.35">
      <c r="A105" s="329" t="s">
        <v>127</v>
      </c>
      <c r="B105" s="1395"/>
      <c r="C105" s="1396"/>
      <c r="D105" s="1397"/>
      <c r="E105" s="327"/>
      <c r="F105" s="159"/>
      <c r="G105" s="159"/>
      <c r="H105" s="160"/>
      <c r="I105" s="161">
        <f>H105*F$114</f>
        <v>0</v>
      </c>
      <c r="J105" s="160"/>
      <c r="K105" s="162">
        <f>(H105+I105)-J105</f>
        <v>0</v>
      </c>
    </row>
    <row r="106" spans="1:11" ht="18" customHeight="1" x14ac:dyDescent="0.35">
      <c r="A106" s="329" t="s">
        <v>129</v>
      </c>
      <c r="B106" s="1395"/>
      <c r="C106" s="1396"/>
      <c r="D106" s="1397"/>
      <c r="E106" s="327"/>
      <c r="F106" s="159"/>
      <c r="G106" s="159"/>
      <c r="H106" s="160"/>
      <c r="I106" s="161">
        <f>H106*F$114</f>
        <v>0</v>
      </c>
      <c r="J106" s="160"/>
      <c r="K106" s="162">
        <f>(H106+I106)-J106</f>
        <v>0</v>
      </c>
    </row>
    <row r="107" spans="1:11" ht="18" customHeight="1" x14ac:dyDescent="0.35">
      <c r="A107" s="327"/>
      <c r="B107" s="328"/>
      <c r="C107" s="327"/>
      <c r="D107" s="327"/>
      <c r="E107" s="327"/>
      <c r="F107" s="327"/>
      <c r="G107" s="327"/>
      <c r="H107" s="327"/>
      <c r="I107" s="327"/>
      <c r="J107" s="327"/>
      <c r="K107" s="327"/>
    </row>
    <row r="108" spans="1:11" s="29" customFormat="1" ht="18" customHeight="1" x14ac:dyDescent="0.35">
      <c r="A108" s="332" t="s">
        <v>153</v>
      </c>
      <c r="B108" s="368" t="s">
        <v>154</v>
      </c>
      <c r="C108" s="327"/>
      <c r="D108" s="327"/>
      <c r="E108" s="328" t="s">
        <v>7</v>
      </c>
      <c r="F108" s="165">
        <f t="shared" ref="F108:K108" si="16">SUM(F102:F106)</f>
        <v>2513</v>
      </c>
      <c r="G108" s="165">
        <f t="shared" si="16"/>
        <v>0</v>
      </c>
      <c r="H108" s="162">
        <f t="shared" si="16"/>
        <v>128035</v>
      </c>
      <c r="I108" s="162">
        <f t="shared" si="16"/>
        <v>87447.905000000013</v>
      </c>
      <c r="J108" s="162">
        <f t="shared" si="16"/>
        <v>0</v>
      </c>
      <c r="K108" s="162">
        <f t="shared" si="16"/>
        <v>215482.90500000003</v>
      </c>
    </row>
    <row r="109" spans="1:11" s="29" customFormat="1" ht="18" customHeight="1" thickBot="1" x14ac:dyDescent="0.4">
      <c r="A109" s="185"/>
      <c r="B109" s="268"/>
      <c r="C109" s="186"/>
      <c r="D109" s="186"/>
      <c r="E109" s="186"/>
      <c r="F109" s="172"/>
      <c r="G109" s="172"/>
      <c r="H109" s="172"/>
      <c r="I109" s="172"/>
      <c r="J109" s="172"/>
      <c r="K109" s="172"/>
    </row>
    <row r="110" spans="1:11" s="29" customFormat="1" ht="18" customHeight="1" x14ac:dyDescent="0.35">
      <c r="A110" s="332" t="s">
        <v>156</v>
      </c>
      <c r="B110" s="328" t="s">
        <v>39</v>
      </c>
      <c r="C110" s="327"/>
      <c r="D110" s="327"/>
      <c r="E110" s="327"/>
      <c r="F110" s="327"/>
      <c r="G110" s="327"/>
      <c r="H110" s="327"/>
      <c r="I110" s="327"/>
      <c r="J110" s="327"/>
      <c r="K110" s="327"/>
    </row>
    <row r="111" spans="1:11" ht="18" customHeight="1" x14ac:dyDescent="0.35">
      <c r="A111" s="332" t="s">
        <v>155</v>
      </c>
      <c r="B111" s="328" t="s">
        <v>164</v>
      </c>
      <c r="C111" s="327"/>
      <c r="D111" s="327"/>
      <c r="E111" s="328" t="s">
        <v>7</v>
      </c>
      <c r="F111" s="160">
        <v>14411600</v>
      </c>
      <c r="G111" s="327"/>
      <c r="H111" s="327"/>
      <c r="I111" s="327"/>
      <c r="J111" s="327"/>
      <c r="K111" s="327"/>
    </row>
    <row r="112" spans="1:11" ht="18" customHeight="1" x14ac:dyDescent="0.35">
      <c r="A112" s="327"/>
      <c r="B112" s="328"/>
      <c r="C112" s="327"/>
      <c r="D112" s="327"/>
      <c r="E112" s="328"/>
      <c r="F112" s="372"/>
      <c r="G112" s="327"/>
      <c r="H112" s="327"/>
      <c r="I112" s="327"/>
      <c r="J112" s="327"/>
      <c r="K112" s="327"/>
    </row>
    <row r="113" spans="1:6" ht="18" customHeight="1" x14ac:dyDescent="0.35">
      <c r="A113" s="332"/>
      <c r="B113" s="328" t="s">
        <v>15</v>
      </c>
      <c r="C113" s="327"/>
      <c r="D113" s="327"/>
      <c r="E113" s="327"/>
      <c r="F113" s="327"/>
    </row>
    <row r="114" spans="1:6" ht="18" customHeight="1" x14ac:dyDescent="0.35">
      <c r="A114" s="329" t="s">
        <v>171</v>
      </c>
      <c r="B114" s="333" t="s">
        <v>35</v>
      </c>
      <c r="C114" s="327"/>
      <c r="D114" s="327"/>
      <c r="E114" s="327"/>
      <c r="F114" s="187">
        <v>0.68300000000000005</v>
      </c>
    </row>
    <row r="115" spans="1:6" ht="18" customHeight="1" x14ac:dyDescent="0.35">
      <c r="A115" s="329"/>
      <c r="B115" s="328"/>
      <c r="C115" s="327"/>
      <c r="D115" s="327"/>
      <c r="E115" s="327"/>
      <c r="F115" s="327"/>
    </row>
    <row r="116" spans="1:6" ht="18" customHeight="1" x14ac:dyDescent="0.35">
      <c r="A116" s="329" t="s">
        <v>170</v>
      </c>
      <c r="B116" s="328" t="s">
        <v>16</v>
      </c>
      <c r="C116" s="327"/>
      <c r="D116" s="327"/>
      <c r="E116" s="327"/>
      <c r="F116" s="327"/>
    </row>
    <row r="117" spans="1:6" ht="18" customHeight="1" x14ac:dyDescent="0.35">
      <c r="A117" s="329" t="s">
        <v>172</v>
      </c>
      <c r="B117" s="333" t="s">
        <v>17</v>
      </c>
      <c r="C117" s="327"/>
      <c r="D117" s="327"/>
      <c r="E117" s="327"/>
      <c r="F117" s="160">
        <v>454152300</v>
      </c>
    </row>
    <row r="118" spans="1:6" ht="18" customHeight="1" x14ac:dyDescent="0.35">
      <c r="A118" s="329" t="s">
        <v>173</v>
      </c>
      <c r="B118" s="327" t="s">
        <v>18</v>
      </c>
      <c r="C118" s="327"/>
      <c r="D118" s="327"/>
      <c r="E118" s="327"/>
      <c r="F118" s="160">
        <v>26140800</v>
      </c>
    </row>
    <row r="119" spans="1:6" ht="18" customHeight="1" x14ac:dyDescent="0.35">
      <c r="A119" s="329" t="s">
        <v>174</v>
      </c>
      <c r="B119" s="328" t="s">
        <v>19</v>
      </c>
      <c r="C119" s="327"/>
      <c r="D119" s="327"/>
      <c r="E119" s="327"/>
      <c r="F119" s="181">
        <f>SUM(F117:F118)</f>
        <v>480293100</v>
      </c>
    </row>
    <row r="120" spans="1:6" ht="18" customHeight="1" x14ac:dyDescent="0.35">
      <c r="A120" s="329"/>
      <c r="B120" s="328"/>
      <c r="C120" s="327"/>
      <c r="D120" s="327"/>
      <c r="E120" s="327"/>
      <c r="F120" s="327"/>
    </row>
    <row r="121" spans="1:6" ht="18" customHeight="1" x14ac:dyDescent="0.35">
      <c r="A121" s="329" t="s">
        <v>167</v>
      </c>
      <c r="B121" s="328" t="s">
        <v>36</v>
      </c>
      <c r="C121" s="327"/>
      <c r="D121" s="327"/>
      <c r="E121" s="327"/>
      <c r="F121" s="160">
        <v>464031500</v>
      </c>
    </row>
    <row r="122" spans="1:6" ht="18" customHeight="1" x14ac:dyDescent="0.35">
      <c r="A122" s="329"/>
      <c r="B122" s="327"/>
      <c r="C122" s="327"/>
      <c r="D122" s="327"/>
      <c r="E122" s="327"/>
      <c r="F122" s="327"/>
    </row>
    <row r="123" spans="1:6" ht="18" customHeight="1" x14ac:dyDescent="0.35">
      <c r="A123" s="329" t="s">
        <v>175</v>
      </c>
      <c r="B123" s="328" t="s">
        <v>20</v>
      </c>
      <c r="C123" s="327"/>
      <c r="D123" s="327"/>
      <c r="E123" s="327"/>
      <c r="F123" s="160">
        <f>+F119-F121</f>
        <v>16261600</v>
      </c>
    </row>
    <row r="124" spans="1:6" ht="18" customHeight="1" x14ac:dyDescent="0.35">
      <c r="A124" s="329"/>
      <c r="B124" s="327"/>
      <c r="C124" s="327"/>
      <c r="D124" s="327"/>
      <c r="E124" s="327"/>
      <c r="F124" s="327"/>
    </row>
    <row r="125" spans="1:6" ht="18" customHeight="1" x14ac:dyDescent="0.35">
      <c r="A125" s="329" t="s">
        <v>176</v>
      </c>
      <c r="B125" s="328" t="s">
        <v>21</v>
      </c>
      <c r="C125" s="327"/>
      <c r="D125" s="327"/>
      <c r="E125" s="327"/>
      <c r="F125" s="160">
        <f>+F127-F123</f>
        <v>23819400</v>
      </c>
    </row>
    <row r="126" spans="1:6" ht="18" customHeight="1" x14ac:dyDescent="0.35">
      <c r="A126" s="329"/>
      <c r="B126" s="327"/>
      <c r="C126" s="327"/>
      <c r="D126" s="327"/>
      <c r="E126" s="327"/>
      <c r="F126" s="327"/>
    </row>
    <row r="127" spans="1:6" ht="18" customHeight="1" x14ac:dyDescent="0.35">
      <c r="A127" s="329" t="s">
        <v>177</v>
      </c>
      <c r="B127" s="328" t="s">
        <v>22</v>
      </c>
      <c r="C127" s="327"/>
      <c r="D127" s="327"/>
      <c r="E127" s="327"/>
      <c r="F127" s="160">
        <v>40081000</v>
      </c>
    </row>
    <row r="128" spans="1:6" ht="18" customHeight="1" x14ac:dyDescent="0.35">
      <c r="A128" s="329"/>
      <c r="B128" s="327"/>
      <c r="C128" s="327"/>
      <c r="D128" s="327"/>
      <c r="E128" s="327"/>
      <c r="F128" s="327"/>
    </row>
    <row r="129" spans="1:11" ht="42.75" customHeight="1" x14ac:dyDescent="0.35">
      <c r="A129" s="327"/>
      <c r="B129" s="327"/>
      <c r="C129" s="327"/>
      <c r="D129" s="327"/>
      <c r="E129" s="327"/>
      <c r="F129" s="331" t="s">
        <v>9</v>
      </c>
      <c r="G129" s="331" t="s">
        <v>37</v>
      </c>
      <c r="H129" s="331" t="s">
        <v>29</v>
      </c>
      <c r="I129" s="331" t="s">
        <v>30</v>
      </c>
      <c r="J129" s="331" t="s">
        <v>33</v>
      </c>
      <c r="K129" s="331" t="s">
        <v>34</v>
      </c>
    </row>
    <row r="130" spans="1:11" ht="18" customHeight="1" x14ac:dyDescent="0.35">
      <c r="A130" s="332" t="s">
        <v>157</v>
      </c>
      <c r="B130" s="328" t="s">
        <v>23</v>
      </c>
      <c r="C130" s="327"/>
      <c r="D130" s="327"/>
      <c r="E130" s="327"/>
      <c r="F130" s="327"/>
      <c r="G130" s="327"/>
      <c r="H130" s="327"/>
      <c r="I130" s="327"/>
      <c r="J130" s="327"/>
      <c r="K130" s="327"/>
    </row>
    <row r="131" spans="1:11" ht="18" customHeight="1" x14ac:dyDescent="0.35">
      <c r="A131" s="329" t="s">
        <v>158</v>
      </c>
      <c r="B131" s="327" t="s">
        <v>24</v>
      </c>
      <c r="C131" s="327"/>
      <c r="D131" s="327"/>
      <c r="E131" s="327"/>
      <c r="F131" s="159"/>
      <c r="G131" s="159"/>
      <c r="H131" s="160"/>
      <c r="I131" s="161">
        <v>0</v>
      </c>
      <c r="J131" s="160"/>
      <c r="K131" s="162">
        <f>(H131+I131)-J131</f>
        <v>0</v>
      </c>
    </row>
    <row r="132" spans="1:11" ht="18" customHeight="1" x14ac:dyDescent="0.35">
      <c r="A132" s="329" t="s">
        <v>159</v>
      </c>
      <c r="B132" s="327" t="s">
        <v>25</v>
      </c>
      <c r="C132" s="327"/>
      <c r="D132" s="327"/>
      <c r="E132" s="327"/>
      <c r="F132" s="159"/>
      <c r="G132" s="159"/>
      <c r="H132" s="160"/>
      <c r="I132" s="161">
        <v>0</v>
      </c>
      <c r="J132" s="160"/>
      <c r="K132" s="162">
        <f>(H132+I132)-J132</f>
        <v>0</v>
      </c>
    </row>
    <row r="133" spans="1:11" ht="18" customHeight="1" x14ac:dyDescent="0.35">
      <c r="A133" s="329" t="s">
        <v>160</v>
      </c>
      <c r="B133" s="1392"/>
      <c r="C133" s="1393"/>
      <c r="D133" s="1394"/>
      <c r="E133" s="327"/>
      <c r="F133" s="159"/>
      <c r="G133" s="159"/>
      <c r="H133" s="160"/>
      <c r="I133" s="161">
        <v>0</v>
      </c>
      <c r="J133" s="160"/>
      <c r="K133" s="162">
        <f>(H133+I133)-J133</f>
        <v>0</v>
      </c>
    </row>
    <row r="134" spans="1:11" ht="18" customHeight="1" x14ac:dyDescent="0.35">
      <c r="A134" s="329" t="s">
        <v>161</v>
      </c>
      <c r="B134" s="1392"/>
      <c r="C134" s="1393"/>
      <c r="D134" s="1394"/>
      <c r="E134" s="327"/>
      <c r="F134" s="159"/>
      <c r="G134" s="159"/>
      <c r="H134" s="160"/>
      <c r="I134" s="161">
        <v>0</v>
      </c>
      <c r="J134" s="160"/>
      <c r="K134" s="162">
        <f>(H134+I134)-J134</f>
        <v>0</v>
      </c>
    </row>
    <row r="135" spans="1:11" ht="18" customHeight="1" x14ac:dyDescent="0.35">
      <c r="A135" s="329" t="s">
        <v>162</v>
      </c>
      <c r="B135" s="1392"/>
      <c r="C135" s="1393"/>
      <c r="D135" s="1394"/>
      <c r="E135" s="327"/>
      <c r="F135" s="159"/>
      <c r="G135" s="159"/>
      <c r="H135" s="160"/>
      <c r="I135" s="161">
        <v>0</v>
      </c>
      <c r="J135" s="160"/>
      <c r="K135" s="162">
        <f>(H135+I135)-J135</f>
        <v>0</v>
      </c>
    </row>
    <row r="136" spans="1:11" ht="18" customHeight="1" x14ac:dyDescent="0.35">
      <c r="A136" s="332"/>
      <c r="B136" s="327"/>
      <c r="C136" s="327"/>
      <c r="D136" s="327"/>
      <c r="E136" s="327"/>
      <c r="F136" s="327"/>
      <c r="G136" s="327"/>
      <c r="H136" s="327"/>
      <c r="I136" s="327"/>
      <c r="J136" s="327"/>
      <c r="K136" s="327"/>
    </row>
    <row r="137" spans="1:11" ht="18" customHeight="1" x14ac:dyDescent="0.35">
      <c r="A137" s="332" t="s">
        <v>163</v>
      </c>
      <c r="B137" s="328" t="s">
        <v>27</v>
      </c>
      <c r="C137" s="327"/>
      <c r="D137" s="327"/>
      <c r="E137" s="327"/>
      <c r="F137" s="165">
        <f t="shared" ref="F137:K137" si="17">SUM(F131:F135)</f>
        <v>0</v>
      </c>
      <c r="G137" s="165">
        <f t="shared" si="17"/>
        <v>0</v>
      </c>
      <c r="H137" s="162">
        <f t="shared" si="17"/>
        <v>0</v>
      </c>
      <c r="I137" s="162">
        <f t="shared" si="17"/>
        <v>0</v>
      </c>
      <c r="J137" s="162">
        <f t="shared" si="17"/>
        <v>0</v>
      </c>
      <c r="K137" s="162">
        <f t="shared" si="17"/>
        <v>0</v>
      </c>
    </row>
    <row r="138" spans="1:11" ht="18" customHeight="1" x14ac:dyDescent="0.35">
      <c r="A138" s="327"/>
      <c r="B138" s="327"/>
      <c r="C138" s="327"/>
      <c r="D138" s="327"/>
      <c r="E138" s="327"/>
      <c r="F138" s="327"/>
      <c r="G138" s="327"/>
      <c r="H138" s="327"/>
      <c r="I138" s="327"/>
      <c r="J138" s="327"/>
      <c r="K138" s="327"/>
    </row>
    <row r="139" spans="1:11" ht="42.75" customHeight="1" x14ac:dyDescent="0.35">
      <c r="A139" s="327"/>
      <c r="B139" s="327"/>
      <c r="C139" s="327"/>
      <c r="D139" s="327"/>
      <c r="E139" s="327"/>
      <c r="F139" s="331" t="s">
        <v>9</v>
      </c>
      <c r="G139" s="331" t="s">
        <v>37</v>
      </c>
      <c r="H139" s="331" t="s">
        <v>29</v>
      </c>
      <c r="I139" s="331" t="s">
        <v>30</v>
      </c>
      <c r="J139" s="331" t="s">
        <v>33</v>
      </c>
      <c r="K139" s="331" t="s">
        <v>34</v>
      </c>
    </row>
    <row r="140" spans="1:11" ht="18" customHeight="1" x14ac:dyDescent="0.35">
      <c r="A140" s="332" t="s">
        <v>166</v>
      </c>
      <c r="B140" s="328" t="s">
        <v>26</v>
      </c>
      <c r="C140" s="327"/>
      <c r="D140" s="327"/>
      <c r="E140" s="327"/>
      <c r="F140" s="327"/>
      <c r="G140" s="327"/>
      <c r="H140" s="327"/>
      <c r="I140" s="327"/>
      <c r="J140" s="327"/>
      <c r="K140" s="327"/>
    </row>
    <row r="141" spans="1:11" ht="18" customHeight="1" x14ac:dyDescent="0.35">
      <c r="A141" s="329" t="s">
        <v>137</v>
      </c>
      <c r="B141" s="328" t="s">
        <v>64</v>
      </c>
      <c r="C141" s="327"/>
      <c r="D141" s="327"/>
      <c r="E141" s="327"/>
      <c r="F141" s="188">
        <f t="shared" ref="F141:K141" si="18">F36</f>
        <v>48803</v>
      </c>
      <c r="G141" s="188">
        <f t="shared" si="18"/>
        <v>28332</v>
      </c>
      <c r="H141" s="188">
        <f t="shared" si="18"/>
        <v>4811766</v>
      </c>
      <c r="I141" s="188">
        <f t="shared" si="18"/>
        <v>3286436.1780000008</v>
      </c>
      <c r="J141" s="188">
        <f t="shared" si="18"/>
        <v>122866</v>
      </c>
      <c r="K141" s="188">
        <f t="shared" si="18"/>
        <v>7975336.1779999994</v>
      </c>
    </row>
    <row r="142" spans="1:11" ht="18" customHeight="1" x14ac:dyDescent="0.35">
      <c r="A142" s="329" t="s">
        <v>142</v>
      </c>
      <c r="B142" s="328" t="s">
        <v>65</v>
      </c>
      <c r="C142" s="327"/>
      <c r="D142" s="327"/>
      <c r="E142" s="327"/>
      <c r="F142" s="188">
        <f t="shared" ref="F142:K142" si="19">F49</f>
        <v>49251</v>
      </c>
      <c r="G142" s="188">
        <f t="shared" si="19"/>
        <v>0</v>
      </c>
      <c r="H142" s="188">
        <f t="shared" si="19"/>
        <v>7616881</v>
      </c>
      <c r="I142" s="188">
        <f t="shared" si="19"/>
        <v>5202329.7230000002</v>
      </c>
      <c r="J142" s="188">
        <f t="shared" si="19"/>
        <v>307276</v>
      </c>
      <c r="K142" s="188">
        <f t="shared" si="19"/>
        <v>12511934.723000001</v>
      </c>
    </row>
    <row r="143" spans="1:11" ht="18" customHeight="1" x14ac:dyDescent="0.35">
      <c r="A143" s="329" t="s">
        <v>144</v>
      </c>
      <c r="B143" s="328" t="s">
        <v>66</v>
      </c>
      <c r="C143" s="327"/>
      <c r="D143" s="327"/>
      <c r="E143" s="327"/>
      <c r="F143" s="188">
        <f t="shared" ref="F143:K143" si="20">F64</f>
        <v>64039</v>
      </c>
      <c r="G143" s="188">
        <f t="shared" si="20"/>
        <v>49308</v>
      </c>
      <c r="H143" s="188">
        <f t="shared" si="20"/>
        <v>7651327</v>
      </c>
      <c r="I143" s="188">
        <f t="shared" si="20"/>
        <v>5225856.341</v>
      </c>
      <c r="J143" s="188">
        <f t="shared" si="20"/>
        <v>1106057</v>
      </c>
      <c r="K143" s="188">
        <f t="shared" si="20"/>
        <v>11771126.341</v>
      </c>
    </row>
    <row r="144" spans="1:11" ht="18" customHeight="1" x14ac:dyDescent="0.35">
      <c r="A144" s="329" t="s">
        <v>146</v>
      </c>
      <c r="B144" s="328" t="s">
        <v>67</v>
      </c>
      <c r="C144" s="327"/>
      <c r="D144" s="327"/>
      <c r="E144" s="327"/>
      <c r="F144" s="188">
        <f t="shared" ref="F144:K144" si="21">F74</f>
        <v>11073</v>
      </c>
      <c r="G144" s="188">
        <f t="shared" si="21"/>
        <v>1668</v>
      </c>
      <c r="H144" s="188">
        <f t="shared" si="21"/>
        <v>526909</v>
      </c>
      <c r="I144" s="188">
        <f t="shared" si="21"/>
        <v>359878.84700000001</v>
      </c>
      <c r="J144" s="188">
        <f t="shared" si="21"/>
        <v>0</v>
      </c>
      <c r="K144" s="188">
        <f t="shared" si="21"/>
        <v>886787.84700000007</v>
      </c>
    </row>
    <row r="145" spans="1:11" ht="18" customHeight="1" x14ac:dyDescent="0.35">
      <c r="A145" s="329" t="s">
        <v>148</v>
      </c>
      <c r="B145" s="328" t="s">
        <v>68</v>
      </c>
      <c r="C145" s="327"/>
      <c r="D145" s="327"/>
      <c r="E145" s="327"/>
      <c r="F145" s="188">
        <f t="shared" ref="F145:K145" si="22">F82</f>
        <v>3732</v>
      </c>
      <c r="G145" s="188">
        <f t="shared" si="22"/>
        <v>680</v>
      </c>
      <c r="H145" s="188">
        <f t="shared" si="22"/>
        <v>2437113</v>
      </c>
      <c r="I145" s="188">
        <f t="shared" si="22"/>
        <v>93561.587</v>
      </c>
      <c r="J145" s="188">
        <f t="shared" si="22"/>
        <v>0</v>
      </c>
      <c r="K145" s="188">
        <f t="shared" si="22"/>
        <v>2530674.5870000003</v>
      </c>
    </row>
    <row r="146" spans="1:11" ht="18" customHeight="1" x14ac:dyDescent="0.35">
      <c r="A146" s="329" t="s">
        <v>150</v>
      </c>
      <c r="B146" s="328" t="s">
        <v>69</v>
      </c>
      <c r="C146" s="327"/>
      <c r="D146" s="327"/>
      <c r="E146" s="327"/>
      <c r="F146" s="188">
        <f t="shared" ref="F146:K146" si="23">F98</f>
        <v>16827</v>
      </c>
      <c r="G146" s="188">
        <f t="shared" si="23"/>
        <v>714</v>
      </c>
      <c r="H146" s="188">
        <f t="shared" si="23"/>
        <v>739754</v>
      </c>
      <c r="I146" s="188">
        <f t="shared" si="23"/>
        <v>505251.98200000008</v>
      </c>
      <c r="J146" s="188">
        <f t="shared" si="23"/>
        <v>377657</v>
      </c>
      <c r="K146" s="188">
        <f t="shared" si="23"/>
        <v>867348.98199999996</v>
      </c>
    </row>
    <row r="147" spans="1:11" ht="18" customHeight="1" x14ac:dyDescent="0.35">
      <c r="A147" s="329" t="s">
        <v>153</v>
      </c>
      <c r="B147" s="328" t="s">
        <v>61</v>
      </c>
      <c r="C147" s="327"/>
      <c r="D147" s="327"/>
      <c r="E147" s="327"/>
      <c r="F147" s="165">
        <f t="shared" ref="F147:K147" si="24">F108</f>
        <v>2513</v>
      </c>
      <c r="G147" s="165">
        <f t="shared" si="24"/>
        <v>0</v>
      </c>
      <c r="H147" s="165">
        <f t="shared" si="24"/>
        <v>128035</v>
      </c>
      <c r="I147" s="165">
        <f t="shared" si="24"/>
        <v>87447.905000000013</v>
      </c>
      <c r="J147" s="165">
        <f t="shared" si="24"/>
        <v>0</v>
      </c>
      <c r="K147" s="165">
        <f t="shared" si="24"/>
        <v>215482.90500000003</v>
      </c>
    </row>
    <row r="148" spans="1:11" ht="18" customHeight="1" x14ac:dyDescent="0.35">
      <c r="A148" s="329" t="s">
        <v>155</v>
      </c>
      <c r="B148" s="328" t="s">
        <v>70</v>
      </c>
      <c r="C148" s="327"/>
      <c r="D148" s="327"/>
      <c r="E148" s="327"/>
      <c r="F148" s="189" t="s">
        <v>73</v>
      </c>
      <c r="G148" s="189" t="s">
        <v>73</v>
      </c>
      <c r="H148" s="190" t="s">
        <v>73</v>
      </c>
      <c r="I148" s="190" t="s">
        <v>73</v>
      </c>
      <c r="J148" s="190" t="s">
        <v>73</v>
      </c>
      <c r="K148" s="193">
        <f>F111</f>
        <v>14411600</v>
      </c>
    </row>
    <row r="149" spans="1:11" ht="18" customHeight="1" x14ac:dyDescent="0.35">
      <c r="A149" s="329" t="s">
        <v>163</v>
      </c>
      <c r="B149" s="328" t="s">
        <v>71</v>
      </c>
      <c r="C149" s="327"/>
      <c r="D149" s="327"/>
      <c r="E149" s="327"/>
      <c r="F149" s="165">
        <f t="shared" ref="F149:K149" si="25">F137</f>
        <v>0</v>
      </c>
      <c r="G149" s="165">
        <f t="shared" si="25"/>
        <v>0</v>
      </c>
      <c r="H149" s="165">
        <f t="shared" si="25"/>
        <v>0</v>
      </c>
      <c r="I149" s="165">
        <f t="shared" si="25"/>
        <v>0</v>
      </c>
      <c r="J149" s="165">
        <f t="shared" si="25"/>
        <v>0</v>
      </c>
      <c r="K149" s="165">
        <f t="shared" si="25"/>
        <v>0</v>
      </c>
    </row>
    <row r="150" spans="1:11" ht="18" customHeight="1" x14ac:dyDescent="0.35">
      <c r="A150" s="329" t="s">
        <v>185</v>
      </c>
      <c r="B150" s="328" t="s">
        <v>186</v>
      </c>
      <c r="C150" s="327"/>
      <c r="D150" s="327"/>
      <c r="E150" s="327"/>
      <c r="F150" s="189" t="s">
        <v>73</v>
      </c>
      <c r="G150" s="189" t="s">
        <v>73</v>
      </c>
      <c r="H150" s="165">
        <f>H18</f>
        <v>11609089</v>
      </c>
      <c r="I150" s="165">
        <f>I18</f>
        <v>0</v>
      </c>
      <c r="J150" s="165">
        <f>J18</f>
        <v>9811971</v>
      </c>
      <c r="K150" s="165">
        <f>K18</f>
        <v>1797118</v>
      </c>
    </row>
    <row r="151" spans="1:11" ht="18" customHeight="1" x14ac:dyDescent="0.35">
      <c r="A151" s="327"/>
      <c r="B151" s="328"/>
      <c r="C151" s="327"/>
      <c r="D151" s="327"/>
      <c r="E151" s="327"/>
      <c r="F151" s="174"/>
      <c r="G151" s="174"/>
      <c r="H151" s="174"/>
      <c r="I151" s="174"/>
      <c r="J151" s="174"/>
      <c r="K151" s="174"/>
    </row>
    <row r="152" spans="1:11" ht="18" customHeight="1" x14ac:dyDescent="0.35">
      <c r="A152" s="332" t="s">
        <v>165</v>
      </c>
      <c r="B152" s="328" t="s">
        <v>26</v>
      </c>
      <c r="C152" s="327"/>
      <c r="D152" s="327"/>
      <c r="E152" s="327"/>
      <c r="F152" s="191">
        <f t="shared" ref="F152:K152" si="26">SUM(F141:F150)</f>
        <v>196238</v>
      </c>
      <c r="G152" s="191">
        <f t="shared" si="26"/>
        <v>80702</v>
      </c>
      <c r="H152" s="191">
        <f t="shared" si="26"/>
        <v>35520874</v>
      </c>
      <c r="I152" s="191">
        <f t="shared" si="26"/>
        <v>14760762.562999999</v>
      </c>
      <c r="J152" s="191">
        <f t="shared" si="26"/>
        <v>11725827</v>
      </c>
      <c r="K152" s="191">
        <f t="shared" si="26"/>
        <v>52967409.563000001</v>
      </c>
    </row>
    <row r="153" spans="1:11" ht="18" customHeight="1" x14ac:dyDescent="0.35">
      <c r="A153" s="327"/>
      <c r="B153" s="327"/>
      <c r="C153" s="327"/>
      <c r="D153" s="327"/>
      <c r="E153" s="327"/>
      <c r="F153" s="327"/>
      <c r="G153" s="327"/>
      <c r="H153" s="327"/>
      <c r="I153" s="327"/>
      <c r="J153" s="393"/>
      <c r="K153" s="327"/>
    </row>
    <row r="154" spans="1:11" ht="18" customHeight="1" x14ac:dyDescent="0.35">
      <c r="A154" s="332" t="s">
        <v>168</v>
      </c>
      <c r="B154" s="328" t="s">
        <v>28</v>
      </c>
      <c r="C154" s="327"/>
      <c r="D154" s="327"/>
      <c r="E154" s="327"/>
      <c r="F154" s="192">
        <f>K152/F121</f>
        <v>0.11414615077424702</v>
      </c>
      <c r="G154" s="327"/>
      <c r="H154" s="327"/>
      <c r="I154" s="327"/>
      <c r="J154" s="393"/>
      <c r="K154" s="327"/>
    </row>
    <row r="155" spans="1:11" ht="18" customHeight="1" x14ac:dyDescent="0.35">
      <c r="A155" s="332" t="s">
        <v>169</v>
      </c>
      <c r="B155" s="328" t="s">
        <v>72</v>
      </c>
      <c r="C155" s="327"/>
      <c r="D155" s="327"/>
      <c r="E155" s="327"/>
      <c r="F155" s="192">
        <f>K152/F127</f>
        <v>1.3215091829794665</v>
      </c>
      <c r="G155" s="328"/>
      <c r="H155" s="327"/>
      <c r="I155" s="327"/>
      <c r="J155" s="327"/>
      <c r="K155" s="327"/>
    </row>
    <row r="156" spans="1:11" ht="18" customHeight="1" x14ac:dyDescent="0.35">
      <c r="A156" s="157"/>
      <c r="B156" s="157"/>
      <c r="C156" s="157"/>
      <c r="D156" s="157"/>
      <c r="E156" s="157"/>
      <c r="F156" s="157"/>
      <c r="G156" s="158"/>
      <c r="H156" s="157"/>
      <c r="I156" s="157"/>
      <c r="J156" s="157"/>
      <c r="K156" s="157"/>
    </row>
  </sheetData>
  <sheetProtection sheet="1" objects="1" scenarios="1"/>
  <mergeCells count="34">
    <mergeCell ref="B105:D105"/>
    <mergeCell ref="B30:D30"/>
    <mergeCell ref="B31:D31"/>
    <mergeCell ref="B34:D34"/>
    <mergeCell ref="B90:C90"/>
    <mergeCell ref="B44:D44"/>
    <mergeCell ref="B45:D45"/>
    <mergeCell ref="B46:D46"/>
    <mergeCell ref="B47:D47"/>
    <mergeCell ref="B52:C52"/>
    <mergeCell ref="B53:D53"/>
    <mergeCell ref="B55:D55"/>
    <mergeCell ref="B56:D56"/>
    <mergeCell ref="B13:H13"/>
    <mergeCell ref="B41:C41"/>
    <mergeCell ref="B96:D96"/>
    <mergeCell ref="B103:C103"/>
    <mergeCell ref="B104:D104"/>
    <mergeCell ref="B134:D134"/>
    <mergeCell ref="B135:D135"/>
    <mergeCell ref="B94:D94"/>
    <mergeCell ref="B95:D95"/>
    <mergeCell ref="D2:H2"/>
    <mergeCell ref="C5:G5"/>
    <mergeCell ref="C6:G6"/>
    <mergeCell ref="B106:D106"/>
    <mergeCell ref="B133:D133"/>
    <mergeCell ref="B57:D57"/>
    <mergeCell ref="B59:D59"/>
    <mergeCell ref="B62:D62"/>
    <mergeCell ref="C7:G7"/>
    <mergeCell ref="C9:G9"/>
    <mergeCell ref="C10:G10"/>
    <mergeCell ref="C11:G1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56"/>
  <sheetViews>
    <sheetView showGridLines="0" zoomScale="85" zoomScaleNormal="85" zoomScaleSheetLayoutView="80" workbookViewId="0">
      <selection activeCell="A2" sqref="A2"/>
    </sheetView>
  </sheetViews>
  <sheetFormatPr defaultColWidth="9" defaultRowHeight="18" customHeight="1" x14ac:dyDescent="0.25"/>
  <cols>
    <col min="1" max="1" width="8.26953125" style="27" customWidth="1"/>
    <col min="2" max="2" width="55.453125" style="28" bestFit="1" customWidth="1"/>
    <col min="3" max="3" width="9.54296875" style="28" customWidth="1"/>
    <col min="4" max="4" width="9"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 style="28"/>
  </cols>
  <sheetData>
    <row r="1" spans="1:11" ht="18" customHeight="1" x14ac:dyDescent="0.35">
      <c r="A1" s="327"/>
      <c r="B1" s="327"/>
      <c r="C1" s="401"/>
      <c r="D1" s="886"/>
      <c r="E1" s="401"/>
      <c r="F1" s="401"/>
      <c r="G1" s="401"/>
      <c r="H1" s="401"/>
      <c r="I1" s="401"/>
      <c r="J1" s="401"/>
      <c r="K1" s="401"/>
    </row>
    <row r="2" spans="1:11" ht="18" customHeight="1" x14ac:dyDescent="0.35">
      <c r="A2" s="327"/>
      <c r="B2" s="327"/>
      <c r="C2" s="327"/>
      <c r="D2" s="1429" t="s">
        <v>730</v>
      </c>
      <c r="E2" s="1429"/>
      <c r="F2" s="1429"/>
      <c r="G2" s="1429"/>
      <c r="H2" s="1429"/>
      <c r="I2" s="327"/>
      <c r="J2" s="327"/>
      <c r="K2" s="327"/>
    </row>
    <row r="3" spans="1:11" ht="18" customHeight="1" x14ac:dyDescent="0.35">
      <c r="A3" s="327"/>
      <c r="B3" s="690" t="s">
        <v>0</v>
      </c>
      <c r="C3" s="327"/>
      <c r="D3" s="327"/>
      <c r="E3" s="327"/>
      <c r="F3" s="327"/>
      <c r="G3" s="327"/>
      <c r="H3" s="327"/>
      <c r="I3" s="327"/>
      <c r="J3" s="327"/>
      <c r="K3" s="327"/>
    </row>
    <row r="5" spans="1:11" ht="18" customHeight="1" x14ac:dyDescent="0.35">
      <c r="A5" s="327"/>
      <c r="B5" s="741" t="s">
        <v>40</v>
      </c>
      <c r="C5" s="1430" t="s">
        <v>360</v>
      </c>
      <c r="D5" s="1431"/>
      <c r="E5" s="1431"/>
      <c r="F5" s="1431"/>
      <c r="G5" s="1432"/>
      <c r="H5" s="327"/>
      <c r="I5" s="327"/>
      <c r="J5" s="327"/>
      <c r="K5" s="327"/>
    </row>
    <row r="6" spans="1:11" ht="18" customHeight="1" x14ac:dyDescent="0.35">
      <c r="A6" s="327"/>
      <c r="B6" s="741" t="s">
        <v>3</v>
      </c>
      <c r="C6" s="1433" t="s">
        <v>361</v>
      </c>
      <c r="D6" s="1434"/>
      <c r="E6" s="1434"/>
      <c r="F6" s="1434"/>
      <c r="G6" s="1435"/>
      <c r="H6" s="327"/>
      <c r="I6" s="327"/>
      <c r="J6" s="327"/>
      <c r="K6" s="327"/>
    </row>
    <row r="7" spans="1:11" ht="18" customHeight="1" x14ac:dyDescent="0.35">
      <c r="A7" s="327"/>
      <c r="B7" s="741" t="s">
        <v>4</v>
      </c>
      <c r="C7" s="1436"/>
      <c r="D7" s="1437"/>
      <c r="E7" s="1437"/>
      <c r="F7" s="1437"/>
      <c r="G7" s="1438"/>
      <c r="H7" s="327"/>
      <c r="I7" s="327"/>
      <c r="J7" s="327"/>
      <c r="K7" s="327"/>
    </row>
    <row r="9" spans="1:11" ht="18" customHeight="1" x14ac:dyDescent="0.35">
      <c r="A9" s="327"/>
      <c r="B9" s="741" t="s">
        <v>1</v>
      </c>
      <c r="C9" s="1430" t="s">
        <v>362</v>
      </c>
      <c r="D9" s="1431"/>
      <c r="E9" s="1431"/>
      <c r="F9" s="1431"/>
      <c r="G9" s="1432"/>
      <c r="H9" s="327"/>
      <c r="I9" s="327"/>
      <c r="J9" s="327"/>
      <c r="K9" s="327"/>
    </row>
    <row r="10" spans="1:11" ht="18" customHeight="1" x14ac:dyDescent="0.35">
      <c r="A10" s="327"/>
      <c r="B10" s="741" t="s">
        <v>2</v>
      </c>
      <c r="C10" s="1426" t="s">
        <v>363</v>
      </c>
      <c r="D10" s="1427"/>
      <c r="E10" s="1427"/>
      <c r="F10" s="1427"/>
      <c r="G10" s="1428"/>
      <c r="H10" s="327"/>
      <c r="I10" s="327"/>
      <c r="J10" s="327"/>
      <c r="K10" s="327"/>
    </row>
    <row r="11" spans="1:11" ht="18" customHeight="1" x14ac:dyDescent="0.35">
      <c r="A11" s="327"/>
      <c r="B11" s="741" t="s">
        <v>32</v>
      </c>
      <c r="C11" s="1415" t="s">
        <v>364</v>
      </c>
      <c r="D11" s="1416"/>
      <c r="E11" s="1416"/>
      <c r="F11" s="1416"/>
      <c r="G11" s="1416"/>
      <c r="H11" s="327"/>
      <c r="I11" s="327"/>
      <c r="J11" s="327"/>
      <c r="K11" s="327"/>
    </row>
    <row r="12" spans="1:11" ht="18" customHeight="1" x14ac:dyDescent="0.35">
      <c r="A12" s="327"/>
      <c r="B12" s="741"/>
      <c r="C12" s="741"/>
      <c r="D12" s="741"/>
      <c r="E12" s="741"/>
      <c r="F12" s="741"/>
      <c r="G12" s="741"/>
      <c r="H12" s="327"/>
      <c r="I12" s="327"/>
      <c r="J12" s="327"/>
      <c r="K12" s="327"/>
    </row>
    <row r="13" spans="1:11" ht="24.65" customHeight="1" x14ac:dyDescent="0.35">
      <c r="A13" s="327"/>
      <c r="B13" s="1417"/>
      <c r="C13" s="1417"/>
      <c r="D13" s="1417"/>
      <c r="E13" s="1417"/>
      <c r="F13" s="1417"/>
      <c r="G13" s="1417"/>
      <c r="H13" s="1417"/>
      <c r="I13" s="401"/>
      <c r="J13" s="327"/>
      <c r="K13" s="327"/>
    </row>
    <row r="14" spans="1:11" ht="18" customHeight="1" x14ac:dyDescent="0.35">
      <c r="A14" s="327"/>
      <c r="B14" s="692"/>
      <c r="C14" s="327"/>
      <c r="D14" s="327"/>
      <c r="E14" s="327"/>
      <c r="F14" s="327"/>
      <c r="G14" s="327"/>
      <c r="H14" s="327"/>
      <c r="I14" s="327"/>
      <c r="J14" s="327"/>
      <c r="K14" s="327"/>
    </row>
    <row r="15" spans="1:11" ht="18" customHeight="1" x14ac:dyDescent="0.35">
      <c r="A15" s="327"/>
      <c r="B15" s="692"/>
      <c r="C15" s="327"/>
      <c r="D15" s="327"/>
      <c r="E15" s="327"/>
      <c r="F15" s="327"/>
      <c r="G15" s="327"/>
      <c r="H15" s="327"/>
      <c r="I15" s="327"/>
      <c r="J15" s="327"/>
      <c r="K15" s="327"/>
    </row>
    <row r="16" spans="1:11" ht="45" customHeight="1" x14ac:dyDescent="0.3">
      <c r="A16" s="886" t="s">
        <v>181</v>
      </c>
      <c r="B16" s="401"/>
      <c r="C16" s="401"/>
      <c r="D16" s="401"/>
      <c r="E16" s="401"/>
      <c r="F16" s="693" t="s">
        <v>9</v>
      </c>
      <c r="G16" s="693" t="s">
        <v>37</v>
      </c>
      <c r="H16" s="693" t="s">
        <v>29</v>
      </c>
      <c r="I16" s="693" t="s">
        <v>30</v>
      </c>
      <c r="J16" s="693" t="s">
        <v>33</v>
      </c>
      <c r="K16" s="693" t="s">
        <v>34</v>
      </c>
    </row>
    <row r="17" spans="1:11" ht="18" customHeight="1" x14ac:dyDescent="0.35">
      <c r="A17" s="691" t="s">
        <v>184</v>
      </c>
      <c r="B17" s="690" t="s">
        <v>182</v>
      </c>
      <c r="C17" s="327"/>
      <c r="D17" s="327"/>
      <c r="E17" s="327"/>
      <c r="F17" s="327"/>
      <c r="G17" s="327"/>
      <c r="H17" s="327"/>
      <c r="I17" s="327"/>
      <c r="J17" s="327"/>
      <c r="K17" s="327"/>
    </row>
    <row r="18" spans="1:11" ht="18" customHeight="1" x14ac:dyDescent="0.35">
      <c r="A18" s="741" t="s">
        <v>185</v>
      </c>
      <c r="B18" s="689" t="s">
        <v>183</v>
      </c>
      <c r="C18" s="327"/>
      <c r="D18" s="327"/>
      <c r="E18" s="327"/>
      <c r="F18" s="217" t="s">
        <v>73</v>
      </c>
      <c r="G18" s="217" t="s">
        <v>73</v>
      </c>
      <c r="H18" s="196">
        <v>50143241</v>
      </c>
      <c r="I18" s="196">
        <v>0</v>
      </c>
      <c r="J18" s="196">
        <v>42380934</v>
      </c>
      <c r="K18" s="197">
        <f>(H18+I18)-J18</f>
        <v>7762307</v>
      </c>
    </row>
    <row r="19" spans="1:11" ht="45" customHeight="1" x14ac:dyDescent="0.3">
      <c r="A19" s="886" t="s">
        <v>8</v>
      </c>
      <c r="B19" s="401"/>
      <c r="C19" s="401"/>
      <c r="D19" s="401"/>
      <c r="E19" s="401"/>
      <c r="F19" s="693" t="s">
        <v>9</v>
      </c>
      <c r="G19" s="693" t="s">
        <v>37</v>
      </c>
      <c r="H19" s="693" t="s">
        <v>29</v>
      </c>
      <c r="I19" s="693" t="s">
        <v>30</v>
      </c>
      <c r="J19" s="693" t="s">
        <v>33</v>
      </c>
      <c r="K19" s="693" t="s">
        <v>34</v>
      </c>
    </row>
    <row r="20" spans="1:11" ht="18" customHeight="1" x14ac:dyDescent="0.35">
      <c r="A20" s="691" t="s">
        <v>74</v>
      </c>
      <c r="B20" s="690" t="s">
        <v>41</v>
      </c>
      <c r="C20" s="327"/>
      <c r="D20" s="327"/>
      <c r="E20" s="327"/>
      <c r="F20" s="327"/>
      <c r="G20" s="327"/>
      <c r="H20" s="327"/>
      <c r="I20" s="327"/>
      <c r="J20" s="327"/>
      <c r="K20" s="327"/>
    </row>
    <row r="21" spans="1:11" ht="18" customHeight="1" x14ac:dyDescent="0.35">
      <c r="A21" s="741" t="s">
        <v>75</v>
      </c>
      <c r="B21" s="689" t="s">
        <v>42</v>
      </c>
      <c r="C21" s="327"/>
      <c r="D21" s="327"/>
      <c r="E21" s="327"/>
      <c r="F21" s="217">
        <v>4535.7800000000007</v>
      </c>
      <c r="G21" s="217">
        <v>471054.38</v>
      </c>
      <c r="H21" s="196">
        <v>480250.02799999999</v>
      </c>
      <c r="I21" s="196">
        <v>230568.03844280005</v>
      </c>
      <c r="J21" s="196">
        <v>2000</v>
      </c>
      <c r="K21" s="197">
        <f t="shared" ref="K21:K34" si="0">(H21+I21)-J21</f>
        <v>708818.06644279999</v>
      </c>
    </row>
    <row r="22" spans="1:11" ht="18" customHeight="1" x14ac:dyDescent="0.35">
      <c r="A22" s="741" t="s">
        <v>76</v>
      </c>
      <c r="B22" s="740" t="s">
        <v>6</v>
      </c>
      <c r="C22" s="327"/>
      <c r="D22" s="327"/>
      <c r="E22" s="327"/>
      <c r="F22" s="217">
        <v>979</v>
      </c>
      <c r="G22" s="217">
        <v>2850</v>
      </c>
      <c r="H22" s="196">
        <v>77831.399999999994</v>
      </c>
      <c r="I22" s="196">
        <v>37366.855139999992</v>
      </c>
      <c r="J22" s="196">
        <v>10000</v>
      </c>
      <c r="K22" s="197">
        <f t="shared" si="0"/>
        <v>105198.25513999999</v>
      </c>
    </row>
    <row r="23" spans="1:11" ht="18" customHeight="1" x14ac:dyDescent="0.35">
      <c r="A23" s="741" t="s">
        <v>77</v>
      </c>
      <c r="B23" s="740" t="s">
        <v>43</v>
      </c>
      <c r="C23" s="327"/>
      <c r="D23" s="327"/>
      <c r="E23" s="327"/>
      <c r="F23" s="217">
        <v>0</v>
      </c>
      <c r="G23" s="217">
        <v>0</v>
      </c>
      <c r="H23" s="196">
        <v>0</v>
      </c>
      <c r="I23" s="196">
        <v>0</v>
      </c>
      <c r="J23" s="196">
        <v>0</v>
      </c>
      <c r="K23" s="197">
        <f t="shared" si="0"/>
        <v>0</v>
      </c>
    </row>
    <row r="24" spans="1:11" ht="18" customHeight="1" x14ac:dyDescent="0.35">
      <c r="A24" s="741" t="s">
        <v>78</v>
      </c>
      <c r="B24" s="740" t="s">
        <v>44</v>
      </c>
      <c r="C24" s="327"/>
      <c r="D24" s="327"/>
      <c r="E24" s="327"/>
      <c r="F24" s="217">
        <v>5250</v>
      </c>
      <c r="G24" s="217">
        <v>1168</v>
      </c>
      <c r="H24" s="196">
        <v>477485.89600000001</v>
      </c>
      <c r="I24" s="196">
        <v>229240.97866960001</v>
      </c>
      <c r="J24" s="196">
        <v>55000</v>
      </c>
      <c r="K24" s="197">
        <f t="shared" si="0"/>
        <v>651726.87466960005</v>
      </c>
    </row>
    <row r="25" spans="1:11" ht="18" customHeight="1" x14ac:dyDescent="0.35">
      <c r="A25" s="741" t="s">
        <v>79</v>
      </c>
      <c r="B25" s="740" t="s">
        <v>5</v>
      </c>
      <c r="C25" s="327"/>
      <c r="D25" s="327"/>
      <c r="E25" s="327"/>
      <c r="F25" s="217">
        <v>46</v>
      </c>
      <c r="G25" s="217">
        <v>165</v>
      </c>
      <c r="H25" s="196">
        <v>7043.6719999999996</v>
      </c>
      <c r="I25" s="196">
        <v>3381.6669271999999</v>
      </c>
      <c r="J25" s="196">
        <v>0</v>
      </c>
      <c r="K25" s="197">
        <f t="shared" si="0"/>
        <v>10425.338927199999</v>
      </c>
    </row>
    <row r="26" spans="1:11" ht="18" customHeight="1" x14ac:dyDescent="0.35">
      <c r="A26" s="741" t="s">
        <v>80</v>
      </c>
      <c r="B26" s="740" t="s">
        <v>45</v>
      </c>
      <c r="C26" s="327"/>
      <c r="D26" s="327"/>
      <c r="E26" s="327"/>
      <c r="F26" s="217">
        <v>0</v>
      </c>
      <c r="G26" s="217">
        <v>0</v>
      </c>
      <c r="H26" s="196">
        <v>0</v>
      </c>
      <c r="I26" s="196">
        <v>0</v>
      </c>
      <c r="J26" s="196">
        <v>0</v>
      </c>
      <c r="K26" s="197">
        <f t="shared" si="0"/>
        <v>0</v>
      </c>
    </row>
    <row r="27" spans="1:11" ht="18" customHeight="1" x14ac:dyDescent="0.35">
      <c r="A27" s="741" t="s">
        <v>81</v>
      </c>
      <c r="B27" s="740" t="s">
        <v>46</v>
      </c>
      <c r="C27" s="327"/>
      <c r="D27" s="327"/>
      <c r="E27" s="327"/>
      <c r="F27" s="217">
        <v>0</v>
      </c>
      <c r="G27" s="217">
        <v>0</v>
      </c>
      <c r="H27" s="196">
        <v>1697996</v>
      </c>
      <c r="I27" s="196">
        <v>815207.87959999999</v>
      </c>
      <c r="J27" s="196">
        <v>0</v>
      </c>
      <c r="K27" s="197">
        <f t="shared" si="0"/>
        <v>2513203.8796000001</v>
      </c>
    </row>
    <row r="28" spans="1:11" ht="18" customHeight="1" x14ac:dyDescent="0.35">
      <c r="A28" s="741" t="s">
        <v>82</v>
      </c>
      <c r="B28" s="740" t="s">
        <v>47</v>
      </c>
      <c r="C28" s="327"/>
      <c r="D28" s="327"/>
      <c r="E28" s="327"/>
      <c r="F28" s="217">
        <v>18734</v>
      </c>
      <c r="G28" s="217">
        <v>3862</v>
      </c>
      <c r="H28" s="196">
        <v>772908.13599999994</v>
      </c>
      <c r="I28" s="196">
        <v>371073.19609360001</v>
      </c>
      <c r="J28" s="196">
        <v>1046194</v>
      </c>
      <c r="K28" s="197">
        <f t="shared" si="0"/>
        <v>97787.332093599951</v>
      </c>
    </row>
    <row r="29" spans="1:11" ht="18" customHeight="1" x14ac:dyDescent="0.35">
      <c r="A29" s="741" t="s">
        <v>83</v>
      </c>
      <c r="B29" s="740" t="s">
        <v>48</v>
      </c>
      <c r="C29" s="327"/>
      <c r="D29" s="327"/>
      <c r="E29" s="327"/>
      <c r="F29" s="217">
        <v>51078</v>
      </c>
      <c r="G29" s="217">
        <v>63424</v>
      </c>
      <c r="H29" s="196">
        <v>8734297.7719999999</v>
      </c>
      <c r="I29" s="196">
        <v>3652887.213683201</v>
      </c>
      <c r="J29" s="196">
        <v>442504</v>
      </c>
      <c r="K29" s="197">
        <f t="shared" si="0"/>
        <v>11944680.985683201</v>
      </c>
    </row>
    <row r="30" spans="1:11" ht="18" customHeight="1" x14ac:dyDescent="0.35">
      <c r="A30" s="741" t="s">
        <v>84</v>
      </c>
      <c r="B30" s="1418" t="s">
        <v>365</v>
      </c>
      <c r="C30" s="1419"/>
      <c r="D30" s="1420"/>
      <c r="E30" s="327"/>
      <c r="F30" s="217">
        <v>23997</v>
      </c>
      <c r="G30" s="217">
        <v>31158</v>
      </c>
      <c r="H30" s="196">
        <v>2527519.8572</v>
      </c>
      <c r="I30" s="196">
        <v>1199564.9630417193</v>
      </c>
      <c r="J30" s="196">
        <v>81033</v>
      </c>
      <c r="K30" s="197">
        <f t="shared" si="0"/>
        <v>3646051.8202417195</v>
      </c>
    </row>
    <row r="31" spans="1:11" ht="18" customHeight="1" x14ac:dyDescent="0.35">
      <c r="A31" s="741" t="s">
        <v>133</v>
      </c>
      <c r="B31" s="1418"/>
      <c r="C31" s="1419"/>
      <c r="D31" s="1420"/>
      <c r="E31" s="327"/>
      <c r="F31" s="217">
        <v>0</v>
      </c>
      <c r="G31" s="217">
        <v>0</v>
      </c>
      <c r="H31" s="196">
        <v>0</v>
      </c>
      <c r="I31" s="196">
        <v>0</v>
      </c>
      <c r="J31" s="196">
        <v>0</v>
      </c>
      <c r="K31" s="197">
        <f t="shared" si="0"/>
        <v>0</v>
      </c>
    </row>
    <row r="32" spans="1:11" ht="18" customHeight="1" x14ac:dyDescent="0.35">
      <c r="A32" s="741" t="s">
        <v>134</v>
      </c>
      <c r="B32" s="869"/>
      <c r="C32" s="870"/>
      <c r="D32" s="871"/>
      <c r="E32" s="327"/>
      <c r="F32" s="217">
        <v>0</v>
      </c>
      <c r="G32" s="217">
        <v>0</v>
      </c>
      <c r="H32" s="196">
        <v>0</v>
      </c>
      <c r="I32" s="196">
        <v>0</v>
      </c>
      <c r="J32" s="196">
        <v>0</v>
      </c>
      <c r="K32" s="197">
        <f t="shared" si="0"/>
        <v>0</v>
      </c>
    </row>
    <row r="33" spans="1:11" ht="18" customHeight="1" x14ac:dyDescent="0.35">
      <c r="A33" s="741" t="s">
        <v>135</v>
      </c>
      <c r="B33" s="869"/>
      <c r="C33" s="870"/>
      <c r="D33" s="871"/>
      <c r="E33" s="327"/>
      <c r="F33" s="217">
        <v>0</v>
      </c>
      <c r="G33" s="217">
        <v>0</v>
      </c>
      <c r="H33" s="196">
        <v>0</v>
      </c>
      <c r="I33" s="196">
        <v>0</v>
      </c>
      <c r="J33" s="196">
        <v>0</v>
      </c>
      <c r="K33" s="197">
        <f t="shared" si="0"/>
        <v>0</v>
      </c>
    </row>
    <row r="34" spans="1:11" ht="18" customHeight="1" x14ac:dyDescent="0.35">
      <c r="A34" s="741" t="s">
        <v>136</v>
      </c>
      <c r="B34" s="1418"/>
      <c r="C34" s="1419"/>
      <c r="D34" s="1420"/>
      <c r="E34" s="327"/>
      <c r="F34" s="217">
        <v>0</v>
      </c>
      <c r="G34" s="217">
        <v>0</v>
      </c>
      <c r="H34" s="196">
        <v>0</v>
      </c>
      <c r="I34" s="196">
        <v>0</v>
      </c>
      <c r="J34" s="196">
        <v>0</v>
      </c>
      <c r="K34" s="197">
        <f t="shared" si="0"/>
        <v>0</v>
      </c>
    </row>
    <row r="35" spans="1:11" ht="18" customHeight="1" x14ac:dyDescent="0.35">
      <c r="A35" s="327"/>
      <c r="B35" s="327"/>
      <c r="C35" s="327"/>
      <c r="D35" s="327"/>
      <c r="E35" s="327"/>
      <c r="F35" s="327"/>
      <c r="G35" s="327"/>
      <c r="H35" s="327"/>
      <c r="I35" s="327"/>
      <c r="J35" s="327"/>
      <c r="K35" s="198"/>
    </row>
    <row r="36" spans="1:11" ht="18" customHeight="1" x14ac:dyDescent="0.35">
      <c r="A36" s="691" t="s">
        <v>137</v>
      </c>
      <c r="B36" s="690" t="s">
        <v>138</v>
      </c>
      <c r="C36" s="327"/>
      <c r="D36" s="327"/>
      <c r="E36" s="690" t="s">
        <v>7</v>
      </c>
      <c r="F36" s="223">
        <f t="shared" ref="F36:K36" si="1">SUM(F21:F34)</f>
        <v>104619.78</v>
      </c>
      <c r="G36" s="223">
        <f t="shared" si="1"/>
        <v>573681.38</v>
      </c>
      <c r="H36" s="197">
        <f t="shared" si="1"/>
        <v>14775332.7612</v>
      </c>
      <c r="I36" s="197">
        <f t="shared" si="1"/>
        <v>6539290.7915981198</v>
      </c>
      <c r="J36" s="197">
        <f t="shared" si="1"/>
        <v>1636731</v>
      </c>
      <c r="K36" s="197">
        <f t="shared" si="1"/>
        <v>19677892.552798122</v>
      </c>
    </row>
    <row r="37" spans="1:11" ht="18" customHeight="1" thickBot="1" x14ac:dyDescent="0.4">
      <c r="A37" s="327"/>
      <c r="B37" s="690"/>
      <c r="C37" s="327"/>
      <c r="D37" s="327"/>
      <c r="E37" s="327"/>
      <c r="F37" s="224"/>
      <c r="G37" s="224"/>
      <c r="H37" s="199"/>
      <c r="I37" s="199"/>
      <c r="J37" s="199"/>
      <c r="K37" s="200"/>
    </row>
    <row r="38" spans="1:11" ht="42.75" customHeight="1" x14ac:dyDescent="0.35">
      <c r="A38" s="327"/>
      <c r="B38" s="327"/>
      <c r="C38" s="327"/>
      <c r="D38" s="327"/>
      <c r="E38" s="327"/>
      <c r="F38" s="693" t="s">
        <v>9</v>
      </c>
      <c r="G38" s="693" t="s">
        <v>37</v>
      </c>
      <c r="H38" s="693" t="s">
        <v>29</v>
      </c>
      <c r="I38" s="693" t="s">
        <v>30</v>
      </c>
      <c r="J38" s="693" t="s">
        <v>33</v>
      </c>
      <c r="K38" s="693" t="s">
        <v>34</v>
      </c>
    </row>
    <row r="39" spans="1:11" ht="18.75" customHeight="1" x14ac:dyDescent="0.35">
      <c r="A39" s="691" t="s">
        <v>86</v>
      </c>
      <c r="B39" s="690" t="s">
        <v>49</v>
      </c>
      <c r="C39" s="327"/>
      <c r="D39" s="327"/>
      <c r="E39" s="327"/>
      <c r="F39" s="327"/>
      <c r="G39" s="327"/>
      <c r="H39" s="327"/>
      <c r="I39" s="327"/>
      <c r="J39" s="327"/>
      <c r="K39" s="327"/>
    </row>
    <row r="40" spans="1:11" ht="18" customHeight="1" x14ac:dyDescent="0.35">
      <c r="A40" s="741" t="s">
        <v>87</v>
      </c>
      <c r="B40" s="740" t="s">
        <v>31</v>
      </c>
      <c r="C40" s="327"/>
      <c r="D40" s="327"/>
      <c r="E40" s="327"/>
      <c r="F40" s="217">
        <v>0</v>
      </c>
      <c r="G40" s="217">
        <v>0</v>
      </c>
      <c r="H40" s="196">
        <v>115867600</v>
      </c>
      <c r="I40" s="196">
        <v>0</v>
      </c>
      <c r="J40" s="196">
        <v>0</v>
      </c>
      <c r="K40" s="197">
        <f t="shared" ref="K40:K47" si="2">(H40+I40)-J40</f>
        <v>115867600</v>
      </c>
    </row>
    <row r="41" spans="1:11" ht="18" customHeight="1" x14ac:dyDescent="0.35">
      <c r="A41" s="741" t="s">
        <v>88</v>
      </c>
      <c r="B41" s="1425" t="s">
        <v>50</v>
      </c>
      <c r="C41" s="1425"/>
      <c r="D41" s="327"/>
      <c r="E41" s="327"/>
      <c r="F41" s="217">
        <v>50923</v>
      </c>
      <c r="G41" s="217">
        <v>386</v>
      </c>
      <c r="H41" s="196">
        <v>2862698</v>
      </c>
      <c r="I41" s="196">
        <v>0</v>
      </c>
      <c r="J41" s="196">
        <v>0</v>
      </c>
      <c r="K41" s="197">
        <f t="shared" si="2"/>
        <v>2862698</v>
      </c>
    </row>
    <row r="42" spans="1:11" ht="18" customHeight="1" x14ac:dyDescent="0.35">
      <c r="A42" s="741" t="s">
        <v>89</v>
      </c>
      <c r="B42" s="689" t="s">
        <v>11</v>
      </c>
      <c r="C42" s="327"/>
      <c r="D42" s="327"/>
      <c r="E42" s="327"/>
      <c r="F42" s="217">
        <v>94734.399999999994</v>
      </c>
      <c r="G42" s="217">
        <v>868</v>
      </c>
      <c r="H42" s="196">
        <v>3891815.3840000001</v>
      </c>
      <c r="I42" s="196">
        <v>0</v>
      </c>
      <c r="J42" s="196">
        <v>0</v>
      </c>
      <c r="K42" s="197">
        <f t="shared" si="2"/>
        <v>3891815.3840000001</v>
      </c>
    </row>
    <row r="43" spans="1:11" ht="18" customHeight="1" x14ac:dyDescent="0.35">
      <c r="A43" s="741" t="s">
        <v>90</v>
      </c>
      <c r="B43" s="716" t="s">
        <v>10</v>
      </c>
      <c r="C43" s="694"/>
      <c r="D43" s="694"/>
      <c r="E43" s="327"/>
      <c r="F43" s="217">
        <v>28</v>
      </c>
      <c r="G43" s="217">
        <v>10</v>
      </c>
      <c r="H43" s="196">
        <v>2306174.04</v>
      </c>
      <c r="I43" s="196">
        <v>0</v>
      </c>
      <c r="J43" s="196">
        <v>0</v>
      </c>
      <c r="K43" s="197">
        <f t="shared" si="2"/>
        <v>2306174.04</v>
      </c>
    </row>
    <row r="44" spans="1:11" ht="18" customHeight="1" x14ac:dyDescent="0.35">
      <c r="A44" s="741" t="s">
        <v>91</v>
      </c>
      <c r="B44" s="1418" t="s">
        <v>366</v>
      </c>
      <c r="C44" s="1419"/>
      <c r="D44" s="1420"/>
      <c r="E44" s="327"/>
      <c r="F44" s="217">
        <v>56233</v>
      </c>
      <c r="G44" s="217">
        <v>784</v>
      </c>
      <c r="H44" s="196">
        <v>2398905.9440000001</v>
      </c>
      <c r="I44" s="196">
        <v>0</v>
      </c>
      <c r="J44" s="196">
        <v>27300</v>
      </c>
      <c r="K44" s="201">
        <f t="shared" si="2"/>
        <v>2371605.9440000001</v>
      </c>
    </row>
    <row r="45" spans="1:11" ht="18" customHeight="1" x14ac:dyDescent="0.35">
      <c r="A45" s="741" t="s">
        <v>139</v>
      </c>
      <c r="B45" s="1418"/>
      <c r="C45" s="1419"/>
      <c r="D45" s="1420"/>
      <c r="E45" s="327"/>
      <c r="F45" s="217">
        <v>0</v>
      </c>
      <c r="G45" s="217">
        <v>0</v>
      </c>
      <c r="H45" s="196">
        <v>0</v>
      </c>
      <c r="I45" s="196">
        <v>0</v>
      </c>
      <c r="J45" s="196">
        <v>0</v>
      </c>
      <c r="K45" s="197">
        <f t="shared" si="2"/>
        <v>0</v>
      </c>
    </row>
    <row r="46" spans="1:11" ht="18" customHeight="1" x14ac:dyDescent="0.35">
      <c r="A46" s="741" t="s">
        <v>140</v>
      </c>
      <c r="B46" s="1418"/>
      <c r="C46" s="1419"/>
      <c r="D46" s="1420"/>
      <c r="E46" s="327"/>
      <c r="F46" s="217">
        <v>0</v>
      </c>
      <c r="G46" s="217">
        <v>0</v>
      </c>
      <c r="H46" s="196">
        <v>0</v>
      </c>
      <c r="I46" s="196">
        <v>0</v>
      </c>
      <c r="J46" s="196">
        <v>0</v>
      </c>
      <c r="K46" s="197">
        <f t="shared" si="2"/>
        <v>0</v>
      </c>
    </row>
    <row r="47" spans="1:11" ht="18" customHeight="1" x14ac:dyDescent="0.35">
      <c r="A47" s="741" t="s">
        <v>141</v>
      </c>
      <c r="B47" s="1418"/>
      <c r="C47" s="1419"/>
      <c r="D47" s="1420"/>
      <c r="E47" s="327"/>
      <c r="F47" s="217">
        <v>0</v>
      </c>
      <c r="G47" s="217">
        <v>0</v>
      </c>
      <c r="H47" s="196">
        <v>0</v>
      </c>
      <c r="I47" s="196">
        <v>0</v>
      </c>
      <c r="J47" s="196">
        <v>0</v>
      </c>
      <c r="K47" s="197">
        <f t="shared" si="2"/>
        <v>0</v>
      </c>
    </row>
    <row r="49" spans="1:11" ht="18" customHeight="1" x14ac:dyDescent="0.35">
      <c r="A49" s="691" t="s">
        <v>142</v>
      </c>
      <c r="B49" s="690" t="s">
        <v>143</v>
      </c>
      <c r="C49" s="327"/>
      <c r="D49" s="327"/>
      <c r="E49" s="690" t="s">
        <v>7</v>
      </c>
      <c r="F49" s="223">
        <f t="shared" ref="F49:K49" si="3">SUM(F40:F47)</f>
        <v>201918.4</v>
      </c>
      <c r="G49" s="223">
        <f t="shared" si="3"/>
        <v>2048</v>
      </c>
      <c r="H49" s="197">
        <f t="shared" si="3"/>
        <v>127327193.36800002</v>
      </c>
      <c r="I49" s="197">
        <f t="shared" si="3"/>
        <v>0</v>
      </c>
      <c r="J49" s="197">
        <f t="shared" si="3"/>
        <v>27300</v>
      </c>
      <c r="K49" s="197">
        <f t="shared" si="3"/>
        <v>127299893.36800002</v>
      </c>
    </row>
    <row r="50" spans="1:11" ht="18" customHeight="1" thickBot="1" x14ac:dyDescent="0.4">
      <c r="A50" s="327"/>
      <c r="B50" s="327"/>
      <c r="C50" s="327"/>
      <c r="D50" s="327"/>
      <c r="E50" s="327"/>
      <c r="F50" s="327"/>
      <c r="G50" s="229"/>
      <c r="H50" s="229"/>
      <c r="I50" s="229"/>
      <c r="J50" s="229"/>
      <c r="K50" s="229"/>
    </row>
    <row r="51" spans="1:11" ht="42.75" customHeight="1" x14ac:dyDescent="0.35">
      <c r="A51" s="327"/>
      <c r="B51" s="327"/>
      <c r="C51" s="327"/>
      <c r="D51" s="327"/>
      <c r="E51" s="327"/>
      <c r="F51" s="693" t="s">
        <v>9</v>
      </c>
      <c r="G51" s="693" t="s">
        <v>37</v>
      </c>
      <c r="H51" s="693" t="s">
        <v>29</v>
      </c>
      <c r="I51" s="693" t="s">
        <v>30</v>
      </c>
      <c r="J51" s="693" t="s">
        <v>33</v>
      </c>
      <c r="K51" s="693" t="s">
        <v>34</v>
      </c>
    </row>
    <row r="52" spans="1:11" ht="18" customHeight="1" x14ac:dyDescent="0.35">
      <c r="A52" s="691" t="s">
        <v>92</v>
      </c>
      <c r="B52" s="1439" t="s">
        <v>38</v>
      </c>
      <c r="C52" s="1439"/>
      <c r="D52" s="327"/>
      <c r="E52" s="327"/>
      <c r="F52" s="327"/>
      <c r="G52" s="327"/>
      <c r="H52" s="327"/>
      <c r="I52" s="327"/>
      <c r="J52" s="327"/>
      <c r="K52" s="327"/>
    </row>
    <row r="53" spans="1:11" ht="18" customHeight="1" x14ac:dyDescent="0.35">
      <c r="A53" s="741" t="s">
        <v>51</v>
      </c>
      <c r="B53" s="1421" t="s">
        <v>605</v>
      </c>
      <c r="C53" s="1422"/>
      <c r="D53" s="1423"/>
      <c r="E53" s="327"/>
      <c r="F53" s="217">
        <v>0</v>
      </c>
      <c r="G53" s="217">
        <v>0</v>
      </c>
      <c r="H53" s="196">
        <v>2344005.0163414646</v>
      </c>
      <c r="I53" s="196">
        <v>0</v>
      </c>
      <c r="J53" s="196">
        <v>0</v>
      </c>
      <c r="K53" s="197">
        <f t="shared" ref="K53:K62" si="4">(H53+I53)-J53</f>
        <v>2344005.0163414646</v>
      </c>
    </row>
    <row r="54" spans="1:11" ht="18" customHeight="1" x14ac:dyDescent="0.35">
      <c r="A54" s="741" t="s">
        <v>93</v>
      </c>
      <c r="B54" s="1421" t="s">
        <v>367</v>
      </c>
      <c r="C54" s="1422"/>
      <c r="D54" s="1423"/>
      <c r="E54" s="327"/>
      <c r="F54" s="217">
        <v>4054</v>
      </c>
      <c r="G54" s="217">
        <v>1449</v>
      </c>
      <c r="H54" s="196">
        <v>262325.77600000001</v>
      </c>
      <c r="I54" s="196">
        <v>41945.8915824</v>
      </c>
      <c r="J54" s="196">
        <v>137217</v>
      </c>
      <c r="K54" s="197">
        <f t="shared" si="4"/>
        <v>167054.66758240003</v>
      </c>
    </row>
    <row r="55" spans="1:11" ht="18" customHeight="1" x14ac:dyDescent="0.35">
      <c r="A55" s="741" t="s">
        <v>94</v>
      </c>
      <c r="B55" s="1421" t="s">
        <v>368</v>
      </c>
      <c r="C55" s="1422"/>
      <c r="D55" s="1423"/>
      <c r="E55" s="327"/>
      <c r="F55" s="217">
        <v>6104</v>
      </c>
      <c r="G55" s="217">
        <v>3674</v>
      </c>
      <c r="H55" s="196">
        <v>300426.22399999999</v>
      </c>
      <c r="I55" s="196">
        <v>48038.153217599996</v>
      </c>
      <c r="J55" s="196">
        <v>241560</v>
      </c>
      <c r="K55" s="197">
        <f t="shared" si="4"/>
        <v>106904.37721760001</v>
      </c>
    </row>
    <row r="56" spans="1:11" ht="18" customHeight="1" x14ac:dyDescent="0.35">
      <c r="A56" s="741" t="s">
        <v>95</v>
      </c>
      <c r="B56" s="1421" t="s">
        <v>606</v>
      </c>
      <c r="C56" s="1422"/>
      <c r="D56" s="1423"/>
      <c r="E56" s="327"/>
      <c r="F56" s="217">
        <v>0</v>
      </c>
      <c r="G56" s="217">
        <v>0</v>
      </c>
      <c r="H56" s="196">
        <v>660535.46797324927</v>
      </c>
      <c r="I56" s="196">
        <v>0</v>
      </c>
      <c r="J56" s="196">
        <v>0</v>
      </c>
      <c r="K56" s="197">
        <f t="shared" si="4"/>
        <v>660535.46797324927</v>
      </c>
    </row>
    <row r="57" spans="1:11" ht="18" customHeight="1" x14ac:dyDescent="0.35">
      <c r="A57" s="741" t="s">
        <v>96</v>
      </c>
      <c r="B57" s="1421" t="s">
        <v>731</v>
      </c>
      <c r="C57" s="1422"/>
      <c r="D57" s="1423"/>
      <c r="E57" s="327"/>
      <c r="F57" s="217">
        <v>0</v>
      </c>
      <c r="G57" s="217">
        <v>0</v>
      </c>
      <c r="H57" s="196">
        <v>8155794.9575800495</v>
      </c>
      <c r="I57" s="196">
        <v>0</v>
      </c>
      <c r="J57" s="196">
        <v>0</v>
      </c>
      <c r="K57" s="197">
        <f t="shared" si="4"/>
        <v>8155794.9575800495</v>
      </c>
    </row>
    <row r="58" spans="1:11" ht="18" customHeight="1" x14ac:dyDescent="0.35">
      <c r="A58" s="741" t="s">
        <v>97</v>
      </c>
      <c r="B58" s="1440" t="s">
        <v>369</v>
      </c>
      <c r="C58" s="1441"/>
      <c r="D58" s="1442"/>
      <c r="E58" s="327"/>
      <c r="F58" s="217">
        <v>37</v>
      </c>
      <c r="G58" s="217">
        <v>719</v>
      </c>
      <c r="H58" s="196">
        <v>91355.615999999995</v>
      </c>
      <c r="I58" s="196">
        <v>14607.762998399998</v>
      </c>
      <c r="J58" s="196">
        <v>10465</v>
      </c>
      <c r="K58" s="197">
        <f t="shared" si="4"/>
        <v>95498.378998399989</v>
      </c>
    </row>
    <row r="59" spans="1:11" ht="18" customHeight="1" x14ac:dyDescent="0.35">
      <c r="A59" s="741" t="s">
        <v>98</v>
      </c>
      <c r="B59" s="1421" t="s">
        <v>370</v>
      </c>
      <c r="C59" s="1422"/>
      <c r="D59" s="1423"/>
      <c r="E59" s="327"/>
      <c r="F59" s="217">
        <v>0</v>
      </c>
      <c r="G59" s="217">
        <v>671</v>
      </c>
      <c r="H59" s="196">
        <v>208791</v>
      </c>
      <c r="I59" s="196">
        <v>33385.680899999999</v>
      </c>
      <c r="J59" s="196">
        <v>0</v>
      </c>
      <c r="K59" s="197">
        <f t="shared" si="4"/>
        <v>242176.68090000001</v>
      </c>
    </row>
    <row r="60" spans="1:11" ht="18" customHeight="1" x14ac:dyDescent="0.35">
      <c r="A60" s="741" t="s">
        <v>99</v>
      </c>
      <c r="B60" s="1440" t="s">
        <v>371</v>
      </c>
      <c r="C60" s="1441"/>
      <c r="D60" s="1442"/>
      <c r="E60" s="327"/>
      <c r="F60" s="217">
        <v>0</v>
      </c>
      <c r="G60" s="217">
        <v>14053</v>
      </c>
      <c r="H60" s="196">
        <v>553086</v>
      </c>
      <c r="I60" s="196">
        <v>88438.451399999991</v>
      </c>
      <c r="J60" s="196">
        <v>0</v>
      </c>
      <c r="K60" s="197">
        <f t="shared" si="4"/>
        <v>641524.45140000002</v>
      </c>
    </row>
    <row r="61" spans="1:11" ht="18" customHeight="1" x14ac:dyDescent="0.35">
      <c r="A61" s="741" t="s">
        <v>100</v>
      </c>
      <c r="B61" s="1421" t="s">
        <v>372</v>
      </c>
      <c r="C61" s="1422"/>
      <c r="D61" s="1423"/>
      <c r="E61" s="327"/>
      <c r="F61" s="217">
        <v>0</v>
      </c>
      <c r="G61" s="217">
        <v>443</v>
      </c>
      <c r="H61" s="196">
        <v>41278</v>
      </c>
      <c r="I61" s="196">
        <v>6600.3521999999994</v>
      </c>
      <c r="J61" s="196">
        <v>3200</v>
      </c>
      <c r="K61" s="197">
        <f t="shared" si="4"/>
        <v>44678.352200000001</v>
      </c>
    </row>
    <row r="62" spans="1:11" ht="18" customHeight="1" x14ac:dyDescent="0.35">
      <c r="A62" s="741" t="s">
        <v>101</v>
      </c>
      <c r="B62" s="1421" t="s">
        <v>373</v>
      </c>
      <c r="C62" s="1422"/>
      <c r="D62" s="1423"/>
      <c r="E62" s="327"/>
      <c r="F62" s="217">
        <v>2176</v>
      </c>
      <c r="G62" s="217">
        <v>936</v>
      </c>
      <c r="H62" s="196">
        <v>10782642.748919023</v>
      </c>
      <c r="I62" s="196">
        <v>24428.740408799997</v>
      </c>
      <c r="J62" s="196">
        <v>473013</v>
      </c>
      <c r="K62" s="197">
        <f t="shared" si="4"/>
        <v>10334058.489327824</v>
      </c>
    </row>
    <row r="63" spans="1:11" ht="18" customHeight="1" x14ac:dyDescent="0.35">
      <c r="A63" s="741"/>
      <c r="B63" s="327"/>
      <c r="C63" s="327"/>
      <c r="D63" s="327"/>
      <c r="E63" s="327"/>
      <c r="F63" s="327"/>
      <c r="G63" s="327"/>
      <c r="H63" s="327"/>
      <c r="I63" s="202"/>
      <c r="J63" s="327"/>
      <c r="K63" s="327"/>
    </row>
    <row r="64" spans="1:11" ht="18" customHeight="1" x14ac:dyDescent="0.35">
      <c r="A64" s="741" t="s">
        <v>144</v>
      </c>
      <c r="B64" s="690" t="s">
        <v>145</v>
      </c>
      <c r="C64" s="327"/>
      <c r="D64" s="327"/>
      <c r="E64" s="690" t="s">
        <v>7</v>
      </c>
      <c r="F64" s="223">
        <f t="shared" ref="F64:K64" si="5">SUM(F53:F62)</f>
        <v>12371</v>
      </c>
      <c r="G64" s="223">
        <f t="shared" si="5"/>
        <v>21945</v>
      </c>
      <c r="H64" s="197">
        <f t="shared" si="5"/>
        <v>23400240.806813784</v>
      </c>
      <c r="I64" s="197">
        <f t="shared" si="5"/>
        <v>257445.03270719998</v>
      </c>
      <c r="J64" s="197">
        <f t="shared" si="5"/>
        <v>865455</v>
      </c>
      <c r="K64" s="197">
        <f t="shared" si="5"/>
        <v>22792230.839520991</v>
      </c>
    </row>
    <row r="65" spans="1:11" ht="18" customHeight="1" x14ac:dyDescent="0.35">
      <c r="A65" s="327"/>
      <c r="B65" s="327"/>
      <c r="C65" s="327"/>
      <c r="D65" s="327"/>
      <c r="E65" s="327"/>
      <c r="F65" s="232"/>
      <c r="G65" s="232"/>
      <c r="H65" s="232"/>
      <c r="I65" s="232"/>
      <c r="J65" s="232"/>
      <c r="K65" s="232"/>
    </row>
    <row r="66" spans="1:11" ht="42.75" customHeight="1" x14ac:dyDescent="0.35">
      <c r="A66" s="327"/>
      <c r="B66" s="327"/>
      <c r="C66" s="327"/>
      <c r="D66" s="327"/>
      <c r="E66" s="327"/>
      <c r="F66" s="722" t="s">
        <v>9</v>
      </c>
      <c r="G66" s="722" t="s">
        <v>37</v>
      </c>
      <c r="H66" s="722" t="s">
        <v>29</v>
      </c>
      <c r="I66" s="722" t="s">
        <v>30</v>
      </c>
      <c r="J66" s="722" t="s">
        <v>33</v>
      </c>
      <c r="K66" s="722" t="s">
        <v>34</v>
      </c>
    </row>
    <row r="67" spans="1:11" ht="18" customHeight="1" x14ac:dyDescent="0.35">
      <c r="A67" s="691" t="s">
        <v>102</v>
      </c>
      <c r="B67" s="690" t="s">
        <v>12</v>
      </c>
      <c r="C67" s="327"/>
      <c r="D67" s="327"/>
      <c r="E67" s="327"/>
      <c r="F67" s="723"/>
      <c r="G67" s="723"/>
      <c r="H67" s="723"/>
      <c r="I67" s="724"/>
      <c r="J67" s="723"/>
      <c r="K67" s="725"/>
    </row>
    <row r="68" spans="1:11" ht="18" customHeight="1" x14ac:dyDescent="0.35">
      <c r="A68" s="741" t="s">
        <v>103</v>
      </c>
      <c r="B68" s="740" t="s">
        <v>52</v>
      </c>
      <c r="C68" s="327"/>
      <c r="D68" s="327"/>
      <c r="E68" s="327"/>
      <c r="F68" s="217">
        <v>0</v>
      </c>
      <c r="G68" s="217">
        <v>0</v>
      </c>
      <c r="H68" s="196">
        <v>0</v>
      </c>
      <c r="I68" s="196">
        <v>0</v>
      </c>
      <c r="J68" s="196">
        <v>0</v>
      </c>
      <c r="K68" s="197">
        <f>(H68+I68)-J68</f>
        <v>0</v>
      </c>
    </row>
    <row r="69" spans="1:11" ht="18" customHeight="1" x14ac:dyDescent="0.35">
      <c r="A69" s="741" t="s">
        <v>104</v>
      </c>
      <c r="B69" s="689" t="s">
        <v>53</v>
      </c>
      <c r="C69" s="327"/>
      <c r="D69" s="327"/>
      <c r="E69" s="327"/>
      <c r="F69" s="217">
        <v>0</v>
      </c>
      <c r="G69" s="217">
        <v>0</v>
      </c>
      <c r="H69" s="196">
        <v>75000</v>
      </c>
      <c r="I69" s="196">
        <v>0</v>
      </c>
      <c r="J69" s="196">
        <v>0</v>
      </c>
      <c r="K69" s="197">
        <f>(H69+I69)-J69</f>
        <v>75000</v>
      </c>
    </row>
    <row r="70" spans="1:11" ht="18" customHeight="1" x14ac:dyDescent="0.3">
      <c r="A70" s="741" t="s">
        <v>178</v>
      </c>
      <c r="B70" s="872" t="s">
        <v>359</v>
      </c>
      <c r="C70" s="873"/>
      <c r="D70" s="874"/>
      <c r="E70" s="690"/>
      <c r="F70" s="217">
        <v>16961</v>
      </c>
      <c r="G70" s="217">
        <v>0</v>
      </c>
      <c r="H70" s="196">
        <v>816219.28799999994</v>
      </c>
      <c r="I70" s="196">
        <v>0</v>
      </c>
      <c r="J70" s="196">
        <v>0</v>
      </c>
      <c r="K70" s="197">
        <f>(H70+I70)-J70</f>
        <v>816219.28799999994</v>
      </c>
    </row>
    <row r="71" spans="1:11" ht="18" customHeight="1" x14ac:dyDescent="0.3">
      <c r="A71" s="741" t="s">
        <v>179</v>
      </c>
      <c r="B71" s="872"/>
      <c r="C71" s="873"/>
      <c r="D71" s="874"/>
      <c r="E71" s="690"/>
      <c r="F71" s="217">
        <v>0</v>
      </c>
      <c r="G71" s="217">
        <v>0</v>
      </c>
      <c r="H71" s="196">
        <v>0</v>
      </c>
      <c r="I71" s="196">
        <v>0</v>
      </c>
      <c r="J71" s="196">
        <v>0</v>
      </c>
      <c r="K71" s="197">
        <f>(H71+I71)-J71</f>
        <v>0</v>
      </c>
    </row>
    <row r="72" spans="1:11" ht="18" customHeight="1" x14ac:dyDescent="0.3">
      <c r="A72" s="741" t="s">
        <v>180</v>
      </c>
      <c r="B72" s="875"/>
      <c r="C72" s="876"/>
      <c r="D72" s="240"/>
      <c r="E72" s="690"/>
      <c r="F72" s="217">
        <v>0</v>
      </c>
      <c r="G72" s="217">
        <v>0</v>
      </c>
      <c r="H72" s="196">
        <v>0</v>
      </c>
      <c r="I72" s="196">
        <v>0</v>
      </c>
      <c r="J72" s="196">
        <v>0</v>
      </c>
      <c r="K72" s="197">
        <f>(H72+I72)-J72</f>
        <v>0</v>
      </c>
    </row>
    <row r="73" spans="1:11" ht="18" customHeight="1" x14ac:dyDescent="0.35">
      <c r="A73" s="741"/>
      <c r="B73" s="689"/>
      <c r="C73" s="327"/>
      <c r="D73" s="327"/>
      <c r="E73" s="690"/>
      <c r="F73" s="726"/>
      <c r="G73" s="726"/>
      <c r="H73" s="727"/>
      <c r="I73" s="724"/>
      <c r="J73" s="727"/>
      <c r="K73" s="725"/>
    </row>
    <row r="74" spans="1:11" ht="18" customHeight="1" x14ac:dyDescent="0.35">
      <c r="A74" s="691" t="s">
        <v>146</v>
      </c>
      <c r="B74" s="690" t="s">
        <v>147</v>
      </c>
      <c r="C74" s="327"/>
      <c r="D74" s="327"/>
      <c r="E74" s="690" t="s">
        <v>7</v>
      </c>
      <c r="F74" s="242">
        <f t="shared" ref="F74:K74" si="6">SUM(F68:F72)</f>
        <v>16961</v>
      </c>
      <c r="G74" s="242">
        <f t="shared" si="6"/>
        <v>0</v>
      </c>
      <c r="H74" s="203">
        <f t="shared" si="6"/>
        <v>891219.28799999994</v>
      </c>
      <c r="I74" s="204">
        <f t="shared" si="6"/>
        <v>0</v>
      </c>
      <c r="J74" s="242">
        <f t="shared" si="6"/>
        <v>0</v>
      </c>
      <c r="K74" s="203">
        <f t="shared" si="6"/>
        <v>891219.28799999994</v>
      </c>
    </row>
    <row r="75" spans="1:11" ht="42.75" customHeight="1" x14ac:dyDescent="0.35">
      <c r="A75" s="327"/>
      <c r="B75" s="327"/>
      <c r="C75" s="327"/>
      <c r="D75" s="327"/>
      <c r="E75" s="327"/>
      <c r="F75" s="693" t="s">
        <v>9</v>
      </c>
      <c r="G75" s="693" t="s">
        <v>37</v>
      </c>
      <c r="H75" s="693" t="s">
        <v>29</v>
      </c>
      <c r="I75" s="693" t="s">
        <v>30</v>
      </c>
      <c r="J75" s="693" t="s">
        <v>33</v>
      </c>
      <c r="K75" s="693" t="s">
        <v>34</v>
      </c>
    </row>
    <row r="76" spans="1:11" ht="18" customHeight="1" x14ac:dyDescent="0.35">
      <c r="A76" s="691" t="s">
        <v>105</v>
      </c>
      <c r="B76" s="690" t="s">
        <v>106</v>
      </c>
      <c r="C76" s="327"/>
      <c r="D76" s="327"/>
      <c r="E76" s="327"/>
      <c r="F76" s="327"/>
      <c r="G76" s="327"/>
      <c r="H76" s="327"/>
      <c r="I76" s="327"/>
      <c r="J76" s="327"/>
      <c r="K76" s="327"/>
    </row>
    <row r="77" spans="1:11" ht="18" customHeight="1" x14ac:dyDescent="0.35">
      <c r="A77" s="741" t="s">
        <v>107</v>
      </c>
      <c r="B77" s="689" t="s">
        <v>54</v>
      </c>
      <c r="C77" s="327"/>
      <c r="D77" s="327"/>
      <c r="E77" s="327"/>
      <c r="F77" s="217">
        <v>24</v>
      </c>
      <c r="G77" s="217">
        <v>1124</v>
      </c>
      <c r="H77" s="196">
        <v>1503552.7349999999</v>
      </c>
      <c r="I77" s="196">
        <v>0</v>
      </c>
      <c r="J77" s="196">
        <v>64398</v>
      </c>
      <c r="K77" s="197">
        <f>(H77+I77)-J77</f>
        <v>1439154.7349999999</v>
      </c>
    </row>
    <row r="78" spans="1:11" ht="18" customHeight="1" x14ac:dyDescent="0.35">
      <c r="A78" s="741" t="s">
        <v>108</v>
      </c>
      <c r="B78" s="689" t="s">
        <v>55</v>
      </c>
      <c r="C78" s="327"/>
      <c r="D78" s="327"/>
      <c r="E78" s="327"/>
      <c r="F78" s="217">
        <v>0</v>
      </c>
      <c r="G78" s="217">
        <v>0</v>
      </c>
      <c r="H78" s="196">
        <v>0</v>
      </c>
      <c r="I78" s="196">
        <v>0</v>
      </c>
      <c r="J78" s="196">
        <v>0</v>
      </c>
      <c r="K78" s="197">
        <f>(H78+I78)-J78</f>
        <v>0</v>
      </c>
    </row>
    <row r="79" spans="1:11" ht="18" customHeight="1" x14ac:dyDescent="0.35">
      <c r="A79" s="741" t="s">
        <v>109</v>
      </c>
      <c r="B79" s="689" t="s">
        <v>13</v>
      </c>
      <c r="C79" s="327"/>
      <c r="D79" s="327"/>
      <c r="E79" s="327"/>
      <c r="F79" s="217">
        <v>1662</v>
      </c>
      <c r="G79" s="217">
        <v>2303</v>
      </c>
      <c r="H79" s="196">
        <v>206333.78400000001</v>
      </c>
      <c r="I79" s="196">
        <v>0</v>
      </c>
      <c r="J79" s="196">
        <v>0</v>
      </c>
      <c r="K79" s="197">
        <f>(H79+I79)-J79</f>
        <v>206333.78400000001</v>
      </c>
    </row>
    <row r="80" spans="1:11" ht="18" customHeight="1" x14ac:dyDescent="0.35">
      <c r="A80" s="741" t="s">
        <v>110</v>
      </c>
      <c r="B80" s="689" t="s">
        <v>56</v>
      </c>
      <c r="C80" s="327"/>
      <c r="D80" s="327"/>
      <c r="E80" s="327"/>
      <c r="F80" s="217">
        <v>42</v>
      </c>
      <c r="G80" s="217">
        <v>14</v>
      </c>
      <c r="H80" s="196">
        <v>2315.9760000000001</v>
      </c>
      <c r="I80" s="196">
        <v>938.73591760000011</v>
      </c>
      <c r="J80" s="196">
        <v>0</v>
      </c>
      <c r="K80" s="197">
        <f>(H80+I80)-J80</f>
        <v>3254.7119176000001</v>
      </c>
    </row>
    <row r="81" spans="1:11" ht="18" customHeight="1" x14ac:dyDescent="0.35">
      <c r="A81" s="741"/>
      <c r="B81" s="327"/>
      <c r="C81" s="327"/>
      <c r="D81" s="327"/>
      <c r="E81" s="327"/>
      <c r="F81" s="327"/>
      <c r="G81" s="327"/>
      <c r="H81" s="327"/>
      <c r="I81" s="327"/>
      <c r="J81" s="327"/>
      <c r="K81" s="205"/>
    </row>
    <row r="82" spans="1:11" ht="18" customHeight="1" x14ac:dyDescent="0.35">
      <c r="A82" s="741" t="s">
        <v>148</v>
      </c>
      <c r="B82" s="690" t="s">
        <v>149</v>
      </c>
      <c r="C82" s="327"/>
      <c r="D82" s="327"/>
      <c r="E82" s="690" t="s">
        <v>7</v>
      </c>
      <c r="F82" s="206">
        <f t="shared" ref="F82:K82" si="7">SUM(F77:F80)</f>
        <v>1728</v>
      </c>
      <c r="G82" s="206">
        <f t="shared" si="7"/>
        <v>3441</v>
      </c>
      <c r="H82" s="203">
        <f t="shared" si="7"/>
        <v>1712202.4949999999</v>
      </c>
      <c r="I82" s="203">
        <f t="shared" si="7"/>
        <v>938.73591760000011</v>
      </c>
      <c r="J82" s="203">
        <f t="shared" si="7"/>
        <v>64398</v>
      </c>
      <c r="K82" s="203">
        <f t="shared" si="7"/>
        <v>1648743.2309175998</v>
      </c>
    </row>
    <row r="83" spans="1:11" ht="18" customHeight="1" thickBot="1" x14ac:dyDescent="0.4">
      <c r="A83" s="741"/>
      <c r="B83" s="327"/>
      <c r="C83" s="327"/>
      <c r="D83" s="327"/>
      <c r="E83" s="327"/>
      <c r="F83" s="229"/>
      <c r="G83" s="229"/>
      <c r="H83" s="229"/>
      <c r="I83" s="229"/>
      <c r="J83" s="229"/>
      <c r="K83" s="229"/>
    </row>
    <row r="84" spans="1:11" ht="42.75" customHeight="1" x14ac:dyDescent="0.35">
      <c r="A84" s="327"/>
      <c r="B84" s="327"/>
      <c r="C84" s="327"/>
      <c r="D84" s="327"/>
      <c r="E84" s="327"/>
      <c r="F84" s="693" t="s">
        <v>9</v>
      </c>
      <c r="G84" s="693" t="s">
        <v>37</v>
      </c>
      <c r="H84" s="693" t="s">
        <v>29</v>
      </c>
      <c r="I84" s="693" t="s">
        <v>30</v>
      </c>
      <c r="J84" s="693" t="s">
        <v>33</v>
      </c>
      <c r="K84" s="693" t="s">
        <v>34</v>
      </c>
    </row>
    <row r="85" spans="1:11" ht="18" customHeight="1" x14ac:dyDescent="0.35">
      <c r="A85" s="691" t="s">
        <v>111</v>
      </c>
      <c r="B85" s="690" t="s">
        <v>57</v>
      </c>
      <c r="C85" s="327"/>
      <c r="D85" s="327"/>
      <c r="E85" s="327"/>
      <c r="F85" s="327"/>
      <c r="G85" s="327"/>
      <c r="H85" s="327"/>
      <c r="I85" s="327"/>
      <c r="J85" s="327"/>
      <c r="K85" s="327"/>
    </row>
    <row r="86" spans="1:11" ht="18" customHeight="1" x14ac:dyDescent="0.35">
      <c r="A86" s="741" t="s">
        <v>112</v>
      </c>
      <c r="B86" s="689" t="s">
        <v>113</v>
      </c>
      <c r="C86" s="327"/>
      <c r="D86" s="327"/>
      <c r="E86" s="327"/>
      <c r="F86" s="217">
        <v>121</v>
      </c>
      <c r="G86" s="217">
        <v>3</v>
      </c>
      <c r="H86" s="196">
        <v>20223.232</v>
      </c>
      <c r="I86" s="196">
        <v>9709.1736832000006</v>
      </c>
      <c r="J86" s="196">
        <v>0</v>
      </c>
      <c r="K86" s="197">
        <f t="shared" ref="K86:K96" si="8">(H86+I86)-J86</f>
        <v>29932.405683199999</v>
      </c>
    </row>
    <row r="87" spans="1:11" ht="18" customHeight="1" x14ac:dyDescent="0.35">
      <c r="A87" s="741" t="s">
        <v>114</v>
      </c>
      <c r="B87" s="689" t="s">
        <v>14</v>
      </c>
      <c r="C87" s="327"/>
      <c r="D87" s="327"/>
      <c r="E87" s="327"/>
      <c r="F87" s="217">
        <v>1764.6767124999999</v>
      </c>
      <c r="G87" s="217">
        <v>1</v>
      </c>
      <c r="H87" s="196">
        <v>202323.85062143998</v>
      </c>
      <c r="I87" s="196">
        <v>97135.680683353348</v>
      </c>
      <c r="J87" s="196">
        <v>0</v>
      </c>
      <c r="K87" s="197">
        <f t="shared" si="8"/>
        <v>299459.53130479332</v>
      </c>
    </row>
    <row r="88" spans="1:11" ht="18" customHeight="1" x14ac:dyDescent="0.35">
      <c r="A88" s="741" t="s">
        <v>115</v>
      </c>
      <c r="B88" s="689" t="s">
        <v>116</v>
      </c>
      <c r="C88" s="327"/>
      <c r="D88" s="327"/>
      <c r="E88" s="327"/>
      <c r="F88" s="217">
        <v>32118</v>
      </c>
      <c r="G88" s="217">
        <v>4130</v>
      </c>
      <c r="H88" s="196">
        <v>976768.05599999998</v>
      </c>
      <c r="I88" s="196">
        <v>468946.34368560015</v>
      </c>
      <c r="J88" s="196">
        <v>1950</v>
      </c>
      <c r="K88" s="197">
        <f t="shared" si="8"/>
        <v>1443764.3996856001</v>
      </c>
    </row>
    <row r="89" spans="1:11" ht="18" customHeight="1" x14ac:dyDescent="0.35">
      <c r="A89" s="741" t="s">
        <v>117</v>
      </c>
      <c r="B89" s="689" t="s">
        <v>58</v>
      </c>
      <c r="C89" s="327"/>
      <c r="D89" s="327"/>
      <c r="E89" s="327"/>
      <c r="F89" s="217">
        <v>15968</v>
      </c>
      <c r="G89" s="217">
        <v>2500</v>
      </c>
      <c r="H89" s="196">
        <v>466978.408</v>
      </c>
      <c r="I89" s="196">
        <v>224196.33368080005</v>
      </c>
      <c r="J89" s="196">
        <v>5400</v>
      </c>
      <c r="K89" s="197">
        <f t="shared" si="8"/>
        <v>685774.74168079998</v>
      </c>
    </row>
    <row r="90" spans="1:11" ht="18" customHeight="1" x14ac:dyDescent="0.35">
      <c r="A90" s="741" t="s">
        <v>118</v>
      </c>
      <c r="B90" s="1425" t="s">
        <v>59</v>
      </c>
      <c r="C90" s="1425"/>
      <c r="D90" s="327"/>
      <c r="E90" s="327"/>
      <c r="F90" s="217">
        <v>0</v>
      </c>
      <c r="G90" s="217">
        <v>0</v>
      </c>
      <c r="H90" s="196">
        <v>0</v>
      </c>
      <c r="I90" s="196">
        <v>0</v>
      </c>
      <c r="J90" s="196">
        <v>0</v>
      </c>
      <c r="K90" s="197">
        <f t="shared" si="8"/>
        <v>0</v>
      </c>
    </row>
    <row r="91" spans="1:11" ht="18" customHeight="1" x14ac:dyDescent="0.35">
      <c r="A91" s="741" t="s">
        <v>119</v>
      </c>
      <c r="B91" s="689" t="s">
        <v>60</v>
      </c>
      <c r="C91" s="327"/>
      <c r="D91" s="327"/>
      <c r="E91" s="327"/>
      <c r="F91" s="217">
        <v>3472.6984500000003</v>
      </c>
      <c r="G91" s="217">
        <v>0</v>
      </c>
      <c r="H91" s="196">
        <v>269454.20099268004</v>
      </c>
      <c r="I91" s="196">
        <v>129364.96189658569</v>
      </c>
      <c r="J91" s="196">
        <v>0</v>
      </c>
      <c r="K91" s="197">
        <f t="shared" si="8"/>
        <v>398819.16288926575</v>
      </c>
    </row>
    <row r="92" spans="1:11" ht="18" customHeight="1" x14ac:dyDescent="0.35">
      <c r="A92" s="741" t="s">
        <v>120</v>
      </c>
      <c r="B92" s="689" t="s">
        <v>121</v>
      </c>
      <c r="C92" s="327"/>
      <c r="D92" s="327"/>
      <c r="E92" s="327"/>
      <c r="F92" s="217">
        <v>6227.6803375</v>
      </c>
      <c r="G92" s="217">
        <v>0</v>
      </c>
      <c r="H92" s="196">
        <v>441246.48757048004</v>
      </c>
      <c r="I92" s="196">
        <v>211842.43868258744</v>
      </c>
      <c r="J92" s="196">
        <v>0</v>
      </c>
      <c r="K92" s="197">
        <f t="shared" si="8"/>
        <v>653088.92625306745</v>
      </c>
    </row>
    <row r="93" spans="1:11" ht="18" customHeight="1" x14ac:dyDescent="0.35">
      <c r="A93" s="741" t="s">
        <v>122</v>
      </c>
      <c r="B93" s="689" t="s">
        <v>123</v>
      </c>
      <c r="C93" s="327"/>
      <c r="D93" s="327"/>
      <c r="E93" s="327"/>
      <c r="F93" s="217">
        <v>6287</v>
      </c>
      <c r="G93" s="217">
        <v>32425</v>
      </c>
      <c r="H93" s="196">
        <v>346849.23200000002</v>
      </c>
      <c r="I93" s="196">
        <v>166522.31628320005</v>
      </c>
      <c r="J93" s="196">
        <v>45332</v>
      </c>
      <c r="K93" s="197">
        <f t="shared" si="8"/>
        <v>468039.54828320007</v>
      </c>
    </row>
    <row r="94" spans="1:11" ht="18" customHeight="1" x14ac:dyDescent="0.35">
      <c r="A94" s="741" t="s">
        <v>124</v>
      </c>
      <c r="B94" s="1421" t="s">
        <v>374</v>
      </c>
      <c r="C94" s="1422"/>
      <c r="D94" s="1423"/>
      <c r="E94" s="327"/>
      <c r="F94" s="217">
        <v>354</v>
      </c>
      <c r="G94" s="217">
        <v>4366</v>
      </c>
      <c r="H94" s="196">
        <v>116955.762</v>
      </c>
      <c r="I94" s="196">
        <v>56150.461336200009</v>
      </c>
      <c r="J94" s="196">
        <v>6090</v>
      </c>
      <c r="K94" s="197">
        <f t="shared" si="8"/>
        <v>167016.2233362</v>
      </c>
    </row>
    <row r="95" spans="1:11" ht="18" customHeight="1" x14ac:dyDescent="0.35">
      <c r="A95" s="741" t="s">
        <v>125</v>
      </c>
      <c r="B95" s="1421"/>
      <c r="C95" s="1422"/>
      <c r="D95" s="1423"/>
      <c r="E95" s="327"/>
      <c r="F95" s="217">
        <v>0</v>
      </c>
      <c r="G95" s="217">
        <v>0</v>
      </c>
      <c r="H95" s="196">
        <v>0</v>
      </c>
      <c r="I95" s="196">
        <v>0</v>
      </c>
      <c r="J95" s="196">
        <v>0</v>
      </c>
      <c r="K95" s="197">
        <f t="shared" si="8"/>
        <v>0</v>
      </c>
    </row>
    <row r="96" spans="1:11" ht="18" customHeight="1" x14ac:dyDescent="0.35">
      <c r="A96" s="741" t="s">
        <v>126</v>
      </c>
      <c r="B96" s="1421"/>
      <c r="C96" s="1422"/>
      <c r="D96" s="1423"/>
      <c r="E96" s="327"/>
      <c r="F96" s="217">
        <v>0</v>
      </c>
      <c r="G96" s="217">
        <v>0</v>
      </c>
      <c r="H96" s="196">
        <v>0</v>
      </c>
      <c r="I96" s="196">
        <v>0</v>
      </c>
      <c r="J96" s="196">
        <v>0</v>
      </c>
      <c r="K96" s="197">
        <f t="shared" si="8"/>
        <v>0</v>
      </c>
    </row>
    <row r="97" spans="1:11" ht="18" customHeight="1" x14ac:dyDescent="0.35">
      <c r="A97" s="741"/>
      <c r="B97" s="689"/>
      <c r="C97" s="327"/>
      <c r="D97" s="327"/>
      <c r="E97" s="327"/>
      <c r="F97" s="327"/>
      <c r="G97" s="327"/>
      <c r="H97" s="327"/>
      <c r="I97" s="327"/>
      <c r="J97" s="327"/>
      <c r="K97" s="327"/>
    </row>
    <row r="98" spans="1:11" ht="18" customHeight="1" x14ac:dyDescent="0.35">
      <c r="A98" s="691" t="s">
        <v>150</v>
      </c>
      <c r="B98" s="690" t="s">
        <v>151</v>
      </c>
      <c r="C98" s="327"/>
      <c r="D98" s="327"/>
      <c r="E98" s="690" t="s">
        <v>7</v>
      </c>
      <c r="F98" s="223">
        <f t="shared" ref="F98:K98" si="9">SUM(F86:F96)</f>
        <v>66313.055500000002</v>
      </c>
      <c r="G98" s="223">
        <f t="shared" si="9"/>
        <v>43425</v>
      </c>
      <c r="H98" s="197">
        <f t="shared" si="9"/>
        <v>2840799.2291846001</v>
      </c>
      <c r="I98" s="197">
        <f t="shared" si="9"/>
        <v>1363867.7099315268</v>
      </c>
      <c r="J98" s="197">
        <f t="shared" si="9"/>
        <v>58772</v>
      </c>
      <c r="K98" s="197">
        <f t="shared" si="9"/>
        <v>4145894.9391161269</v>
      </c>
    </row>
    <row r="99" spans="1:11" ht="18" customHeight="1" thickBot="1" x14ac:dyDescent="0.4">
      <c r="A99" s="327"/>
      <c r="B99" s="690"/>
      <c r="C99" s="327"/>
      <c r="D99" s="327"/>
      <c r="E99" s="327"/>
      <c r="F99" s="229"/>
      <c r="G99" s="229"/>
      <c r="H99" s="229"/>
      <c r="I99" s="229"/>
      <c r="J99" s="229"/>
      <c r="K99" s="229"/>
    </row>
    <row r="100" spans="1:11" ht="42.75" customHeight="1" x14ac:dyDescent="0.35">
      <c r="A100" s="327"/>
      <c r="B100" s="327"/>
      <c r="C100" s="327"/>
      <c r="D100" s="327"/>
      <c r="E100" s="327"/>
      <c r="F100" s="693" t="s">
        <v>9</v>
      </c>
      <c r="G100" s="693" t="s">
        <v>37</v>
      </c>
      <c r="H100" s="693" t="s">
        <v>29</v>
      </c>
      <c r="I100" s="693" t="s">
        <v>30</v>
      </c>
      <c r="J100" s="693" t="s">
        <v>33</v>
      </c>
      <c r="K100" s="693" t="s">
        <v>34</v>
      </c>
    </row>
    <row r="101" spans="1:11" ht="18" customHeight="1" x14ac:dyDescent="0.35">
      <c r="A101" s="691" t="s">
        <v>130</v>
      </c>
      <c r="B101" s="690" t="s">
        <v>63</v>
      </c>
      <c r="C101" s="327"/>
      <c r="D101" s="327"/>
      <c r="E101" s="327"/>
      <c r="F101" s="327"/>
      <c r="G101" s="327"/>
      <c r="H101" s="327"/>
      <c r="I101" s="327"/>
      <c r="J101" s="327"/>
      <c r="K101" s="327"/>
    </row>
    <row r="102" spans="1:11" ht="18" customHeight="1" x14ac:dyDescent="0.35">
      <c r="A102" s="741" t="s">
        <v>131</v>
      </c>
      <c r="B102" s="689" t="s">
        <v>152</v>
      </c>
      <c r="C102" s="327"/>
      <c r="D102" s="327"/>
      <c r="E102" s="327"/>
      <c r="F102" s="217">
        <v>7038.8</v>
      </c>
      <c r="G102" s="217">
        <v>0</v>
      </c>
      <c r="H102" s="196">
        <v>392678.87200000003</v>
      </c>
      <c r="I102" s="196">
        <v>188525.12644720005</v>
      </c>
      <c r="J102" s="196">
        <v>0</v>
      </c>
      <c r="K102" s="197">
        <f>(H102+I102)-J102</f>
        <v>581203.99844720005</v>
      </c>
    </row>
    <row r="103" spans="1:11" ht="18" customHeight="1" x14ac:dyDescent="0.35">
      <c r="A103" s="741" t="s">
        <v>132</v>
      </c>
      <c r="B103" s="1424" t="s">
        <v>62</v>
      </c>
      <c r="C103" s="1424"/>
      <c r="D103" s="327"/>
      <c r="E103" s="327"/>
      <c r="F103" s="217">
        <v>761.19225000000006</v>
      </c>
      <c r="G103" s="217">
        <v>0</v>
      </c>
      <c r="H103" s="196">
        <v>64425.684412000002</v>
      </c>
      <c r="I103" s="196">
        <v>30930.771086201203</v>
      </c>
      <c r="J103" s="196">
        <v>0</v>
      </c>
      <c r="K103" s="197">
        <f>(H103+I103)-J103</f>
        <v>95356.455498201205</v>
      </c>
    </row>
    <row r="104" spans="1:11" ht="18" customHeight="1" x14ac:dyDescent="0.35">
      <c r="A104" s="741" t="s">
        <v>128</v>
      </c>
      <c r="B104" s="1421" t="s">
        <v>375</v>
      </c>
      <c r="C104" s="1422"/>
      <c r="D104" s="1423"/>
      <c r="E104" s="327"/>
      <c r="F104" s="217">
        <v>0</v>
      </c>
      <c r="G104" s="217">
        <v>0</v>
      </c>
      <c r="H104" s="196">
        <v>50759.124999999985</v>
      </c>
      <c r="I104" s="196">
        <v>24369.455912499998</v>
      </c>
      <c r="J104" s="196">
        <v>0</v>
      </c>
      <c r="K104" s="197">
        <f>(H104+I104)-J104</f>
        <v>75128.58091249998</v>
      </c>
    </row>
    <row r="105" spans="1:11" ht="18" customHeight="1" x14ac:dyDescent="0.35">
      <c r="A105" s="741" t="s">
        <v>127</v>
      </c>
      <c r="B105" s="1421"/>
      <c r="C105" s="1422"/>
      <c r="D105" s="1423"/>
      <c r="E105" s="327"/>
      <c r="F105" s="217">
        <v>0</v>
      </c>
      <c r="G105" s="217">
        <v>0</v>
      </c>
      <c r="H105" s="196">
        <v>0</v>
      </c>
      <c r="I105" s="196">
        <v>0</v>
      </c>
      <c r="J105" s="196">
        <v>0</v>
      </c>
      <c r="K105" s="197">
        <f>(H105+I105)-J105</f>
        <v>0</v>
      </c>
    </row>
    <row r="106" spans="1:11" ht="18" customHeight="1" x14ac:dyDescent="0.35">
      <c r="A106" s="741" t="s">
        <v>129</v>
      </c>
      <c r="B106" s="1421"/>
      <c r="C106" s="1422"/>
      <c r="D106" s="1423"/>
      <c r="E106" s="327"/>
      <c r="F106" s="217">
        <v>0</v>
      </c>
      <c r="G106" s="217">
        <v>0</v>
      </c>
      <c r="H106" s="196">
        <v>0</v>
      </c>
      <c r="I106" s="196">
        <v>0</v>
      </c>
      <c r="J106" s="196">
        <v>0</v>
      </c>
      <c r="K106" s="197">
        <f>(H106+I106)-J106</f>
        <v>0</v>
      </c>
    </row>
    <row r="107" spans="1:11" ht="18" customHeight="1" x14ac:dyDescent="0.35">
      <c r="A107" s="327"/>
      <c r="B107" s="690"/>
      <c r="C107" s="327"/>
      <c r="D107" s="327"/>
      <c r="E107" s="327"/>
      <c r="F107" s="327"/>
      <c r="G107" s="327"/>
      <c r="H107" s="327"/>
      <c r="I107" s="327"/>
      <c r="J107" s="327"/>
      <c r="K107" s="327"/>
    </row>
    <row r="108" spans="1:11" s="29" customFormat="1" ht="18" customHeight="1" x14ac:dyDescent="0.3">
      <c r="A108" s="691" t="s">
        <v>153</v>
      </c>
      <c r="B108" s="728" t="s">
        <v>154</v>
      </c>
      <c r="C108" s="740"/>
      <c r="D108" s="740"/>
      <c r="E108" s="690" t="s">
        <v>7</v>
      </c>
      <c r="F108" s="223">
        <f t="shared" ref="F108:K108" si="10">SUM(F102:F106)</f>
        <v>7799.9922500000002</v>
      </c>
      <c r="G108" s="223">
        <f t="shared" si="10"/>
        <v>0</v>
      </c>
      <c r="H108" s="197">
        <f t="shared" si="10"/>
        <v>507863.68141200003</v>
      </c>
      <c r="I108" s="197">
        <f t="shared" si="10"/>
        <v>243825.35344590127</v>
      </c>
      <c r="J108" s="197">
        <f t="shared" si="10"/>
        <v>0</v>
      </c>
      <c r="K108" s="197">
        <f t="shared" si="10"/>
        <v>751689.03485790128</v>
      </c>
    </row>
    <row r="109" spans="1:11" s="29" customFormat="1" ht="18" customHeight="1" thickBot="1" x14ac:dyDescent="0.35">
      <c r="A109" s="207"/>
      <c r="B109" s="247"/>
      <c r="C109" s="248"/>
      <c r="D109" s="248"/>
      <c r="E109" s="248"/>
      <c r="F109" s="229"/>
      <c r="G109" s="229"/>
      <c r="H109" s="229"/>
      <c r="I109" s="229"/>
      <c r="J109" s="229"/>
      <c r="K109" s="229"/>
    </row>
    <row r="110" spans="1:11" s="29" customFormat="1" ht="18" customHeight="1" x14ac:dyDescent="0.3">
      <c r="A110" s="691" t="s">
        <v>156</v>
      </c>
      <c r="B110" s="690" t="s">
        <v>39</v>
      </c>
      <c r="C110" s="740"/>
      <c r="D110" s="740"/>
      <c r="E110" s="740"/>
      <c r="F110" s="740"/>
      <c r="G110" s="740"/>
      <c r="H110" s="740"/>
      <c r="I110" s="740"/>
      <c r="J110" s="740"/>
      <c r="K110" s="740"/>
    </row>
    <row r="111" spans="1:11" ht="18" customHeight="1" x14ac:dyDescent="0.35">
      <c r="A111" s="691" t="s">
        <v>155</v>
      </c>
      <c r="B111" s="690" t="s">
        <v>164</v>
      </c>
      <c r="C111" s="327"/>
      <c r="D111" s="327"/>
      <c r="E111" s="690" t="s">
        <v>7</v>
      </c>
      <c r="F111" s="196">
        <v>21697000</v>
      </c>
      <c r="G111" s="327"/>
      <c r="H111" s="327"/>
      <c r="I111" s="327"/>
      <c r="J111" s="327"/>
      <c r="K111" s="327"/>
    </row>
    <row r="112" spans="1:11" ht="18" customHeight="1" x14ac:dyDescent="0.35">
      <c r="A112" s="327"/>
      <c r="B112" s="690"/>
      <c r="C112" s="327"/>
      <c r="D112" s="327"/>
      <c r="E112" s="690"/>
      <c r="F112" s="704"/>
      <c r="G112" s="327"/>
      <c r="H112" s="327"/>
      <c r="I112" s="327"/>
      <c r="J112" s="327"/>
      <c r="K112" s="327"/>
    </row>
    <row r="113" spans="1:6" ht="18" customHeight="1" x14ac:dyDescent="0.35">
      <c r="A113" s="691"/>
      <c r="B113" s="690" t="s">
        <v>15</v>
      </c>
      <c r="C113" s="327"/>
      <c r="D113" s="327"/>
      <c r="E113" s="327"/>
      <c r="F113" s="327"/>
    </row>
    <row r="114" spans="1:6" ht="18" customHeight="1" x14ac:dyDescent="0.35">
      <c r="A114" s="741" t="s">
        <v>171</v>
      </c>
      <c r="B114" s="689" t="s">
        <v>35</v>
      </c>
      <c r="C114" s="327"/>
      <c r="D114" s="327"/>
      <c r="E114" s="327"/>
      <c r="F114" s="250">
        <v>0.48006198960683205</v>
      </c>
    </row>
    <row r="115" spans="1:6" ht="18" customHeight="1" x14ac:dyDescent="0.35">
      <c r="A115" s="741"/>
      <c r="B115" s="690"/>
      <c r="C115" s="327"/>
      <c r="D115" s="327"/>
      <c r="E115" s="327"/>
      <c r="F115" s="327"/>
    </row>
    <row r="116" spans="1:6" ht="18" customHeight="1" x14ac:dyDescent="0.35">
      <c r="A116" s="741" t="s">
        <v>170</v>
      </c>
      <c r="B116" s="690" t="s">
        <v>16</v>
      </c>
      <c r="C116" s="327"/>
      <c r="D116" s="327"/>
      <c r="E116" s="327"/>
      <c r="F116" s="327"/>
    </row>
    <row r="117" spans="1:6" ht="18" customHeight="1" x14ac:dyDescent="0.35">
      <c r="A117" s="741" t="s">
        <v>172</v>
      </c>
      <c r="B117" s="689" t="s">
        <v>17</v>
      </c>
      <c r="C117" s="327"/>
      <c r="D117" s="327"/>
      <c r="E117" s="327"/>
      <c r="F117" s="196">
        <v>2002341000</v>
      </c>
    </row>
    <row r="118" spans="1:6" ht="18" customHeight="1" x14ac:dyDescent="0.35">
      <c r="A118" s="741" t="s">
        <v>173</v>
      </c>
      <c r="B118" s="740" t="s">
        <v>18</v>
      </c>
      <c r="C118" s="327"/>
      <c r="D118" s="327"/>
      <c r="E118" s="327"/>
      <c r="F118" s="196">
        <v>337175000</v>
      </c>
    </row>
    <row r="119" spans="1:6" ht="18" customHeight="1" x14ac:dyDescent="0.35">
      <c r="A119" s="741" t="s">
        <v>174</v>
      </c>
      <c r="B119" s="690" t="s">
        <v>19</v>
      </c>
      <c r="C119" s="327"/>
      <c r="D119" s="327"/>
      <c r="E119" s="327"/>
      <c r="F119" s="203">
        <v>2339516000</v>
      </c>
    </row>
    <row r="120" spans="1:6" ht="18" customHeight="1" x14ac:dyDescent="0.35">
      <c r="A120" s="741"/>
      <c r="B120" s="690"/>
      <c r="C120" s="327"/>
      <c r="D120" s="327"/>
      <c r="E120" s="327"/>
      <c r="F120" s="327"/>
    </row>
    <row r="121" spans="1:6" ht="18" customHeight="1" x14ac:dyDescent="0.35">
      <c r="A121" s="741" t="s">
        <v>167</v>
      </c>
      <c r="B121" s="690" t="s">
        <v>36</v>
      </c>
      <c r="C121" s="327"/>
      <c r="D121" s="327"/>
      <c r="E121" s="327"/>
      <c r="F121" s="196">
        <v>2307202000</v>
      </c>
    </row>
    <row r="122" spans="1:6" ht="18" customHeight="1" x14ac:dyDescent="0.35">
      <c r="A122" s="741"/>
      <c r="B122" s="327"/>
      <c r="C122" s="327"/>
      <c r="D122" s="327"/>
      <c r="E122" s="327"/>
      <c r="F122" s="327"/>
    </row>
    <row r="123" spans="1:6" ht="18" customHeight="1" x14ac:dyDescent="0.35">
      <c r="A123" s="741" t="s">
        <v>175</v>
      </c>
      <c r="B123" s="690" t="s">
        <v>20</v>
      </c>
      <c r="C123" s="327"/>
      <c r="D123" s="327"/>
      <c r="E123" s="327"/>
      <c r="F123" s="196">
        <v>32314000</v>
      </c>
    </row>
    <row r="124" spans="1:6" ht="18" customHeight="1" x14ac:dyDescent="0.35">
      <c r="A124" s="741"/>
      <c r="B124" s="327"/>
      <c r="C124" s="327"/>
      <c r="D124" s="327"/>
      <c r="E124" s="327"/>
      <c r="F124" s="327"/>
    </row>
    <row r="125" spans="1:6" ht="18" customHeight="1" x14ac:dyDescent="0.35">
      <c r="A125" s="741" t="s">
        <v>176</v>
      </c>
      <c r="B125" s="690" t="s">
        <v>21</v>
      </c>
      <c r="C125" s="327"/>
      <c r="D125" s="327"/>
      <c r="E125" s="327"/>
      <c r="F125" s="208">
        <v>86234000</v>
      </c>
    </row>
    <row r="126" spans="1:6" ht="18" customHeight="1" x14ac:dyDescent="0.35">
      <c r="A126" s="741"/>
      <c r="B126" s="327"/>
      <c r="C126" s="327"/>
      <c r="D126" s="327"/>
      <c r="E126" s="327"/>
      <c r="F126" s="327"/>
    </row>
    <row r="127" spans="1:6" ht="18" customHeight="1" x14ac:dyDescent="0.35">
      <c r="A127" s="741" t="s">
        <v>177</v>
      </c>
      <c r="B127" s="690" t="s">
        <v>22</v>
      </c>
      <c r="C127" s="327"/>
      <c r="D127" s="327"/>
      <c r="E127" s="327"/>
      <c r="F127" s="196">
        <v>118548000</v>
      </c>
    </row>
    <row r="128" spans="1:6" ht="18" customHeight="1" x14ac:dyDescent="0.35">
      <c r="A128" s="741"/>
      <c r="B128" s="327"/>
      <c r="C128" s="327"/>
      <c r="D128" s="327"/>
      <c r="E128" s="327"/>
      <c r="F128" s="327"/>
    </row>
    <row r="129" spans="1:11" ht="42.75" customHeight="1" x14ac:dyDescent="0.35">
      <c r="A129" s="327"/>
      <c r="B129" s="327"/>
      <c r="C129" s="327"/>
      <c r="D129" s="327"/>
      <c r="E129" s="327"/>
      <c r="F129" s="693" t="s">
        <v>9</v>
      </c>
      <c r="G129" s="693" t="s">
        <v>37</v>
      </c>
      <c r="H129" s="693" t="s">
        <v>29</v>
      </c>
      <c r="I129" s="693" t="s">
        <v>30</v>
      </c>
      <c r="J129" s="693" t="s">
        <v>33</v>
      </c>
      <c r="K129" s="693" t="s">
        <v>34</v>
      </c>
    </row>
    <row r="130" spans="1:11" ht="18" customHeight="1" x14ac:dyDescent="0.35">
      <c r="A130" s="691" t="s">
        <v>157</v>
      </c>
      <c r="B130" s="690" t="s">
        <v>23</v>
      </c>
      <c r="C130" s="327"/>
      <c r="D130" s="327"/>
      <c r="E130" s="327"/>
      <c r="F130" s="327"/>
      <c r="G130" s="327"/>
      <c r="H130" s="327"/>
      <c r="I130" s="327"/>
      <c r="J130" s="327"/>
      <c r="K130" s="327"/>
    </row>
    <row r="131" spans="1:11" ht="18" customHeight="1" x14ac:dyDescent="0.35">
      <c r="A131" s="741" t="s">
        <v>158</v>
      </c>
      <c r="B131" s="740" t="s">
        <v>24</v>
      </c>
      <c r="C131" s="327"/>
      <c r="D131" s="327"/>
      <c r="E131" s="327"/>
      <c r="F131" s="217">
        <v>0</v>
      </c>
      <c r="G131" s="217">
        <v>0</v>
      </c>
      <c r="H131" s="196">
        <v>0</v>
      </c>
      <c r="I131" s="209">
        <v>0</v>
      </c>
      <c r="J131" s="196">
        <v>0</v>
      </c>
      <c r="K131" s="197">
        <f>(H131+I131)-J131</f>
        <v>0</v>
      </c>
    </row>
    <row r="132" spans="1:11" ht="18" customHeight="1" x14ac:dyDescent="0.35">
      <c r="A132" s="741" t="s">
        <v>159</v>
      </c>
      <c r="B132" s="740" t="s">
        <v>25</v>
      </c>
      <c r="C132" s="327"/>
      <c r="D132" s="327"/>
      <c r="E132" s="327"/>
      <c r="F132" s="217">
        <v>0</v>
      </c>
      <c r="G132" s="217">
        <v>0</v>
      </c>
      <c r="H132" s="196">
        <v>0</v>
      </c>
      <c r="I132" s="209">
        <v>0</v>
      </c>
      <c r="J132" s="196">
        <v>0</v>
      </c>
      <c r="K132" s="197">
        <f>(H132+I132)-J132</f>
        <v>0</v>
      </c>
    </row>
    <row r="133" spans="1:11" ht="18" customHeight="1" x14ac:dyDescent="0.35">
      <c r="A133" s="741" t="s">
        <v>160</v>
      </c>
      <c r="B133" s="1418"/>
      <c r="C133" s="1419"/>
      <c r="D133" s="1420"/>
      <c r="E133" s="327"/>
      <c r="F133" s="217">
        <v>0</v>
      </c>
      <c r="G133" s="217">
        <v>0</v>
      </c>
      <c r="H133" s="196">
        <v>0</v>
      </c>
      <c r="I133" s="209">
        <v>0</v>
      </c>
      <c r="J133" s="196">
        <v>0</v>
      </c>
      <c r="K133" s="197">
        <f>(H133+I133)-J133</f>
        <v>0</v>
      </c>
    </row>
    <row r="134" spans="1:11" ht="18" customHeight="1" x14ac:dyDescent="0.35">
      <c r="A134" s="741" t="s">
        <v>161</v>
      </c>
      <c r="B134" s="1418"/>
      <c r="C134" s="1419"/>
      <c r="D134" s="1420"/>
      <c r="E134" s="327"/>
      <c r="F134" s="217">
        <v>0</v>
      </c>
      <c r="G134" s="217">
        <v>0</v>
      </c>
      <c r="H134" s="196">
        <v>0</v>
      </c>
      <c r="I134" s="209">
        <v>0</v>
      </c>
      <c r="J134" s="196">
        <v>0</v>
      </c>
      <c r="K134" s="197">
        <f>(H134+I134)-J134</f>
        <v>0</v>
      </c>
    </row>
    <row r="135" spans="1:11" ht="18" customHeight="1" x14ac:dyDescent="0.35">
      <c r="A135" s="741" t="s">
        <v>162</v>
      </c>
      <c r="B135" s="1418"/>
      <c r="C135" s="1419"/>
      <c r="D135" s="1420"/>
      <c r="E135" s="327"/>
      <c r="F135" s="217">
        <v>0</v>
      </c>
      <c r="G135" s="217">
        <v>0</v>
      </c>
      <c r="H135" s="196">
        <v>0</v>
      </c>
      <c r="I135" s="209">
        <v>0</v>
      </c>
      <c r="J135" s="196">
        <v>0</v>
      </c>
      <c r="K135" s="197">
        <f>(H135+I135)-J135</f>
        <v>0</v>
      </c>
    </row>
    <row r="136" spans="1:11" ht="18" customHeight="1" x14ac:dyDescent="0.35">
      <c r="A136" s="691"/>
      <c r="B136" s="327"/>
      <c r="C136" s="327"/>
      <c r="D136" s="327"/>
      <c r="E136" s="327"/>
      <c r="F136" s="327"/>
      <c r="G136" s="327"/>
      <c r="H136" s="327"/>
      <c r="I136" s="327"/>
      <c r="J136" s="327"/>
      <c r="K136" s="327"/>
    </row>
    <row r="137" spans="1:11" ht="18" customHeight="1" x14ac:dyDescent="0.35">
      <c r="A137" s="691" t="s">
        <v>163</v>
      </c>
      <c r="B137" s="690" t="s">
        <v>27</v>
      </c>
      <c r="C137" s="327"/>
      <c r="D137" s="327"/>
      <c r="E137" s="327"/>
      <c r="F137" s="223">
        <f t="shared" ref="F137:K137" si="11">SUM(F131:F135)</f>
        <v>0</v>
      </c>
      <c r="G137" s="223">
        <f t="shared" si="11"/>
        <v>0</v>
      </c>
      <c r="H137" s="197">
        <f t="shared" si="11"/>
        <v>0</v>
      </c>
      <c r="I137" s="197">
        <f t="shared" si="11"/>
        <v>0</v>
      </c>
      <c r="J137" s="197">
        <f t="shared" si="11"/>
        <v>0</v>
      </c>
      <c r="K137" s="197">
        <f t="shared" si="11"/>
        <v>0</v>
      </c>
    </row>
    <row r="138" spans="1:11" ht="18" customHeight="1" x14ac:dyDescent="0.35">
      <c r="A138" s="740"/>
      <c r="B138" s="327"/>
      <c r="C138" s="327"/>
      <c r="D138" s="327"/>
      <c r="E138" s="327"/>
      <c r="F138" s="327"/>
      <c r="G138" s="327"/>
      <c r="H138" s="327"/>
      <c r="I138" s="327"/>
      <c r="J138" s="327"/>
      <c r="K138" s="327"/>
    </row>
    <row r="139" spans="1:11" ht="42.75" customHeight="1" x14ac:dyDescent="0.35">
      <c r="A139" s="327"/>
      <c r="B139" s="327"/>
      <c r="C139" s="327"/>
      <c r="D139" s="327"/>
      <c r="E139" s="327"/>
      <c r="F139" s="693" t="s">
        <v>9</v>
      </c>
      <c r="G139" s="693" t="s">
        <v>37</v>
      </c>
      <c r="H139" s="693" t="s">
        <v>29</v>
      </c>
      <c r="I139" s="693" t="s">
        <v>30</v>
      </c>
      <c r="J139" s="693" t="s">
        <v>33</v>
      </c>
      <c r="K139" s="693" t="s">
        <v>34</v>
      </c>
    </row>
    <row r="140" spans="1:11" ht="18" customHeight="1" x14ac:dyDescent="0.35">
      <c r="A140" s="691" t="s">
        <v>166</v>
      </c>
      <c r="B140" s="690" t="s">
        <v>26</v>
      </c>
      <c r="C140" s="327"/>
      <c r="D140" s="327"/>
      <c r="E140" s="327"/>
      <c r="F140" s="327"/>
      <c r="G140" s="327"/>
      <c r="H140" s="327"/>
      <c r="I140" s="327"/>
      <c r="J140" s="327"/>
      <c r="K140" s="327"/>
    </row>
    <row r="141" spans="1:11" ht="18" customHeight="1" x14ac:dyDescent="0.35">
      <c r="A141" s="741" t="s">
        <v>137</v>
      </c>
      <c r="B141" s="690" t="s">
        <v>64</v>
      </c>
      <c r="C141" s="327"/>
      <c r="D141" s="327"/>
      <c r="E141" s="327"/>
      <c r="F141" s="253">
        <f t="shared" ref="F141:K141" si="12">F36</f>
        <v>104619.78</v>
      </c>
      <c r="G141" s="253">
        <f t="shared" si="12"/>
        <v>573681.38</v>
      </c>
      <c r="H141" s="253">
        <f t="shared" si="12"/>
        <v>14775332.7612</v>
      </c>
      <c r="I141" s="253">
        <f t="shared" si="12"/>
        <v>6539290.7915981198</v>
      </c>
      <c r="J141" s="253">
        <f t="shared" si="12"/>
        <v>1636731</v>
      </c>
      <c r="K141" s="253">
        <f t="shared" si="12"/>
        <v>19677892.552798122</v>
      </c>
    </row>
    <row r="142" spans="1:11" ht="18" customHeight="1" x14ac:dyDescent="0.35">
      <c r="A142" s="741" t="s">
        <v>142</v>
      </c>
      <c r="B142" s="690" t="s">
        <v>65</v>
      </c>
      <c r="C142" s="327"/>
      <c r="D142" s="327"/>
      <c r="E142" s="327"/>
      <c r="F142" s="253">
        <f t="shared" ref="F142:K142" si="13">F49</f>
        <v>201918.4</v>
      </c>
      <c r="G142" s="253">
        <f t="shared" si="13"/>
        <v>2048</v>
      </c>
      <c r="H142" s="253">
        <f t="shared" si="13"/>
        <v>127327193.36800002</v>
      </c>
      <c r="I142" s="253">
        <f t="shared" si="13"/>
        <v>0</v>
      </c>
      <c r="J142" s="253">
        <f t="shared" si="13"/>
        <v>27300</v>
      </c>
      <c r="K142" s="253">
        <f t="shared" si="13"/>
        <v>127299893.36800002</v>
      </c>
    </row>
    <row r="143" spans="1:11" ht="18" customHeight="1" x14ac:dyDescent="0.35">
      <c r="A143" s="741" t="s">
        <v>144</v>
      </c>
      <c r="B143" s="690" t="s">
        <v>66</v>
      </c>
      <c r="C143" s="327"/>
      <c r="D143" s="327"/>
      <c r="E143" s="327"/>
      <c r="F143" s="253">
        <f t="shared" ref="F143:K143" si="14">F64</f>
        <v>12371</v>
      </c>
      <c r="G143" s="253">
        <f t="shared" si="14"/>
        <v>21945</v>
      </c>
      <c r="H143" s="253">
        <f t="shared" si="14"/>
        <v>23400240.806813784</v>
      </c>
      <c r="I143" s="253">
        <f t="shared" si="14"/>
        <v>257445.03270719998</v>
      </c>
      <c r="J143" s="253">
        <f t="shared" si="14"/>
        <v>865455</v>
      </c>
      <c r="K143" s="253">
        <f t="shared" si="14"/>
        <v>22792230.839520991</v>
      </c>
    </row>
    <row r="144" spans="1:11" ht="18" customHeight="1" x14ac:dyDescent="0.35">
      <c r="A144" s="741" t="s">
        <v>146</v>
      </c>
      <c r="B144" s="690" t="s">
        <v>67</v>
      </c>
      <c r="C144" s="327"/>
      <c r="D144" s="327"/>
      <c r="E144" s="327"/>
      <c r="F144" s="253">
        <f t="shared" ref="F144:K144" si="15">F74</f>
        <v>16961</v>
      </c>
      <c r="G144" s="253">
        <f t="shared" si="15"/>
        <v>0</v>
      </c>
      <c r="H144" s="253">
        <f t="shared" si="15"/>
        <v>891219.28799999994</v>
      </c>
      <c r="I144" s="253">
        <f t="shared" si="15"/>
        <v>0</v>
      </c>
      <c r="J144" s="253">
        <f t="shared" si="15"/>
        <v>0</v>
      </c>
      <c r="K144" s="253">
        <f t="shared" si="15"/>
        <v>891219.28799999994</v>
      </c>
    </row>
    <row r="145" spans="1:11" ht="18" customHeight="1" x14ac:dyDescent="0.35">
      <c r="A145" s="741" t="s">
        <v>148</v>
      </c>
      <c r="B145" s="690" t="s">
        <v>68</v>
      </c>
      <c r="C145" s="327"/>
      <c r="D145" s="327"/>
      <c r="E145" s="327"/>
      <c r="F145" s="253">
        <f t="shared" ref="F145:K145" si="16">F82</f>
        <v>1728</v>
      </c>
      <c r="G145" s="253">
        <f t="shared" si="16"/>
        <v>3441</v>
      </c>
      <c r="H145" s="253">
        <f t="shared" si="16"/>
        <v>1712202.4949999999</v>
      </c>
      <c r="I145" s="253">
        <f t="shared" si="16"/>
        <v>938.73591760000011</v>
      </c>
      <c r="J145" s="253">
        <f t="shared" si="16"/>
        <v>64398</v>
      </c>
      <c r="K145" s="253">
        <f t="shared" si="16"/>
        <v>1648743.2309175998</v>
      </c>
    </row>
    <row r="146" spans="1:11" ht="18" customHeight="1" x14ac:dyDescent="0.35">
      <c r="A146" s="741" t="s">
        <v>150</v>
      </c>
      <c r="B146" s="690" t="s">
        <v>69</v>
      </c>
      <c r="C146" s="327"/>
      <c r="D146" s="327"/>
      <c r="E146" s="327"/>
      <c r="F146" s="253">
        <f t="shared" ref="F146:K146" si="17">F98</f>
        <v>66313.055500000002</v>
      </c>
      <c r="G146" s="253">
        <f t="shared" si="17"/>
        <v>43425</v>
      </c>
      <c r="H146" s="253">
        <f t="shared" si="17"/>
        <v>2840799.2291846001</v>
      </c>
      <c r="I146" s="253">
        <f t="shared" si="17"/>
        <v>1363867.7099315268</v>
      </c>
      <c r="J146" s="253">
        <f t="shared" si="17"/>
        <v>58772</v>
      </c>
      <c r="K146" s="253">
        <f t="shared" si="17"/>
        <v>4145894.9391161269</v>
      </c>
    </row>
    <row r="147" spans="1:11" ht="18" customHeight="1" x14ac:dyDescent="0.35">
      <c r="A147" s="741" t="s">
        <v>153</v>
      </c>
      <c r="B147" s="690" t="s">
        <v>61</v>
      </c>
      <c r="C147" s="327"/>
      <c r="D147" s="327"/>
      <c r="E147" s="327"/>
      <c r="F147" s="223">
        <f t="shared" ref="F147:K147" si="18">F108</f>
        <v>7799.9922500000002</v>
      </c>
      <c r="G147" s="223">
        <f t="shared" si="18"/>
        <v>0</v>
      </c>
      <c r="H147" s="223">
        <f t="shared" si="18"/>
        <v>507863.68141200003</v>
      </c>
      <c r="I147" s="223">
        <f t="shared" si="18"/>
        <v>243825.35344590127</v>
      </c>
      <c r="J147" s="223">
        <f t="shared" si="18"/>
        <v>0</v>
      </c>
      <c r="K147" s="223">
        <f t="shared" si="18"/>
        <v>751689.03485790128</v>
      </c>
    </row>
    <row r="148" spans="1:11" ht="18" customHeight="1" x14ac:dyDescent="0.35">
      <c r="A148" s="741" t="s">
        <v>155</v>
      </c>
      <c r="B148" s="690" t="s">
        <v>70</v>
      </c>
      <c r="C148" s="327"/>
      <c r="D148" s="327"/>
      <c r="E148" s="327"/>
      <c r="F148" s="255" t="s">
        <v>73</v>
      </c>
      <c r="G148" s="255" t="s">
        <v>73</v>
      </c>
      <c r="H148" s="210" t="s">
        <v>73</v>
      </c>
      <c r="I148" s="210" t="s">
        <v>73</v>
      </c>
      <c r="J148" s="210" t="s">
        <v>73</v>
      </c>
      <c r="K148" s="211">
        <f>F111</f>
        <v>21697000</v>
      </c>
    </row>
    <row r="149" spans="1:11" ht="18" customHeight="1" x14ac:dyDescent="0.35">
      <c r="A149" s="741" t="s">
        <v>163</v>
      </c>
      <c r="B149" s="690" t="s">
        <v>71</v>
      </c>
      <c r="C149" s="327"/>
      <c r="D149" s="327"/>
      <c r="E149" s="327"/>
      <c r="F149" s="223">
        <f t="shared" ref="F149:K149" si="19">F137</f>
        <v>0</v>
      </c>
      <c r="G149" s="223">
        <f t="shared" si="19"/>
        <v>0</v>
      </c>
      <c r="H149" s="223">
        <f t="shared" si="19"/>
        <v>0</v>
      </c>
      <c r="I149" s="223">
        <f t="shared" si="19"/>
        <v>0</v>
      </c>
      <c r="J149" s="223">
        <f t="shared" si="19"/>
        <v>0</v>
      </c>
      <c r="K149" s="223">
        <f t="shared" si="19"/>
        <v>0</v>
      </c>
    </row>
    <row r="150" spans="1:11" ht="18" customHeight="1" x14ac:dyDescent="0.35">
      <c r="A150" s="741" t="s">
        <v>185</v>
      </c>
      <c r="B150" s="690" t="s">
        <v>186</v>
      </c>
      <c r="C150" s="327"/>
      <c r="D150" s="327"/>
      <c r="E150" s="327"/>
      <c r="F150" s="255" t="s">
        <v>73</v>
      </c>
      <c r="G150" s="255" t="s">
        <v>73</v>
      </c>
      <c r="H150" s="223">
        <f>H18</f>
        <v>50143241</v>
      </c>
      <c r="I150" s="223">
        <f>I18</f>
        <v>0</v>
      </c>
      <c r="J150" s="223">
        <f>J18</f>
        <v>42380934</v>
      </c>
      <c r="K150" s="223">
        <f>K18</f>
        <v>7762307</v>
      </c>
    </row>
    <row r="151" spans="1:11" ht="18" customHeight="1" x14ac:dyDescent="0.35">
      <c r="A151" s="327"/>
      <c r="B151" s="690"/>
      <c r="C151" s="327"/>
      <c r="D151" s="327"/>
      <c r="E151" s="327"/>
      <c r="F151" s="232"/>
      <c r="G151" s="232"/>
      <c r="H151" s="232"/>
      <c r="I151" s="232"/>
      <c r="J151" s="232"/>
      <c r="K151" s="232"/>
    </row>
    <row r="152" spans="1:11" ht="18" customHeight="1" x14ac:dyDescent="0.35">
      <c r="A152" s="691" t="s">
        <v>165</v>
      </c>
      <c r="B152" s="690" t="s">
        <v>26</v>
      </c>
      <c r="C152" s="327"/>
      <c r="D152" s="327"/>
      <c r="E152" s="327"/>
      <c r="F152" s="257">
        <f t="shared" ref="F152:K152" si="20">SUM(F141:F150)</f>
        <v>411711.22775000002</v>
      </c>
      <c r="G152" s="257">
        <f t="shared" si="20"/>
        <v>644540.38</v>
      </c>
      <c r="H152" s="257">
        <f t="shared" si="20"/>
        <v>221598092.62961039</v>
      </c>
      <c r="I152" s="257">
        <f t="shared" si="20"/>
        <v>8405367.623600347</v>
      </c>
      <c r="J152" s="257">
        <f t="shared" si="20"/>
        <v>45033590</v>
      </c>
      <c r="K152" s="257">
        <f t="shared" si="20"/>
        <v>206666870.25321072</v>
      </c>
    </row>
    <row r="154" spans="1:11" ht="18" customHeight="1" x14ac:dyDescent="0.35">
      <c r="A154" s="691" t="s">
        <v>168</v>
      </c>
      <c r="B154" s="690" t="s">
        <v>28</v>
      </c>
      <c r="C154" s="327"/>
      <c r="D154" s="327"/>
      <c r="E154" s="327"/>
      <c r="F154" s="212">
        <f>K152/F121</f>
        <v>8.9574675409093238E-2</v>
      </c>
      <c r="G154" s="327"/>
      <c r="H154" s="327"/>
      <c r="I154" s="327"/>
      <c r="J154" s="327"/>
      <c r="K154" s="327"/>
    </row>
    <row r="155" spans="1:11" ht="18" customHeight="1" x14ac:dyDescent="0.35">
      <c r="A155" s="691" t="s">
        <v>169</v>
      </c>
      <c r="B155" s="690" t="s">
        <v>72</v>
      </c>
      <c r="C155" s="327"/>
      <c r="D155" s="327"/>
      <c r="E155" s="327"/>
      <c r="F155" s="212">
        <f>K152/F127</f>
        <v>1.7433180673922017</v>
      </c>
      <c r="G155" s="690"/>
      <c r="H155" s="327"/>
      <c r="I155" s="327"/>
      <c r="J155" s="327"/>
      <c r="K155" s="327"/>
    </row>
    <row r="156" spans="1:11" ht="18" customHeight="1" x14ac:dyDescent="0.35">
      <c r="A156" s="194"/>
      <c r="B156" s="194"/>
      <c r="C156" s="194"/>
      <c r="D156" s="194"/>
      <c r="E156" s="194"/>
      <c r="F156" s="194"/>
      <c r="G156" s="195"/>
      <c r="H156" s="194"/>
      <c r="I156" s="194"/>
      <c r="J156" s="194"/>
      <c r="K156" s="194"/>
    </row>
  </sheetData>
  <sheetProtection sheet="1" objects="1" scenarios="1"/>
  <mergeCells count="38">
    <mergeCell ref="B46:D46"/>
    <mergeCell ref="B47:D47"/>
    <mergeCell ref="B52:C52"/>
    <mergeCell ref="B95:D95"/>
    <mergeCell ref="B54:D54"/>
    <mergeCell ref="B55:D55"/>
    <mergeCell ref="B56:D56"/>
    <mergeCell ref="B57:D57"/>
    <mergeCell ref="B58:D58"/>
    <mergeCell ref="B59:D59"/>
    <mergeCell ref="B60:D60"/>
    <mergeCell ref="B61:D61"/>
    <mergeCell ref="B62:D62"/>
    <mergeCell ref="B90:C90"/>
    <mergeCell ref="B94:D94"/>
    <mergeCell ref="B53:D53"/>
    <mergeCell ref="C10:G10"/>
    <mergeCell ref="D2:H2"/>
    <mergeCell ref="C5:G5"/>
    <mergeCell ref="C6:G6"/>
    <mergeCell ref="C7:G7"/>
    <mergeCell ref="C9:G9"/>
    <mergeCell ref="C11:G11"/>
    <mergeCell ref="B13:H13"/>
    <mergeCell ref="B30:D30"/>
    <mergeCell ref="B134:D134"/>
    <mergeCell ref="B135:D135"/>
    <mergeCell ref="B96:D96"/>
    <mergeCell ref="B103:C103"/>
    <mergeCell ref="B104:D104"/>
    <mergeCell ref="B105:D105"/>
    <mergeCell ref="B106:D106"/>
    <mergeCell ref="B133:D133"/>
    <mergeCell ref="B31:D31"/>
    <mergeCell ref="B34:D34"/>
    <mergeCell ref="B41:C41"/>
    <mergeCell ref="B44:D44"/>
    <mergeCell ref="B45:D45"/>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3" manualBreakCount="3">
    <brk id="37" max="16383" man="1"/>
    <brk id="74" max="16383" man="1"/>
    <brk id="10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166"/>
  <sheetViews>
    <sheetView zoomScale="85" zoomScaleNormal="85" workbookViewId="0">
      <pane ySplit="12" topLeftCell="A13" activePane="bottomLeft" state="frozenSplit"/>
      <selection pane="bottomLeft" activeCell="A21" sqref="A21"/>
    </sheetView>
  </sheetViews>
  <sheetFormatPr defaultRowHeight="18" customHeight="1" x14ac:dyDescent="0.25"/>
  <cols>
    <col min="1" max="1" width="30.54296875" style="35" bestFit="1" customWidth="1"/>
    <col min="2" max="2" width="55.453125" bestFit="1" customWidth="1"/>
    <col min="3" max="3" width="7.26953125" customWidth="1"/>
    <col min="4" max="4" width="5.26953125" customWidth="1"/>
    <col min="5" max="5" width="12.453125" customWidth="1"/>
    <col min="6" max="6" width="18.54296875" customWidth="1"/>
    <col min="7" max="7" width="23.54296875" customWidth="1"/>
    <col min="8" max="8" width="17.26953125" style="121" customWidth="1"/>
    <col min="9" max="9" width="21.26953125" style="121" customWidth="1"/>
    <col min="10" max="10" width="19.7265625" style="121" customWidth="1"/>
    <col min="11" max="11" width="17.54296875" style="121" customWidth="1"/>
  </cols>
  <sheetData>
    <row r="1" spans="1:11" ht="18" customHeight="1" x14ac:dyDescent="0.3">
      <c r="A1" s="740"/>
      <c r="B1" s="740"/>
      <c r="C1" s="401"/>
      <c r="D1" s="886"/>
      <c r="E1" s="401"/>
      <c r="F1" s="401"/>
      <c r="G1" s="401"/>
      <c r="H1" s="892"/>
      <c r="I1" s="892"/>
      <c r="J1" s="892"/>
      <c r="K1" s="892"/>
    </row>
    <row r="2" spans="1:11" ht="18" customHeight="1" x14ac:dyDescent="0.35">
      <c r="A2" s="740"/>
      <c r="B2" s="740"/>
      <c r="C2" s="740"/>
      <c r="D2" s="1429" t="s">
        <v>730</v>
      </c>
      <c r="E2" s="1429"/>
      <c r="F2" s="1429"/>
      <c r="G2" s="1429"/>
      <c r="H2" s="1429"/>
      <c r="I2" s="740"/>
      <c r="J2" s="740"/>
      <c r="K2" s="740"/>
    </row>
    <row r="3" spans="1:11" ht="18" customHeight="1" x14ac:dyDescent="0.3">
      <c r="A3" s="740"/>
      <c r="B3" s="690" t="s">
        <v>0</v>
      </c>
      <c r="C3" s="740"/>
      <c r="D3" s="740"/>
      <c r="E3" s="740"/>
      <c r="F3" s="740"/>
      <c r="G3" s="740"/>
      <c r="H3" s="740"/>
      <c r="I3" s="740"/>
      <c r="J3" s="740"/>
      <c r="K3" s="740"/>
    </row>
    <row r="4" spans="1:11" ht="18" customHeight="1" x14ac:dyDescent="0.25">
      <c r="B4" s="742"/>
      <c r="C4" s="742"/>
      <c r="D4" s="742"/>
      <c r="E4" s="742"/>
      <c r="F4" s="742"/>
      <c r="G4" s="742"/>
    </row>
    <row r="5" spans="1:11" ht="18" customHeight="1" x14ac:dyDescent="0.3">
      <c r="A5" s="740"/>
      <c r="B5" s="741" t="s">
        <v>40</v>
      </c>
      <c r="C5" s="1446" t="s">
        <v>607</v>
      </c>
      <c r="D5" s="1447"/>
      <c r="E5" s="1447"/>
      <c r="F5" s="1447"/>
      <c r="G5" s="1448"/>
      <c r="H5" s="740"/>
      <c r="I5" s="740"/>
      <c r="J5" s="740"/>
      <c r="K5" s="740"/>
    </row>
    <row r="6" spans="1:11" ht="18" customHeight="1" x14ac:dyDescent="0.3">
      <c r="A6" s="740"/>
      <c r="B6" s="741" t="s">
        <v>3</v>
      </c>
      <c r="C6" s="1433">
        <v>210010</v>
      </c>
      <c r="D6" s="1434"/>
      <c r="E6" s="1434"/>
      <c r="F6" s="1434"/>
      <c r="G6" s="1435"/>
      <c r="H6" s="740"/>
      <c r="I6" s="740"/>
      <c r="J6" s="740"/>
      <c r="K6" s="740"/>
    </row>
    <row r="7" spans="1:11" ht="18" customHeight="1" x14ac:dyDescent="0.3">
      <c r="A7" s="740"/>
      <c r="B7" s="741" t="s">
        <v>4</v>
      </c>
      <c r="C7" s="1443">
        <f>+'[9]DGH 2017'!D18</f>
        <v>318.84770000000003</v>
      </c>
      <c r="D7" s="1444"/>
      <c r="E7" s="1444"/>
      <c r="F7" s="1444"/>
      <c r="G7" s="1445"/>
      <c r="H7" s="740"/>
      <c r="I7" s="740"/>
      <c r="J7" s="740"/>
      <c r="K7" s="740"/>
    </row>
    <row r="8" spans="1:11" ht="18" customHeight="1" x14ac:dyDescent="0.25">
      <c r="B8" s="742"/>
      <c r="C8" s="742"/>
      <c r="D8" s="742"/>
      <c r="E8" s="742"/>
      <c r="F8" s="742"/>
      <c r="G8" s="742"/>
    </row>
    <row r="9" spans="1:11" ht="18" customHeight="1" x14ac:dyDescent="0.3">
      <c r="A9" s="740"/>
      <c r="B9" s="741" t="s">
        <v>1</v>
      </c>
      <c r="C9" s="1446" t="s">
        <v>732</v>
      </c>
      <c r="D9" s="1447"/>
      <c r="E9" s="1447"/>
      <c r="F9" s="1447"/>
      <c r="G9" s="1448"/>
      <c r="H9" s="740"/>
      <c r="I9" s="740"/>
      <c r="J9" s="740"/>
      <c r="K9" s="740"/>
    </row>
    <row r="10" spans="1:11" ht="18" customHeight="1" x14ac:dyDescent="0.3">
      <c r="A10" s="740"/>
      <c r="B10" s="741" t="s">
        <v>2</v>
      </c>
      <c r="C10" s="1426" t="s">
        <v>428</v>
      </c>
      <c r="D10" s="1427"/>
      <c r="E10" s="1427"/>
      <c r="F10" s="1427"/>
      <c r="G10" s="1428"/>
      <c r="H10" s="740"/>
      <c r="I10" s="740"/>
      <c r="J10" s="740"/>
      <c r="K10" s="740"/>
    </row>
    <row r="11" spans="1:11" ht="18" customHeight="1" x14ac:dyDescent="0.3">
      <c r="A11" s="740"/>
      <c r="B11" s="741" t="s">
        <v>32</v>
      </c>
      <c r="C11" s="1430" t="s">
        <v>733</v>
      </c>
      <c r="D11" s="1431"/>
      <c r="E11" s="1431"/>
      <c r="F11" s="1431"/>
      <c r="G11" s="1431"/>
      <c r="H11" s="740"/>
      <c r="I11" s="740"/>
      <c r="J11" s="740"/>
      <c r="K11" s="740"/>
    </row>
    <row r="12" spans="1:11" ht="18" customHeight="1" x14ac:dyDescent="0.3">
      <c r="A12" s="740"/>
      <c r="B12" s="741"/>
      <c r="C12" s="741"/>
      <c r="D12" s="741"/>
      <c r="E12" s="741"/>
      <c r="F12" s="741"/>
      <c r="G12" s="741"/>
      <c r="H12" s="740"/>
      <c r="I12" s="740"/>
      <c r="J12" s="740"/>
      <c r="K12" s="740"/>
    </row>
    <row r="13" spans="1:11" ht="24.65" customHeight="1" x14ac:dyDescent="0.25">
      <c r="A13" s="740"/>
      <c r="B13" s="1417"/>
      <c r="C13" s="1417"/>
      <c r="D13" s="1417"/>
      <c r="E13" s="1417"/>
      <c r="F13" s="1417"/>
      <c r="G13" s="1417"/>
      <c r="H13" s="1417"/>
      <c r="I13" s="892"/>
      <c r="J13" s="740"/>
      <c r="K13" s="740"/>
    </row>
    <row r="14" spans="1:11" ht="18" customHeight="1" x14ac:dyDescent="0.3">
      <c r="A14" s="740"/>
      <c r="B14" s="692"/>
      <c r="C14" s="740"/>
      <c r="D14" s="740"/>
      <c r="E14" s="740"/>
      <c r="F14" s="740"/>
      <c r="G14" s="740"/>
      <c r="H14" s="740"/>
      <c r="I14" s="740"/>
      <c r="J14" s="740"/>
      <c r="K14" s="740"/>
    </row>
    <row r="15" spans="1:11" ht="18" customHeight="1" x14ac:dyDescent="0.3">
      <c r="A15" s="740"/>
      <c r="B15" s="692"/>
      <c r="C15" s="740"/>
      <c r="D15" s="740"/>
      <c r="E15" s="740"/>
      <c r="F15" s="740"/>
      <c r="G15" s="740"/>
      <c r="H15" s="740"/>
      <c r="I15" s="740"/>
      <c r="J15" s="740"/>
      <c r="K15" s="740"/>
    </row>
    <row r="16" spans="1:11" ht="45.4" customHeight="1" x14ac:dyDescent="0.3">
      <c r="A16" s="893" t="s">
        <v>181</v>
      </c>
      <c r="B16" s="401"/>
      <c r="C16" s="401"/>
      <c r="D16" s="401"/>
      <c r="E16" s="401"/>
      <c r="F16" s="693" t="s">
        <v>9</v>
      </c>
      <c r="G16" s="693" t="s">
        <v>37</v>
      </c>
      <c r="H16" s="214" t="s">
        <v>29</v>
      </c>
      <c r="I16" s="214" t="s">
        <v>30</v>
      </c>
      <c r="J16" s="214" t="s">
        <v>33</v>
      </c>
      <c r="K16" s="214" t="s">
        <v>34</v>
      </c>
    </row>
    <row r="17" spans="1:11" ht="18" customHeight="1" x14ac:dyDescent="0.3">
      <c r="A17" s="215" t="s">
        <v>184</v>
      </c>
      <c r="B17" s="690" t="s">
        <v>182</v>
      </c>
      <c r="C17" s="740"/>
      <c r="D17" s="740"/>
      <c r="E17" s="740"/>
      <c r="F17" s="740"/>
      <c r="G17" s="740"/>
      <c r="H17" s="740"/>
      <c r="I17" s="740"/>
      <c r="J17" s="740"/>
      <c r="K17" s="740"/>
    </row>
    <row r="18" spans="1:11" ht="18" customHeight="1" x14ac:dyDescent="0.3">
      <c r="A18" s="216" t="s">
        <v>185</v>
      </c>
      <c r="B18" s="689" t="s">
        <v>183</v>
      </c>
      <c r="C18" s="740"/>
      <c r="D18" s="740"/>
      <c r="E18" s="740"/>
      <c r="F18" s="217" t="s">
        <v>73</v>
      </c>
      <c r="G18" s="217" t="s">
        <v>73</v>
      </c>
      <c r="H18" s="218">
        <f>+'[9]DGH 2017'!E206</f>
        <v>1073031</v>
      </c>
      <c r="I18" s="219">
        <v>0</v>
      </c>
      <c r="J18" s="218">
        <f>+'[9]DGH 2017'!D206</f>
        <v>906923</v>
      </c>
      <c r="K18" s="220">
        <f>(H18+I18)-J18</f>
        <v>166108</v>
      </c>
    </row>
    <row r="19" spans="1:11" ht="45.4" customHeight="1" x14ac:dyDescent="0.3">
      <c r="A19" s="893" t="s">
        <v>8</v>
      </c>
      <c r="B19" s="401"/>
      <c r="C19" s="401"/>
      <c r="D19" s="401"/>
      <c r="E19" s="401"/>
      <c r="F19" s="693" t="s">
        <v>9</v>
      </c>
      <c r="G19" s="693" t="s">
        <v>37</v>
      </c>
      <c r="H19" s="214" t="s">
        <v>29</v>
      </c>
      <c r="I19" s="214" t="s">
        <v>30</v>
      </c>
      <c r="J19" s="214" t="s">
        <v>33</v>
      </c>
      <c r="K19" s="214" t="s">
        <v>34</v>
      </c>
    </row>
    <row r="20" spans="1:11" ht="18" customHeight="1" x14ac:dyDescent="0.3">
      <c r="A20" s="215" t="s">
        <v>74</v>
      </c>
      <c r="B20" s="690" t="s">
        <v>41</v>
      </c>
      <c r="C20" s="740"/>
      <c r="D20" s="740"/>
      <c r="E20" s="740"/>
      <c r="F20" s="740"/>
      <c r="G20" s="740"/>
      <c r="H20" s="740"/>
      <c r="I20" s="740"/>
      <c r="J20" s="740"/>
      <c r="K20" s="740"/>
    </row>
    <row r="21" spans="1:11" ht="18" customHeight="1" x14ac:dyDescent="0.3">
      <c r="A21" s="216" t="s">
        <v>75</v>
      </c>
      <c r="B21" s="689" t="s">
        <v>42</v>
      </c>
      <c r="C21" s="740"/>
      <c r="D21" s="740"/>
      <c r="E21" s="740"/>
      <c r="F21" s="217">
        <f>+'[9]2017 CBR Initiatives'!E9</f>
        <v>32</v>
      </c>
      <c r="G21" s="217">
        <f>+'[9]2017 CBR Initiatives'!F9</f>
        <v>198</v>
      </c>
      <c r="H21" s="217">
        <f>+'[9]2017 CBR Initiatives'!G9</f>
        <v>1081.2405111336034</v>
      </c>
      <c r="I21" s="217">
        <f>+'[9]2017 CBR Initiatives'!H9</f>
        <v>586.65512278637175</v>
      </c>
      <c r="J21" s="217">
        <f>+'[9]2017 CBR Initiatives'!I9</f>
        <v>0</v>
      </c>
      <c r="K21" s="220">
        <f>+'[9]2017 CBR Initiatives'!J9</f>
        <v>1667.8956339199751</v>
      </c>
    </row>
    <row r="22" spans="1:11" ht="18" customHeight="1" x14ac:dyDescent="0.3">
      <c r="A22" s="216" t="s">
        <v>76</v>
      </c>
      <c r="B22" s="740" t="s">
        <v>6</v>
      </c>
      <c r="C22" s="740"/>
      <c r="D22" s="740"/>
      <c r="E22" s="740"/>
      <c r="F22" s="217">
        <f>+'[9]2017 CBR Initiatives'!E11</f>
        <v>40</v>
      </c>
      <c r="G22" s="217">
        <f>+'[9]2017 CBR Initiatives'!F11</f>
        <v>106</v>
      </c>
      <c r="H22" s="217">
        <f>+'[9]2017 CBR Initiatives'!G11</f>
        <v>1351.5506389170041</v>
      </c>
      <c r="I22" s="217">
        <f>+'[9]2017 CBR Initiatives'!H11</f>
        <v>733.31890348296463</v>
      </c>
      <c r="J22" s="217">
        <f>+'[9]2017 CBR Initiatives'!I11</f>
        <v>0</v>
      </c>
      <c r="K22" s="220">
        <f>+'[9]2017 CBR Initiatives'!J11</f>
        <v>2084.8695423999689</v>
      </c>
    </row>
    <row r="23" spans="1:11" ht="18" customHeight="1" x14ac:dyDescent="0.3">
      <c r="A23" s="216" t="s">
        <v>77</v>
      </c>
      <c r="B23" s="740" t="s">
        <v>43</v>
      </c>
      <c r="C23" s="740"/>
      <c r="D23" s="740"/>
      <c r="E23" s="740"/>
      <c r="F23" s="217">
        <f>+'[9]2017 CBR Initiatives'!E13</f>
        <v>46</v>
      </c>
      <c r="G23" s="217">
        <f>+'[9]2017 CBR Initiatives'!F13</f>
        <v>8</v>
      </c>
      <c r="H23" s="218">
        <f>+'[9]2017 CBR Initiatives'!G13</f>
        <v>1754.2832347545548</v>
      </c>
      <c r="I23" s="219">
        <f>+'[9]2017 CBR Initiatives'!H13</f>
        <v>951.83193368144043</v>
      </c>
      <c r="J23" s="218">
        <f>+'[9]2017 CBR Initiatives'!I13</f>
        <v>0</v>
      </c>
      <c r="K23" s="220">
        <f>+'[9]2017 CBR Initiatives'!J13</f>
        <v>2706.1151684359952</v>
      </c>
    </row>
    <row r="24" spans="1:11" ht="18" customHeight="1" x14ac:dyDescent="0.3">
      <c r="A24" s="216" t="s">
        <v>78</v>
      </c>
      <c r="B24" s="740" t="s">
        <v>44</v>
      </c>
      <c r="C24" s="740"/>
      <c r="D24" s="740"/>
      <c r="E24" s="740"/>
      <c r="F24" s="217"/>
      <c r="G24" s="217"/>
      <c r="H24" s="218"/>
      <c r="I24" s="219"/>
      <c r="J24" s="218"/>
      <c r="K24" s="220"/>
    </row>
    <row r="25" spans="1:11" ht="18" customHeight="1" x14ac:dyDescent="0.3">
      <c r="A25" s="216" t="s">
        <v>79</v>
      </c>
      <c r="B25" s="740" t="s">
        <v>5</v>
      </c>
      <c r="C25" s="740"/>
      <c r="D25" s="740"/>
      <c r="E25" s="740"/>
      <c r="F25" s="217">
        <f>+'[9]2017 CBR Initiatives'!E16</f>
        <v>80</v>
      </c>
      <c r="G25" s="217">
        <f>+'[9]2017 CBR Initiatives'!F16</f>
        <v>125</v>
      </c>
      <c r="H25" s="218">
        <f>+'[9]2017 CBR Initiatives'!G16</f>
        <v>1928.1297084957482</v>
      </c>
      <c r="I25" s="218">
        <f>+'[9]2017 CBR Initiatives'!H16</f>
        <v>1046.1568533902762</v>
      </c>
      <c r="J25" s="218">
        <f>+'[9]2017 CBR Initiatives'!I16</f>
        <v>0</v>
      </c>
      <c r="K25" s="220">
        <f>+'[9]2017 CBR Initiatives'!J16</f>
        <v>2974.2865618860242</v>
      </c>
    </row>
    <row r="26" spans="1:11" ht="18" customHeight="1" x14ac:dyDescent="0.3">
      <c r="A26" s="216" t="s">
        <v>80</v>
      </c>
      <c r="B26" s="740" t="s">
        <v>45</v>
      </c>
      <c r="C26" s="740"/>
      <c r="D26" s="740"/>
      <c r="E26" s="740"/>
      <c r="F26" s="217"/>
      <c r="G26" s="217"/>
      <c r="H26" s="218"/>
      <c r="I26" s="219"/>
      <c r="J26" s="218"/>
      <c r="K26" s="220"/>
    </row>
    <row r="27" spans="1:11" ht="18" customHeight="1" x14ac:dyDescent="0.3">
      <c r="A27" s="216" t="s">
        <v>81</v>
      </c>
      <c r="B27" s="740" t="s">
        <v>46</v>
      </c>
      <c r="C27" s="740"/>
      <c r="D27" s="740"/>
      <c r="E27" s="740"/>
      <c r="F27" s="217"/>
      <c r="G27" s="217"/>
      <c r="H27" s="218"/>
      <c r="I27" s="219"/>
      <c r="J27" s="218"/>
      <c r="K27" s="220"/>
    </row>
    <row r="28" spans="1:11" ht="18" customHeight="1" x14ac:dyDescent="0.3">
      <c r="A28" s="216" t="s">
        <v>82</v>
      </c>
      <c r="B28" s="740" t="s">
        <v>47</v>
      </c>
      <c r="C28" s="740"/>
      <c r="D28" s="740"/>
      <c r="E28" s="740"/>
      <c r="F28" s="217"/>
      <c r="G28" s="217"/>
      <c r="H28" s="218"/>
      <c r="I28" s="219"/>
      <c r="J28" s="218"/>
      <c r="K28" s="220"/>
    </row>
    <row r="29" spans="1:11" ht="18" customHeight="1" x14ac:dyDescent="0.3">
      <c r="A29" s="216" t="s">
        <v>83</v>
      </c>
      <c r="B29" s="740" t="s">
        <v>48</v>
      </c>
      <c r="C29" s="740"/>
      <c r="D29" s="740"/>
      <c r="E29" s="740"/>
      <c r="F29" s="217"/>
      <c r="G29" s="217"/>
      <c r="H29" s="217"/>
      <c r="I29" s="217"/>
      <c r="J29" s="217"/>
      <c r="K29" s="220"/>
    </row>
    <row r="30" spans="1:11" ht="18" customHeight="1" x14ac:dyDescent="0.3">
      <c r="A30" s="216" t="s">
        <v>84</v>
      </c>
      <c r="B30" s="1418"/>
      <c r="C30" s="1419"/>
      <c r="D30" s="1420"/>
      <c r="E30" s="740"/>
      <c r="F30" s="217"/>
      <c r="G30" s="217"/>
      <c r="H30" s="218"/>
      <c r="I30" s="219"/>
      <c r="J30" s="218"/>
      <c r="K30" s="220"/>
    </row>
    <row r="31" spans="1:11" ht="18" customHeight="1" x14ac:dyDescent="0.3">
      <c r="A31" s="216" t="s">
        <v>133</v>
      </c>
      <c r="B31" s="1418"/>
      <c r="C31" s="1419"/>
      <c r="D31" s="1420"/>
      <c r="E31" s="740"/>
      <c r="F31" s="217"/>
      <c r="G31" s="217"/>
      <c r="H31" s="218"/>
      <c r="I31" s="219"/>
      <c r="J31" s="218"/>
      <c r="K31" s="220"/>
    </row>
    <row r="32" spans="1:11" ht="18" customHeight="1" x14ac:dyDescent="0.3">
      <c r="A32" s="216" t="s">
        <v>134</v>
      </c>
      <c r="B32" s="869"/>
      <c r="C32" s="870"/>
      <c r="D32" s="871"/>
      <c r="E32" s="740"/>
      <c r="F32" s="217"/>
      <c r="G32" s="221"/>
      <c r="H32" s="218"/>
      <c r="I32" s="219"/>
      <c r="J32" s="218"/>
      <c r="K32" s="220"/>
    </row>
    <row r="33" spans="1:11" ht="18" customHeight="1" x14ac:dyDescent="0.3">
      <c r="A33" s="216" t="s">
        <v>135</v>
      </c>
      <c r="B33" s="869"/>
      <c r="C33" s="870"/>
      <c r="D33" s="871"/>
      <c r="E33" s="740"/>
      <c r="F33" s="217"/>
      <c r="G33" s="221"/>
      <c r="H33" s="218"/>
      <c r="I33" s="219"/>
      <c r="J33" s="218"/>
      <c r="K33" s="220"/>
    </row>
    <row r="34" spans="1:11" ht="18" customHeight="1" x14ac:dyDescent="0.3">
      <c r="A34" s="216" t="s">
        <v>136</v>
      </c>
      <c r="B34" s="1418"/>
      <c r="C34" s="1419"/>
      <c r="D34" s="1420"/>
      <c r="E34" s="740"/>
      <c r="F34" s="217"/>
      <c r="G34" s="221"/>
      <c r="H34" s="218"/>
      <c r="I34" s="219"/>
      <c r="J34" s="218"/>
      <c r="K34" s="220"/>
    </row>
    <row r="35" spans="1:11" ht="18" customHeight="1" x14ac:dyDescent="0.25">
      <c r="A35" s="740"/>
      <c r="B35" s="740"/>
      <c r="C35" s="740"/>
      <c r="D35" s="740"/>
      <c r="E35" s="740"/>
      <c r="F35" s="740"/>
      <c r="G35" s="740"/>
      <c r="H35" s="740"/>
      <c r="I35" s="740"/>
      <c r="J35" s="740"/>
      <c r="K35" s="222"/>
    </row>
    <row r="36" spans="1:11" ht="18" customHeight="1" x14ac:dyDescent="0.3">
      <c r="A36" s="215" t="s">
        <v>137</v>
      </c>
      <c r="B36" s="690" t="s">
        <v>138</v>
      </c>
      <c r="C36" s="740"/>
      <c r="D36" s="740"/>
      <c r="E36" s="690" t="s">
        <v>7</v>
      </c>
      <c r="F36" s="223">
        <f t="shared" ref="F36:K36" si="0">SUM(F21:F34)</f>
        <v>198</v>
      </c>
      <c r="G36" s="223">
        <f t="shared" si="0"/>
        <v>437</v>
      </c>
      <c r="H36" s="220">
        <f t="shared" si="0"/>
        <v>6115.2040933009102</v>
      </c>
      <c r="I36" s="220">
        <f t="shared" si="0"/>
        <v>3317.9628133410533</v>
      </c>
      <c r="J36" s="220">
        <f t="shared" si="0"/>
        <v>0</v>
      </c>
      <c r="K36" s="220">
        <f t="shared" si="0"/>
        <v>9433.1669066419636</v>
      </c>
    </row>
    <row r="37" spans="1:11" ht="18" customHeight="1" thickBot="1" x14ac:dyDescent="0.35">
      <c r="A37" s="740"/>
      <c r="B37" s="690"/>
      <c r="C37" s="740"/>
      <c r="D37" s="740"/>
      <c r="E37" s="740"/>
      <c r="F37" s="224"/>
      <c r="G37" s="224"/>
      <c r="H37" s="225"/>
      <c r="I37" s="225"/>
      <c r="J37" s="225"/>
      <c r="K37" s="226"/>
    </row>
    <row r="38" spans="1:11" ht="42.75" customHeight="1" x14ac:dyDescent="0.3">
      <c r="A38" s="740"/>
      <c r="B38" s="740"/>
      <c r="C38" s="740"/>
      <c r="D38" s="740"/>
      <c r="E38" s="740"/>
      <c r="F38" s="693" t="s">
        <v>9</v>
      </c>
      <c r="G38" s="693" t="s">
        <v>37</v>
      </c>
      <c r="H38" s="214" t="s">
        <v>29</v>
      </c>
      <c r="I38" s="214" t="s">
        <v>30</v>
      </c>
      <c r="J38" s="214" t="s">
        <v>33</v>
      </c>
      <c r="K38" s="214" t="s">
        <v>34</v>
      </c>
    </row>
    <row r="39" spans="1:11" ht="18.75" customHeight="1" x14ac:dyDescent="0.3">
      <c r="A39" s="215" t="s">
        <v>86</v>
      </c>
      <c r="B39" s="690" t="s">
        <v>49</v>
      </c>
      <c r="C39" s="740"/>
      <c r="D39" s="740"/>
      <c r="E39" s="740"/>
      <c r="F39" s="740"/>
      <c r="G39" s="740"/>
      <c r="H39" s="740"/>
      <c r="I39" s="740"/>
      <c r="J39" s="740"/>
      <c r="K39" s="740"/>
    </row>
    <row r="40" spans="1:11" ht="18" customHeight="1" x14ac:dyDescent="0.3">
      <c r="A40" s="216" t="s">
        <v>87</v>
      </c>
      <c r="B40" s="740" t="s">
        <v>31</v>
      </c>
      <c r="C40" s="740"/>
      <c r="D40" s="740"/>
      <c r="E40" s="740"/>
      <c r="F40" s="217"/>
      <c r="G40" s="217"/>
      <c r="H40" s="218"/>
      <c r="I40" s="219">
        <v>0</v>
      </c>
      <c r="J40" s="218"/>
      <c r="K40" s="220">
        <f>(H40+I40)-J40</f>
        <v>0</v>
      </c>
    </row>
    <row r="41" spans="1:11" ht="18" customHeight="1" x14ac:dyDescent="0.3">
      <c r="A41" s="216" t="s">
        <v>88</v>
      </c>
      <c r="B41" s="1425" t="s">
        <v>50</v>
      </c>
      <c r="C41" s="1425"/>
      <c r="D41" s="740"/>
      <c r="E41" s="740"/>
      <c r="F41" s="217">
        <f>+'[9]DGH 2017'!G24</f>
        <v>4992</v>
      </c>
      <c r="G41" s="217">
        <f>+'[9]DGH 2017'!G25</f>
        <v>9</v>
      </c>
      <c r="H41" s="218">
        <f>+'[9]DGH 2017'!E24</f>
        <v>173000</v>
      </c>
      <c r="I41" s="219">
        <v>0</v>
      </c>
      <c r="J41" s="218">
        <v>0</v>
      </c>
      <c r="K41" s="220">
        <f>(H41+I41)-J41</f>
        <v>173000</v>
      </c>
    </row>
    <row r="42" spans="1:11" ht="18" customHeight="1" x14ac:dyDescent="0.3">
      <c r="A42" s="216" t="s">
        <v>89</v>
      </c>
      <c r="B42" s="689" t="s">
        <v>11</v>
      </c>
      <c r="C42" s="740"/>
      <c r="D42" s="740"/>
      <c r="E42" s="740"/>
      <c r="F42" s="217"/>
      <c r="G42" s="217"/>
      <c r="H42" s="217"/>
      <c r="I42" s="217"/>
      <c r="J42" s="217"/>
      <c r="K42" s="220"/>
    </row>
    <row r="43" spans="1:11" ht="18" customHeight="1" x14ac:dyDescent="0.3">
      <c r="A43" s="216" t="s">
        <v>90</v>
      </c>
      <c r="B43" s="716" t="s">
        <v>10</v>
      </c>
      <c r="C43" s="694"/>
      <c r="D43" s="694"/>
      <c r="E43" s="740"/>
      <c r="F43" s="217"/>
      <c r="G43" s="217"/>
      <c r="H43" s="218"/>
      <c r="I43" s="219"/>
      <c r="J43" s="218"/>
      <c r="K43" s="220"/>
    </row>
    <row r="44" spans="1:11" ht="18" customHeight="1" x14ac:dyDescent="0.3">
      <c r="A44" s="216" t="s">
        <v>91</v>
      </c>
      <c r="B44" s="1418"/>
      <c r="C44" s="1419"/>
      <c r="D44" s="1420"/>
      <c r="E44" s="740"/>
      <c r="F44" s="217"/>
      <c r="G44" s="217"/>
      <c r="H44" s="218"/>
      <c r="I44" s="219"/>
      <c r="J44" s="218"/>
      <c r="K44" s="227"/>
    </row>
    <row r="45" spans="1:11" ht="18" customHeight="1" x14ac:dyDescent="0.3">
      <c r="A45" s="216" t="s">
        <v>139</v>
      </c>
      <c r="B45" s="1418"/>
      <c r="C45" s="1419"/>
      <c r="D45" s="1420"/>
      <c r="E45" s="740"/>
      <c r="F45" s="217"/>
      <c r="G45" s="217"/>
      <c r="H45" s="218"/>
      <c r="I45" s="219"/>
      <c r="J45" s="218"/>
      <c r="K45" s="220"/>
    </row>
    <row r="46" spans="1:11" ht="18" customHeight="1" x14ac:dyDescent="0.3">
      <c r="A46" s="216" t="s">
        <v>140</v>
      </c>
      <c r="B46" s="1418"/>
      <c r="C46" s="1419"/>
      <c r="D46" s="1420"/>
      <c r="E46" s="740"/>
      <c r="F46" s="217"/>
      <c r="G46" s="217"/>
      <c r="H46" s="218"/>
      <c r="I46" s="219"/>
      <c r="J46" s="218"/>
      <c r="K46" s="220"/>
    </row>
    <row r="47" spans="1:11" ht="18" customHeight="1" x14ac:dyDescent="0.3">
      <c r="A47" s="216" t="s">
        <v>141</v>
      </c>
      <c r="B47" s="1418"/>
      <c r="C47" s="1419"/>
      <c r="D47" s="1420"/>
      <c r="E47" s="740"/>
      <c r="F47" s="217"/>
      <c r="G47" s="217"/>
      <c r="H47" s="218"/>
      <c r="I47" s="219"/>
      <c r="J47" s="218"/>
      <c r="K47" s="220"/>
    </row>
    <row r="48" spans="1:11" ht="18" customHeight="1" x14ac:dyDescent="0.25">
      <c r="B48" s="742"/>
      <c r="C48" s="742"/>
      <c r="D48" s="742"/>
      <c r="E48" s="742"/>
      <c r="F48" s="742"/>
      <c r="G48" s="742"/>
    </row>
    <row r="49" spans="1:11" ht="18" customHeight="1" x14ac:dyDescent="0.3">
      <c r="A49" s="215" t="s">
        <v>142</v>
      </c>
      <c r="B49" s="690" t="s">
        <v>143</v>
      </c>
      <c r="C49" s="740"/>
      <c r="D49" s="740"/>
      <c r="E49" s="690" t="s">
        <v>7</v>
      </c>
      <c r="F49" s="228">
        <f t="shared" ref="F49:K49" si="1">SUM(F40:F47)</f>
        <v>4992</v>
      </c>
      <c r="G49" s="228">
        <f t="shared" si="1"/>
        <v>9</v>
      </c>
      <c r="H49" s="220">
        <f t="shared" si="1"/>
        <v>173000</v>
      </c>
      <c r="I49" s="220">
        <f t="shared" si="1"/>
        <v>0</v>
      </c>
      <c r="J49" s="220">
        <f t="shared" si="1"/>
        <v>0</v>
      </c>
      <c r="K49" s="220">
        <f t="shared" si="1"/>
        <v>173000</v>
      </c>
    </row>
    <row r="50" spans="1:11" ht="18" customHeight="1" thickBot="1" x14ac:dyDescent="0.3">
      <c r="A50" s="740"/>
      <c r="B50" s="740"/>
      <c r="C50" s="740"/>
      <c r="D50" s="740"/>
      <c r="E50" s="740"/>
      <c r="F50" s="740"/>
      <c r="G50" s="229"/>
      <c r="H50" s="230"/>
      <c r="I50" s="230"/>
      <c r="J50" s="230"/>
      <c r="K50" s="230"/>
    </row>
    <row r="51" spans="1:11" ht="42.75" customHeight="1" x14ac:dyDescent="0.3">
      <c r="A51" s="740"/>
      <c r="B51" s="740"/>
      <c r="C51" s="740"/>
      <c r="D51" s="740"/>
      <c r="E51" s="740"/>
      <c r="F51" s="693" t="s">
        <v>9</v>
      </c>
      <c r="G51" s="693" t="s">
        <v>37</v>
      </c>
      <c r="H51" s="214" t="s">
        <v>29</v>
      </c>
      <c r="I51" s="214" t="s">
        <v>30</v>
      </c>
      <c r="J51" s="214" t="s">
        <v>33</v>
      </c>
      <c r="K51" s="214" t="s">
        <v>34</v>
      </c>
    </row>
    <row r="52" spans="1:11" ht="18" customHeight="1" x14ac:dyDescent="0.3">
      <c r="A52" s="215" t="s">
        <v>92</v>
      </c>
      <c r="B52" s="1439" t="s">
        <v>38</v>
      </c>
      <c r="C52" s="1439"/>
      <c r="D52" s="740"/>
      <c r="E52" s="740"/>
      <c r="F52" s="740"/>
      <c r="G52" s="740"/>
      <c r="H52" s="740"/>
      <c r="I52" s="740"/>
      <c r="J52" s="740"/>
      <c r="K52" s="740"/>
    </row>
    <row r="53" spans="1:11" ht="18" customHeight="1" x14ac:dyDescent="0.3">
      <c r="A53" s="216" t="s">
        <v>51</v>
      </c>
      <c r="B53" s="1421" t="s">
        <v>435</v>
      </c>
      <c r="C53" s="1422"/>
      <c r="D53" s="1423"/>
      <c r="E53" s="740"/>
      <c r="F53" s="217">
        <v>682</v>
      </c>
      <c r="G53" s="217">
        <v>688</v>
      </c>
      <c r="H53" s="218">
        <f>+'[9]DGH 2017'!I85</f>
        <v>380127</v>
      </c>
      <c r="I53" s="219"/>
      <c r="J53" s="218"/>
      <c r="K53" s="220">
        <f t="shared" ref="K53:K62" si="2">(H53+I53)-J53</f>
        <v>380127</v>
      </c>
    </row>
    <row r="54" spans="1:11" ht="18" customHeight="1" x14ac:dyDescent="0.3">
      <c r="A54" s="216" t="s">
        <v>93</v>
      </c>
      <c r="B54" s="1421" t="s">
        <v>436</v>
      </c>
      <c r="C54" s="1422"/>
      <c r="D54" s="1423"/>
      <c r="E54" s="740"/>
      <c r="F54" s="217">
        <f>+'[9]DGH 2017'!O89</f>
        <v>10950</v>
      </c>
      <c r="G54" s="217">
        <f>+'[9]DGH 2017'!O90</f>
        <v>19857</v>
      </c>
      <c r="H54" s="218">
        <f>+'[9]DGH 2017'!I89</f>
        <v>1261357</v>
      </c>
      <c r="I54" s="219"/>
      <c r="J54" s="218"/>
      <c r="K54" s="220">
        <f t="shared" si="2"/>
        <v>1261357</v>
      </c>
    </row>
    <row r="55" spans="1:11" ht="18" customHeight="1" x14ac:dyDescent="0.3">
      <c r="A55" s="216" t="s">
        <v>94</v>
      </c>
      <c r="B55" s="1449" t="s">
        <v>608</v>
      </c>
      <c r="C55" s="1450"/>
      <c r="D55" s="1451"/>
      <c r="E55" s="740"/>
      <c r="F55" s="217">
        <f>+'[9]2017 CBR Initiatives'!E18</f>
        <v>2496</v>
      </c>
      <c r="G55" s="217">
        <f>+'[9]2017 CBR Initiatives'!F18</f>
        <v>51</v>
      </c>
      <c r="H55" s="217">
        <f>+'[9]2017 CBR Initiatives'!G18</f>
        <v>113908.84988810719</v>
      </c>
      <c r="I55" s="217">
        <f>+'[9]2017 CBR Initiatives'!H18</f>
        <v>61804.205104653774</v>
      </c>
      <c r="J55" s="217">
        <f>+'[9]2017 CBR Initiatives'!I18</f>
        <v>0</v>
      </c>
      <c r="K55" s="220">
        <f t="shared" si="2"/>
        <v>175713.05499276097</v>
      </c>
    </row>
    <row r="56" spans="1:11" ht="18" customHeight="1" x14ac:dyDescent="0.3">
      <c r="A56" s="216" t="s">
        <v>95</v>
      </c>
      <c r="B56" s="1449" t="s">
        <v>431</v>
      </c>
      <c r="C56" s="1450"/>
      <c r="D56" s="1451"/>
      <c r="E56" s="740"/>
      <c r="F56" s="217"/>
      <c r="G56" s="217"/>
      <c r="H56" s="218">
        <f>+'[9]DGH 2017'!I95</f>
        <v>162600</v>
      </c>
      <c r="I56" s="219">
        <f>+H56*F114</f>
        <v>103941.18305888653</v>
      </c>
      <c r="J56" s="218"/>
      <c r="K56" s="220">
        <f t="shared" si="2"/>
        <v>266541.18305888656</v>
      </c>
    </row>
    <row r="57" spans="1:11" ht="18" customHeight="1" x14ac:dyDescent="0.3">
      <c r="A57" s="216" t="s">
        <v>96</v>
      </c>
      <c r="B57" s="1449" t="s">
        <v>437</v>
      </c>
      <c r="C57" s="1450"/>
      <c r="D57" s="1451"/>
      <c r="E57" s="740"/>
      <c r="F57" s="217"/>
      <c r="G57" s="217"/>
      <c r="H57" s="218">
        <f>+'[9]DGH 2017'!I100</f>
        <v>1029073</v>
      </c>
      <c r="I57" s="219"/>
      <c r="J57" s="218"/>
      <c r="K57" s="220">
        <f t="shared" si="2"/>
        <v>1029073</v>
      </c>
    </row>
    <row r="58" spans="1:11" ht="18" customHeight="1" x14ac:dyDescent="0.3">
      <c r="A58" s="216" t="s">
        <v>97</v>
      </c>
      <c r="B58" s="1449" t="s">
        <v>438</v>
      </c>
      <c r="C58" s="1450"/>
      <c r="D58" s="1451"/>
      <c r="E58" s="740"/>
      <c r="F58" s="217"/>
      <c r="G58" s="217"/>
      <c r="H58" s="218">
        <f>-'[9]DGH 2017'!D209</f>
        <v>1191492</v>
      </c>
      <c r="I58" s="219"/>
      <c r="J58" s="218"/>
      <c r="K58" s="220">
        <f t="shared" si="2"/>
        <v>1191492</v>
      </c>
    </row>
    <row r="59" spans="1:11" ht="18" customHeight="1" x14ac:dyDescent="0.3">
      <c r="A59" s="216" t="s">
        <v>98</v>
      </c>
      <c r="B59" s="1421" t="s">
        <v>430</v>
      </c>
      <c r="C59" s="1422"/>
      <c r="D59" s="1423"/>
      <c r="E59" s="740"/>
      <c r="F59" s="217"/>
      <c r="G59" s="217"/>
      <c r="H59" s="218">
        <f>+'[9]DGH 2017'!I105</f>
        <v>157608.78</v>
      </c>
      <c r="I59" s="219">
        <f>+H59*F114</f>
        <v>100750.57228577966</v>
      </c>
      <c r="J59" s="218"/>
      <c r="K59" s="220">
        <f t="shared" si="2"/>
        <v>258359.35228577966</v>
      </c>
    </row>
    <row r="60" spans="1:11" ht="18" customHeight="1" x14ac:dyDescent="0.3">
      <c r="A60" s="216" t="s">
        <v>99</v>
      </c>
      <c r="B60" s="877" t="s">
        <v>734</v>
      </c>
      <c r="C60" s="873"/>
      <c r="D60" s="874"/>
      <c r="E60" s="740"/>
      <c r="F60" s="217">
        <f>+'[9]2017 CBR Initiatives'!E21</f>
        <v>340</v>
      </c>
      <c r="G60" s="217">
        <f>+'[9]2017 CBR Initiatives'!F21</f>
        <v>962</v>
      </c>
      <c r="H60" s="217">
        <f>+'[9]2017 CBR Initiatives'!G21</f>
        <v>124253.66322456083</v>
      </c>
      <c r="I60" s="217">
        <f>+'[9]2017 CBR Initiatives'!H21</f>
        <v>67417.052270116124</v>
      </c>
      <c r="J60" s="217">
        <f>+'[9]2017 CBR Initiatives'!I21</f>
        <v>0</v>
      </c>
      <c r="K60" s="220">
        <f t="shared" si="2"/>
        <v>191670.71549467696</v>
      </c>
    </row>
    <row r="61" spans="1:11" ht="18" customHeight="1" x14ac:dyDescent="0.3">
      <c r="A61" s="216" t="s">
        <v>100</v>
      </c>
      <c r="B61" s="872"/>
      <c r="C61" s="873"/>
      <c r="D61" s="874"/>
      <c r="E61" s="740"/>
      <c r="F61" s="217"/>
      <c r="G61" s="217"/>
      <c r="H61" s="218"/>
      <c r="I61" s="219"/>
      <c r="J61" s="218"/>
      <c r="K61" s="220">
        <f t="shared" si="2"/>
        <v>0</v>
      </c>
    </row>
    <row r="62" spans="1:11" ht="18" customHeight="1" x14ac:dyDescent="0.3">
      <c r="A62" s="216" t="s">
        <v>101</v>
      </c>
      <c r="B62" s="1421"/>
      <c r="C62" s="1422"/>
      <c r="D62" s="1423"/>
      <c r="E62" s="740"/>
      <c r="F62" s="217"/>
      <c r="G62" s="217"/>
      <c r="H62" s="218"/>
      <c r="I62" s="219"/>
      <c r="J62" s="218"/>
      <c r="K62" s="220">
        <f t="shared" si="2"/>
        <v>0</v>
      </c>
    </row>
    <row r="63" spans="1:11" ht="18" customHeight="1" x14ac:dyDescent="0.3">
      <c r="A63" s="216"/>
      <c r="B63" s="740"/>
      <c r="C63" s="740"/>
      <c r="D63" s="740"/>
      <c r="E63" s="740"/>
      <c r="F63" s="740"/>
      <c r="G63" s="740"/>
      <c r="H63" s="740"/>
      <c r="I63" s="231"/>
      <c r="J63" s="740"/>
      <c r="K63" s="740"/>
    </row>
    <row r="64" spans="1:11" ht="18" customHeight="1" x14ac:dyDescent="0.3">
      <c r="A64" s="216" t="s">
        <v>144</v>
      </c>
      <c r="B64" s="690" t="s">
        <v>145</v>
      </c>
      <c r="C64" s="740"/>
      <c r="D64" s="740"/>
      <c r="E64" s="690" t="s">
        <v>7</v>
      </c>
      <c r="F64" s="223">
        <f t="shared" ref="F64:K64" si="3">SUM(F53:F62)</f>
        <v>14468</v>
      </c>
      <c r="G64" s="223">
        <f t="shared" si="3"/>
        <v>21558</v>
      </c>
      <c r="H64" s="220">
        <f t="shared" si="3"/>
        <v>4420420.2931126682</v>
      </c>
      <c r="I64" s="220">
        <f t="shared" si="3"/>
        <v>333913.01271943608</v>
      </c>
      <c r="J64" s="220">
        <f t="shared" si="3"/>
        <v>0</v>
      </c>
      <c r="K64" s="220">
        <f t="shared" si="3"/>
        <v>4754333.3058321048</v>
      </c>
    </row>
    <row r="65" spans="1:11" ht="18" customHeight="1" x14ac:dyDescent="0.25">
      <c r="A65" s="740"/>
      <c r="B65" s="740"/>
      <c r="C65" s="740"/>
      <c r="D65" s="740"/>
      <c r="E65" s="740"/>
      <c r="F65" s="232"/>
      <c r="G65" s="232"/>
      <c r="H65" s="233"/>
      <c r="I65" s="233"/>
      <c r="J65" s="233"/>
      <c r="K65" s="233"/>
    </row>
    <row r="66" spans="1:11" ht="42.75" customHeight="1" x14ac:dyDescent="0.3">
      <c r="A66" s="740"/>
      <c r="B66" s="740"/>
      <c r="C66" s="740"/>
      <c r="D66" s="740"/>
      <c r="E66" s="740"/>
      <c r="F66" s="722" t="s">
        <v>9</v>
      </c>
      <c r="G66" s="722" t="s">
        <v>37</v>
      </c>
      <c r="H66" s="234" t="s">
        <v>29</v>
      </c>
      <c r="I66" s="234" t="s">
        <v>30</v>
      </c>
      <c r="J66" s="234" t="s">
        <v>33</v>
      </c>
      <c r="K66" s="234" t="s">
        <v>34</v>
      </c>
    </row>
    <row r="67" spans="1:11" ht="18" customHeight="1" x14ac:dyDescent="0.3">
      <c r="A67" s="215" t="s">
        <v>102</v>
      </c>
      <c r="B67" s="690" t="s">
        <v>12</v>
      </c>
      <c r="C67" s="740"/>
      <c r="D67" s="740"/>
      <c r="E67" s="740"/>
      <c r="F67" s="723"/>
      <c r="G67" s="723"/>
      <c r="H67" s="235"/>
      <c r="I67" s="236"/>
      <c r="J67" s="235"/>
      <c r="K67" s="235"/>
    </row>
    <row r="68" spans="1:11" ht="18" customHeight="1" x14ac:dyDescent="0.3">
      <c r="A68" s="216" t="s">
        <v>103</v>
      </c>
      <c r="B68" s="740" t="s">
        <v>52</v>
      </c>
      <c r="C68" s="740"/>
      <c r="D68" s="740"/>
      <c r="E68" s="740"/>
      <c r="F68" s="237"/>
      <c r="G68" s="237"/>
      <c r="H68" s="218"/>
      <c r="I68" s="219">
        <v>0</v>
      </c>
      <c r="J68" s="218"/>
      <c r="K68" s="220">
        <f>(H68+I68)-J68</f>
        <v>0</v>
      </c>
    </row>
    <row r="69" spans="1:11" ht="18" customHeight="1" x14ac:dyDescent="0.3">
      <c r="A69" s="216" t="s">
        <v>104</v>
      </c>
      <c r="B69" s="689" t="s">
        <v>53</v>
      </c>
      <c r="C69" s="740"/>
      <c r="D69" s="740"/>
      <c r="E69" s="740"/>
      <c r="F69" s="237"/>
      <c r="G69" s="237"/>
      <c r="H69" s="218"/>
      <c r="I69" s="219">
        <v>0</v>
      </c>
      <c r="J69" s="218"/>
      <c r="K69" s="220">
        <f>(H69+I69)-J69</f>
        <v>0</v>
      </c>
    </row>
    <row r="70" spans="1:11" ht="18" customHeight="1" x14ac:dyDescent="0.3">
      <c r="A70" s="216" t="s">
        <v>178</v>
      </c>
      <c r="B70" s="872"/>
      <c r="C70" s="873"/>
      <c r="D70" s="874"/>
      <c r="E70" s="690"/>
      <c r="F70" s="238"/>
      <c r="G70" s="238"/>
      <c r="H70" s="239"/>
      <c r="I70" s="219">
        <v>0</v>
      </c>
      <c r="J70" s="239"/>
      <c r="K70" s="220">
        <f>(H70+I70)-J70</f>
        <v>0</v>
      </c>
    </row>
    <row r="71" spans="1:11" ht="18" customHeight="1" x14ac:dyDescent="0.3">
      <c r="A71" s="216" t="s">
        <v>179</v>
      </c>
      <c r="B71" s="872"/>
      <c r="C71" s="873"/>
      <c r="D71" s="874"/>
      <c r="E71" s="690"/>
      <c r="F71" s="238"/>
      <c r="G71" s="238"/>
      <c r="H71" s="239"/>
      <c r="I71" s="219">
        <v>0</v>
      </c>
      <c r="J71" s="239"/>
      <c r="K71" s="220">
        <f>(H71+I71)-J71</f>
        <v>0</v>
      </c>
    </row>
    <row r="72" spans="1:11" ht="18" customHeight="1" x14ac:dyDescent="0.3">
      <c r="A72" s="216" t="s">
        <v>180</v>
      </c>
      <c r="B72" s="875"/>
      <c r="C72" s="876"/>
      <c r="D72" s="240"/>
      <c r="E72" s="690"/>
      <c r="F72" s="217"/>
      <c r="G72" s="217"/>
      <c r="H72" s="218"/>
      <c r="I72" s="219">
        <v>0</v>
      </c>
      <c r="J72" s="218"/>
      <c r="K72" s="220">
        <f>(H72+I72)-J72</f>
        <v>0</v>
      </c>
    </row>
    <row r="73" spans="1:11" ht="18" customHeight="1" x14ac:dyDescent="0.3">
      <c r="A73" s="216"/>
      <c r="B73" s="689"/>
      <c r="C73" s="740"/>
      <c r="D73" s="740"/>
      <c r="E73" s="690"/>
      <c r="F73" s="726"/>
      <c r="G73" s="726"/>
      <c r="H73" s="241"/>
      <c r="I73" s="236"/>
      <c r="J73" s="241"/>
      <c r="K73" s="235"/>
    </row>
    <row r="74" spans="1:11" ht="18" customHeight="1" x14ac:dyDescent="0.3">
      <c r="A74" s="215" t="s">
        <v>146</v>
      </c>
      <c r="B74" s="690" t="s">
        <v>147</v>
      </c>
      <c r="C74" s="740"/>
      <c r="D74" s="740"/>
      <c r="E74" s="690" t="s">
        <v>7</v>
      </c>
      <c r="F74" s="242">
        <f t="shared" ref="F74:K74" si="4">SUM(F68:F72)</f>
        <v>0</v>
      </c>
      <c r="G74" s="242">
        <f t="shared" si="4"/>
        <v>0</v>
      </c>
      <c r="H74" s="227">
        <f t="shared" si="4"/>
        <v>0</v>
      </c>
      <c r="I74" s="243">
        <f t="shared" si="4"/>
        <v>0</v>
      </c>
      <c r="J74" s="227">
        <f t="shared" si="4"/>
        <v>0</v>
      </c>
      <c r="K74" s="227">
        <f t="shared" si="4"/>
        <v>0</v>
      </c>
    </row>
    <row r="75" spans="1:11" ht="42.75" customHeight="1" x14ac:dyDescent="0.3">
      <c r="A75" s="740"/>
      <c r="B75" s="740"/>
      <c r="C75" s="740"/>
      <c r="D75" s="740"/>
      <c r="E75" s="740"/>
      <c r="F75" s="693" t="s">
        <v>9</v>
      </c>
      <c r="G75" s="693" t="s">
        <v>37</v>
      </c>
      <c r="H75" s="214" t="s">
        <v>29</v>
      </c>
      <c r="I75" s="214" t="s">
        <v>30</v>
      </c>
      <c r="J75" s="214" t="s">
        <v>33</v>
      </c>
      <c r="K75" s="214" t="s">
        <v>34</v>
      </c>
    </row>
    <row r="76" spans="1:11" ht="18" customHeight="1" x14ac:dyDescent="0.3">
      <c r="A76" s="215" t="s">
        <v>105</v>
      </c>
      <c r="B76" s="690" t="s">
        <v>106</v>
      </c>
      <c r="C76" s="740"/>
      <c r="D76" s="740"/>
      <c r="E76" s="740"/>
      <c r="F76" s="740"/>
      <c r="G76" s="740"/>
      <c r="H76" s="740"/>
      <c r="I76" s="740"/>
      <c r="J76" s="740"/>
      <c r="K76" s="740"/>
    </row>
    <row r="77" spans="1:11" ht="18" customHeight="1" x14ac:dyDescent="0.3">
      <c r="A77" s="216" t="s">
        <v>107</v>
      </c>
      <c r="B77" s="689" t="s">
        <v>54</v>
      </c>
      <c r="C77" s="740"/>
      <c r="D77" s="740"/>
      <c r="E77" s="740"/>
      <c r="F77" s="217"/>
      <c r="G77" s="217"/>
      <c r="H77" s="217"/>
      <c r="I77" s="217"/>
      <c r="J77" s="217"/>
      <c r="K77" s="220">
        <f>(H77+I77)-J77</f>
        <v>0</v>
      </c>
    </row>
    <row r="78" spans="1:11" ht="18" customHeight="1" x14ac:dyDescent="0.3">
      <c r="A78" s="216" t="s">
        <v>108</v>
      </c>
      <c r="B78" s="689" t="s">
        <v>55</v>
      </c>
      <c r="C78" s="740"/>
      <c r="D78" s="740"/>
      <c r="E78" s="740"/>
      <c r="F78" s="217"/>
      <c r="G78" s="217"/>
      <c r="H78" s="218"/>
      <c r="I78" s="219">
        <v>0</v>
      </c>
      <c r="J78" s="218"/>
      <c r="K78" s="220">
        <f>(H78+I78)-J78</f>
        <v>0</v>
      </c>
    </row>
    <row r="79" spans="1:11" ht="18" customHeight="1" x14ac:dyDescent="0.3">
      <c r="A79" s="216" t="s">
        <v>109</v>
      </c>
      <c r="B79" s="689" t="s">
        <v>13</v>
      </c>
      <c r="C79" s="740"/>
      <c r="D79" s="740"/>
      <c r="E79" s="740"/>
      <c r="F79" s="217"/>
      <c r="G79" s="217"/>
      <c r="H79" s="218"/>
      <c r="I79" s="219">
        <v>0</v>
      </c>
      <c r="J79" s="218"/>
      <c r="K79" s="220">
        <f>(H79+I79)-J79</f>
        <v>0</v>
      </c>
    </row>
    <row r="80" spans="1:11" ht="18" customHeight="1" x14ac:dyDescent="0.3">
      <c r="A80" s="216" t="s">
        <v>110</v>
      </c>
      <c r="B80" s="689" t="s">
        <v>56</v>
      </c>
      <c r="C80" s="740"/>
      <c r="D80" s="740"/>
      <c r="E80" s="740"/>
      <c r="F80" s="217"/>
      <c r="G80" s="217"/>
      <c r="H80" s="218"/>
      <c r="I80" s="219">
        <v>0</v>
      </c>
      <c r="J80" s="218"/>
      <c r="K80" s="220">
        <f>(H80+I80)-J80</f>
        <v>0</v>
      </c>
    </row>
    <row r="81" spans="1:11" ht="18" customHeight="1" x14ac:dyDescent="0.3">
      <c r="A81" s="216"/>
      <c r="B81" s="740"/>
      <c r="C81" s="740"/>
      <c r="D81" s="740"/>
      <c r="E81" s="740"/>
      <c r="F81" s="740"/>
      <c r="G81" s="740"/>
      <c r="H81" s="740"/>
      <c r="I81" s="740"/>
      <c r="J81" s="740"/>
      <c r="K81" s="244"/>
    </row>
    <row r="82" spans="1:11" ht="18" customHeight="1" x14ac:dyDescent="0.3">
      <c r="A82" s="216" t="s">
        <v>148</v>
      </c>
      <c r="B82" s="690" t="s">
        <v>149</v>
      </c>
      <c r="C82" s="740"/>
      <c r="D82" s="740"/>
      <c r="E82" s="690" t="s">
        <v>7</v>
      </c>
      <c r="F82" s="242">
        <f t="shared" ref="F82:K82" si="5">SUM(F77:F80)</f>
        <v>0</v>
      </c>
      <c r="G82" s="242">
        <f t="shared" si="5"/>
        <v>0</v>
      </c>
      <c r="H82" s="227">
        <f t="shared" si="5"/>
        <v>0</v>
      </c>
      <c r="I82" s="227">
        <f t="shared" si="5"/>
        <v>0</v>
      </c>
      <c r="J82" s="227">
        <f t="shared" si="5"/>
        <v>0</v>
      </c>
      <c r="K82" s="227">
        <f t="shared" si="5"/>
        <v>0</v>
      </c>
    </row>
    <row r="83" spans="1:11" ht="18" customHeight="1" thickBot="1" x14ac:dyDescent="0.35">
      <c r="A83" s="216"/>
      <c r="B83" s="740"/>
      <c r="C83" s="740"/>
      <c r="D83" s="740"/>
      <c r="E83" s="740"/>
      <c r="F83" s="229"/>
      <c r="G83" s="229"/>
      <c r="H83" s="230"/>
      <c r="I83" s="230"/>
      <c r="J83" s="230"/>
      <c r="K83" s="230"/>
    </row>
    <row r="84" spans="1:11" ht="42.75" customHeight="1" x14ac:dyDescent="0.3">
      <c r="A84" s="740"/>
      <c r="B84" s="740"/>
      <c r="C84" s="740"/>
      <c r="D84" s="740"/>
      <c r="E84" s="740"/>
      <c r="F84" s="693" t="s">
        <v>9</v>
      </c>
      <c r="G84" s="693" t="s">
        <v>37</v>
      </c>
      <c r="H84" s="214" t="s">
        <v>29</v>
      </c>
      <c r="I84" s="214" t="s">
        <v>30</v>
      </c>
      <c r="J84" s="214" t="s">
        <v>33</v>
      </c>
      <c r="K84" s="214" t="s">
        <v>34</v>
      </c>
    </row>
    <row r="85" spans="1:11" ht="18" customHeight="1" x14ac:dyDescent="0.3">
      <c r="A85" s="215" t="s">
        <v>111</v>
      </c>
      <c r="B85" s="690" t="s">
        <v>57</v>
      </c>
      <c r="C85" s="740"/>
      <c r="D85" s="740"/>
      <c r="E85" s="740"/>
      <c r="F85" s="740"/>
      <c r="G85" s="740"/>
      <c r="H85" s="740"/>
      <c r="I85" s="740"/>
      <c r="J85" s="740"/>
      <c r="K85" s="740"/>
    </row>
    <row r="86" spans="1:11" ht="18" customHeight="1" x14ac:dyDescent="0.3">
      <c r="A86" s="216" t="s">
        <v>112</v>
      </c>
      <c r="B86" s="689" t="s">
        <v>113</v>
      </c>
      <c r="C86" s="740"/>
      <c r="D86" s="740"/>
      <c r="E86" s="740"/>
      <c r="F86" s="217"/>
      <c r="G86" s="217"/>
      <c r="H86" s="218"/>
      <c r="I86" s="219"/>
      <c r="J86" s="218"/>
      <c r="K86" s="220"/>
    </row>
    <row r="87" spans="1:11" ht="18" customHeight="1" x14ac:dyDescent="0.3">
      <c r="A87" s="216" t="s">
        <v>114</v>
      </c>
      <c r="B87" s="689" t="s">
        <v>14</v>
      </c>
      <c r="C87" s="740"/>
      <c r="D87" s="740"/>
      <c r="E87" s="740"/>
      <c r="F87" s="217">
        <f>+'[9]2017 CBR Initiatives'!E23</f>
        <v>0</v>
      </c>
      <c r="G87" s="217">
        <f>+'[9]2017 CBR Initiatives'!F23</f>
        <v>0</v>
      </c>
      <c r="H87" s="217">
        <f>+'[9]2017 CBR Initiatives'!G23</f>
        <v>1730</v>
      </c>
      <c r="I87" s="217">
        <f>+'[9]2017 CBR Initiatives'!H23</f>
        <v>938.65643394766903</v>
      </c>
      <c r="J87" s="217">
        <f>+'[9]2017 CBR Initiatives'!I23</f>
        <v>0</v>
      </c>
      <c r="K87" s="220">
        <f>+'[9]2017 CBR Initiatives'!J23</f>
        <v>2668.656433947669</v>
      </c>
    </row>
    <row r="88" spans="1:11" ht="18" customHeight="1" x14ac:dyDescent="0.3">
      <c r="A88" s="216" t="s">
        <v>115</v>
      </c>
      <c r="B88" s="689" t="s">
        <v>116</v>
      </c>
      <c r="C88" s="740"/>
      <c r="D88" s="740"/>
      <c r="E88" s="740"/>
      <c r="F88" s="217"/>
      <c r="G88" s="217"/>
      <c r="H88" s="217"/>
      <c r="I88" s="217"/>
      <c r="J88" s="217"/>
      <c r="K88" s="220"/>
    </row>
    <row r="89" spans="1:11" ht="18" customHeight="1" x14ac:dyDescent="0.3">
      <c r="A89" s="216" t="s">
        <v>117</v>
      </c>
      <c r="B89" s="689" t="s">
        <v>58</v>
      </c>
      <c r="C89" s="740"/>
      <c r="D89" s="740"/>
      <c r="E89" s="740"/>
      <c r="F89" s="217"/>
      <c r="G89" s="217"/>
      <c r="H89" s="218"/>
      <c r="I89" s="219"/>
      <c r="J89" s="218"/>
      <c r="K89" s="220"/>
    </row>
    <row r="90" spans="1:11" ht="18" customHeight="1" x14ac:dyDescent="0.3">
      <c r="A90" s="216" t="s">
        <v>118</v>
      </c>
      <c r="B90" s="1425" t="s">
        <v>59</v>
      </c>
      <c r="C90" s="1425"/>
      <c r="D90" s="740"/>
      <c r="E90" s="740"/>
      <c r="F90" s="217"/>
      <c r="G90" s="217"/>
      <c r="H90" s="218"/>
      <c r="I90" s="219"/>
      <c r="J90" s="218"/>
      <c r="K90" s="220"/>
    </row>
    <row r="91" spans="1:11" ht="18" customHeight="1" x14ac:dyDescent="0.3">
      <c r="A91" s="216" t="s">
        <v>119</v>
      </c>
      <c r="B91" s="689" t="s">
        <v>60</v>
      </c>
      <c r="C91" s="740"/>
      <c r="D91" s="740"/>
      <c r="E91" s="740"/>
      <c r="F91" s="217">
        <f>+'[9]2017 CBR Initiatives'!E27</f>
        <v>150</v>
      </c>
      <c r="G91" s="217">
        <f>+'[9]2017 CBR Initiatives'!F27</f>
        <v>0</v>
      </c>
      <c r="H91" s="217">
        <f>+'[9]2017 CBR Initiatives'!G27</f>
        <v>6868.3148959387654</v>
      </c>
      <c r="I91" s="217">
        <f>+'[9]2017 CBR Initiatives'!H27</f>
        <v>3726.5826401453974</v>
      </c>
      <c r="J91" s="217">
        <f>+'[9]2017 CBR Initiatives'!I27</f>
        <v>0</v>
      </c>
      <c r="K91" s="220">
        <f>+'[9]2017 CBR Initiatives'!J27</f>
        <v>10594.897536084163</v>
      </c>
    </row>
    <row r="92" spans="1:11" ht="18" customHeight="1" x14ac:dyDescent="0.3">
      <c r="A92" s="216" t="s">
        <v>120</v>
      </c>
      <c r="B92" s="689" t="s">
        <v>121</v>
      </c>
      <c r="C92" s="740"/>
      <c r="D92" s="740"/>
      <c r="E92" s="740"/>
      <c r="F92" s="245"/>
      <c r="G92" s="245"/>
      <c r="H92" s="245"/>
      <c r="I92" s="245"/>
      <c r="J92" s="245"/>
      <c r="K92" s="220"/>
    </row>
    <row r="93" spans="1:11" ht="18" customHeight="1" x14ac:dyDescent="0.3">
      <c r="A93" s="216" t="s">
        <v>122</v>
      </c>
      <c r="B93" s="689" t="s">
        <v>123</v>
      </c>
      <c r="C93" s="740"/>
      <c r="D93" s="740"/>
      <c r="E93" s="740"/>
      <c r="F93" s="217">
        <f>+'[9]2017 CBR Initiatives'!E29</f>
        <v>90</v>
      </c>
      <c r="G93" s="217">
        <f>+'[9]2017 CBR Initiatives'!F29</f>
        <v>62</v>
      </c>
      <c r="H93" s="217">
        <f>+'[9]2017 CBR Initiatives'!G29</f>
        <v>5429.6318506925654</v>
      </c>
      <c r="I93" s="217">
        <f>+'[9]2017 CBR Initiatives'!H29</f>
        <v>2945.9877864854138</v>
      </c>
      <c r="J93" s="217">
        <f>+'[9]2017 CBR Initiatives'!I29</f>
        <v>0</v>
      </c>
      <c r="K93" s="220">
        <f>+'[9]2017 CBR Initiatives'!J29</f>
        <v>8375.6196371779788</v>
      </c>
    </row>
    <row r="94" spans="1:11" ht="18" customHeight="1" x14ac:dyDescent="0.3">
      <c r="A94" s="216" t="s">
        <v>124</v>
      </c>
      <c r="B94" s="1421"/>
      <c r="C94" s="1422"/>
      <c r="D94" s="1423"/>
      <c r="E94" s="740"/>
      <c r="F94" s="217"/>
      <c r="G94" s="217"/>
      <c r="H94" s="218"/>
      <c r="I94" s="219"/>
      <c r="J94" s="218"/>
      <c r="K94" s="220"/>
    </row>
    <row r="95" spans="1:11" ht="18" customHeight="1" x14ac:dyDescent="0.3">
      <c r="A95" s="216" t="s">
        <v>125</v>
      </c>
      <c r="B95" s="1421"/>
      <c r="C95" s="1422"/>
      <c r="D95" s="1423"/>
      <c r="E95" s="740"/>
      <c r="F95" s="217"/>
      <c r="G95" s="217"/>
      <c r="H95" s="218"/>
      <c r="I95" s="219"/>
      <c r="J95" s="218"/>
      <c r="K95" s="220"/>
    </row>
    <row r="96" spans="1:11" ht="18" customHeight="1" x14ac:dyDescent="0.3">
      <c r="A96" s="216" t="s">
        <v>126</v>
      </c>
      <c r="B96" s="1421"/>
      <c r="C96" s="1422"/>
      <c r="D96" s="1423"/>
      <c r="E96" s="740"/>
      <c r="F96" s="217"/>
      <c r="G96" s="217"/>
      <c r="H96" s="218"/>
      <c r="I96" s="219"/>
      <c r="J96" s="218"/>
      <c r="K96" s="220"/>
    </row>
    <row r="97" spans="1:11" ht="18" customHeight="1" x14ac:dyDescent="0.3">
      <c r="A97" s="216"/>
      <c r="B97" s="689"/>
      <c r="C97" s="740"/>
      <c r="D97" s="740"/>
      <c r="E97" s="740"/>
      <c r="F97" s="740"/>
      <c r="G97" s="740"/>
      <c r="H97" s="740"/>
      <c r="I97" s="740"/>
      <c r="J97" s="740"/>
      <c r="K97" s="740"/>
    </row>
    <row r="98" spans="1:11" ht="18" customHeight="1" x14ac:dyDescent="0.3">
      <c r="A98" s="215" t="s">
        <v>150</v>
      </c>
      <c r="B98" s="690" t="s">
        <v>151</v>
      </c>
      <c r="C98" s="740"/>
      <c r="D98" s="740"/>
      <c r="E98" s="690" t="s">
        <v>7</v>
      </c>
      <c r="F98" s="223">
        <f t="shared" ref="F98:K98" si="6">SUM(F86:F96)</f>
        <v>240</v>
      </c>
      <c r="G98" s="223">
        <f t="shared" si="6"/>
        <v>62</v>
      </c>
      <c r="H98" s="220">
        <f t="shared" si="6"/>
        <v>14027.946746631331</v>
      </c>
      <c r="I98" s="220">
        <f t="shared" si="6"/>
        <v>7611.2268605784793</v>
      </c>
      <c r="J98" s="220">
        <f t="shared" si="6"/>
        <v>0</v>
      </c>
      <c r="K98" s="220">
        <f t="shared" si="6"/>
        <v>21639.173607209814</v>
      </c>
    </row>
    <row r="99" spans="1:11" ht="18" customHeight="1" thickBot="1" x14ac:dyDescent="0.35">
      <c r="A99" s="740"/>
      <c r="B99" s="690"/>
      <c r="C99" s="740"/>
      <c r="D99" s="740"/>
      <c r="E99" s="740"/>
      <c r="F99" s="229"/>
      <c r="G99" s="229"/>
      <c r="H99" s="230"/>
      <c r="I99" s="230"/>
      <c r="J99" s="230"/>
      <c r="K99" s="230"/>
    </row>
    <row r="100" spans="1:11" ht="42.75" customHeight="1" x14ac:dyDescent="0.3">
      <c r="A100" s="740"/>
      <c r="B100" s="740"/>
      <c r="C100" s="740"/>
      <c r="D100" s="740"/>
      <c r="E100" s="740"/>
      <c r="F100" s="693" t="s">
        <v>9</v>
      </c>
      <c r="G100" s="693" t="s">
        <v>37</v>
      </c>
      <c r="H100" s="214" t="s">
        <v>29</v>
      </c>
      <c r="I100" s="214" t="s">
        <v>30</v>
      </c>
      <c r="J100" s="214" t="s">
        <v>33</v>
      </c>
      <c r="K100" s="214" t="s">
        <v>34</v>
      </c>
    </row>
    <row r="101" spans="1:11" ht="18" customHeight="1" x14ac:dyDescent="0.3">
      <c r="A101" s="215" t="s">
        <v>130</v>
      </c>
      <c r="B101" s="690" t="s">
        <v>63</v>
      </c>
      <c r="C101" s="740"/>
      <c r="D101" s="740"/>
      <c r="E101" s="740"/>
      <c r="F101" s="740"/>
      <c r="G101" s="740"/>
      <c r="H101" s="740"/>
      <c r="I101" s="740"/>
      <c r="J101" s="740"/>
      <c r="K101" s="740"/>
    </row>
    <row r="102" spans="1:11" ht="18" customHeight="1" x14ac:dyDescent="0.3">
      <c r="A102" s="216" t="s">
        <v>131</v>
      </c>
      <c r="B102" s="689" t="s">
        <v>152</v>
      </c>
      <c r="C102" s="740"/>
      <c r="D102" s="740"/>
      <c r="E102" s="740"/>
      <c r="F102" s="217">
        <f>+'[9]2017 CBR Initiatives'!E31</f>
        <v>200</v>
      </c>
      <c r="G102" s="217">
        <f>+'[9]2017 CBR Initiatives'!F31</f>
        <v>0</v>
      </c>
      <c r="H102" s="217">
        <f>+'[9]2017 CBR Initiatives'!G31</f>
        <v>5429.6318506925654</v>
      </c>
      <c r="I102" s="217">
        <f>+'[9]2017 CBR Initiatives'!H31</f>
        <v>2945.9877864854138</v>
      </c>
      <c r="J102" s="217">
        <f>+'[9]2017 CBR Initiatives'!I31</f>
        <v>0</v>
      </c>
      <c r="K102" s="220">
        <f>+'[9]2017 CBR Initiatives'!J31</f>
        <v>8375.6196371779788</v>
      </c>
    </row>
    <row r="103" spans="1:11" ht="18" customHeight="1" x14ac:dyDescent="0.3">
      <c r="A103" s="216" t="s">
        <v>132</v>
      </c>
      <c r="B103" s="1424" t="s">
        <v>62</v>
      </c>
      <c r="C103" s="1424"/>
      <c r="D103" s="740"/>
      <c r="E103" s="740"/>
      <c r="F103" s="217">
        <f>+'[9]2017 CBR Initiatives'!E33</f>
        <v>275</v>
      </c>
      <c r="G103" s="217">
        <f>+'[9]2017 CBR Initiatives'!F33</f>
        <v>0</v>
      </c>
      <c r="H103" s="217">
        <f>+'[9]2017 CBR Initiatives'!G33</f>
        <v>9291.9106425544032</v>
      </c>
      <c r="I103" s="217">
        <f>+'[9]2017 CBR Initiatives'!H33</f>
        <v>5041.5674614453819</v>
      </c>
      <c r="J103" s="217">
        <f>+'[9]2017 CBR Initiatives'!I33</f>
        <v>0</v>
      </c>
      <c r="K103" s="220">
        <f>+'[9]2017 CBR Initiatives'!J33</f>
        <v>14333.478103999785</v>
      </c>
    </row>
    <row r="104" spans="1:11" ht="18" customHeight="1" x14ac:dyDescent="0.3">
      <c r="A104" s="216" t="s">
        <v>128</v>
      </c>
      <c r="B104" s="1421"/>
      <c r="C104" s="1422"/>
      <c r="D104" s="1423"/>
      <c r="E104" s="740"/>
      <c r="F104" s="217"/>
      <c r="G104" s="217"/>
      <c r="H104" s="218"/>
      <c r="I104" s="219"/>
      <c r="J104" s="218"/>
      <c r="K104" s="220"/>
    </row>
    <row r="105" spans="1:11" ht="18" customHeight="1" x14ac:dyDescent="0.3">
      <c r="A105" s="216" t="s">
        <v>127</v>
      </c>
      <c r="B105" s="1421"/>
      <c r="C105" s="1422"/>
      <c r="D105" s="1423"/>
      <c r="E105" s="740"/>
      <c r="F105" s="217"/>
      <c r="G105" s="217"/>
      <c r="H105" s="218"/>
      <c r="I105" s="219"/>
      <c r="J105" s="218"/>
      <c r="K105" s="220"/>
    </row>
    <row r="106" spans="1:11" ht="18" customHeight="1" x14ac:dyDescent="0.3">
      <c r="A106" s="216" t="s">
        <v>129</v>
      </c>
      <c r="B106" s="1421"/>
      <c r="C106" s="1422"/>
      <c r="D106" s="1423"/>
      <c r="E106" s="740"/>
      <c r="F106" s="217"/>
      <c r="G106" s="217"/>
      <c r="H106" s="218"/>
      <c r="I106" s="219"/>
      <c r="J106" s="218"/>
      <c r="K106" s="220"/>
    </row>
    <row r="107" spans="1:11" ht="18" customHeight="1" x14ac:dyDescent="0.3">
      <c r="A107" s="740"/>
      <c r="B107" s="690"/>
      <c r="C107" s="740"/>
      <c r="D107" s="740"/>
      <c r="E107" s="740"/>
      <c r="F107" s="740"/>
      <c r="G107" s="740"/>
      <c r="H107" s="740"/>
      <c r="I107" s="740"/>
      <c r="J107" s="740"/>
      <c r="K107" s="740"/>
    </row>
    <row r="108" spans="1:11" s="3" customFormat="1" ht="18" customHeight="1" x14ac:dyDescent="0.3">
      <c r="A108" s="215" t="s">
        <v>153</v>
      </c>
      <c r="B108" s="728" t="s">
        <v>154</v>
      </c>
      <c r="C108" s="740"/>
      <c r="D108" s="740"/>
      <c r="E108" s="690" t="s">
        <v>7</v>
      </c>
      <c r="F108" s="223">
        <f t="shared" ref="F108:K108" si="7">SUM(F102:F106)</f>
        <v>475</v>
      </c>
      <c r="G108" s="223">
        <f t="shared" si="7"/>
        <v>0</v>
      </c>
      <c r="H108" s="220">
        <f t="shared" si="7"/>
        <v>14721.542493246969</v>
      </c>
      <c r="I108" s="220">
        <f t="shared" si="7"/>
        <v>7987.5552479307953</v>
      </c>
      <c r="J108" s="220">
        <f t="shared" si="7"/>
        <v>0</v>
      </c>
      <c r="K108" s="220">
        <f t="shared" si="7"/>
        <v>22709.097741177764</v>
      </c>
    </row>
    <row r="109" spans="1:11" s="3" customFormat="1" ht="18" customHeight="1" thickBot="1" x14ac:dyDescent="0.35">
      <c r="A109" s="246"/>
      <c r="B109" s="247"/>
      <c r="C109" s="248"/>
      <c r="D109" s="248"/>
      <c r="E109" s="248"/>
      <c r="F109" s="229"/>
      <c r="G109" s="229"/>
      <c r="H109" s="230"/>
      <c r="I109" s="230"/>
      <c r="J109" s="230"/>
      <c r="K109" s="230"/>
    </row>
    <row r="110" spans="1:11" s="3" customFormat="1" ht="18" customHeight="1" x14ac:dyDescent="0.3">
      <c r="A110" s="215" t="s">
        <v>156</v>
      </c>
      <c r="B110" s="690" t="s">
        <v>39</v>
      </c>
      <c r="C110" s="740"/>
      <c r="D110" s="740"/>
      <c r="E110" s="740"/>
      <c r="F110" s="740"/>
      <c r="G110" s="740"/>
      <c r="H110" s="213"/>
      <c r="I110" s="213"/>
      <c r="J110" s="213"/>
      <c r="K110" s="213"/>
    </row>
    <row r="111" spans="1:11" ht="18" customHeight="1" x14ac:dyDescent="0.3">
      <c r="A111" s="215" t="s">
        <v>155</v>
      </c>
      <c r="B111" s="690" t="s">
        <v>164</v>
      </c>
      <c r="C111" s="740"/>
      <c r="D111" s="740"/>
      <c r="E111" s="690" t="s">
        <v>7</v>
      </c>
      <c r="F111" s="249">
        <f>+'[9]EST UMMS FSS FIN DATA 2017'!S29*1000</f>
        <v>647362</v>
      </c>
      <c r="G111" s="740"/>
      <c r="H111" s="740"/>
      <c r="I111" s="740"/>
      <c r="J111" s="740"/>
      <c r="K111" s="740"/>
    </row>
    <row r="112" spans="1:11" ht="18" customHeight="1" x14ac:dyDescent="0.3">
      <c r="A112" s="740"/>
      <c r="B112" s="690"/>
      <c r="C112" s="740"/>
      <c r="D112" s="740"/>
      <c r="E112" s="690"/>
      <c r="F112" s="704"/>
      <c r="G112" s="740"/>
      <c r="H112" s="740"/>
      <c r="I112" s="740"/>
      <c r="J112" s="740"/>
      <c r="K112" s="740"/>
    </row>
    <row r="113" spans="1:7" ht="18" customHeight="1" x14ac:dyDescent="0.3">
      <c r="A113" s="215"/>
      <c r="B113" s="690" t="s">
        <v>15</v>
      </c>
      <c r="C113" s="740"/>
      <c r="D113" s="740"/>
      <c r="E113" s="740"/>
      <c r="F113" s="740"/>
      <c r="G113" s="742"/>
    </row>
    <row r="114" spans="1:7" ht="18" customHeight="1" x14ac:dyDescent="0.3">
      <c r="A114" s="216" t="s">
        <v>171</v>
      </c>
      <c r="B114" s="689" t="s">
        <v>35</v>
      </c>
      <c r="C114" s="740"/>
      <c r="D114" s="740"/>
      <c r="E114" s="740"/>
      <c r="F114" s="250">
        <f>+'[9]EST UMMS FSS FIN DATA 2017'!BB17</f>
        <v>0.63924466825883475</v>
      </c>
      <c r="G114" s="742"/>
    </row>
    <row r="115" spans="1:7" ht="18" customHeight="1" x14ac:dyDescent="0.3">
      <c r="A115" s="216"/>
      <c r="B115" s="690"/>
      <c r="C115" s="740"/>
      <c r="D115" s="740"/>
      <c r="E115" s="740"/>
      <c r="F115" s="740"/>
      <c r="G115" s="742"/>
    </row>
    <row r="116" spans="1:7" ht="18" customHeight="1" x14ac:dyDescent="0.3">
      <c r="A116" s="216" t="s">
        <v>170</v>
      </c>
      <c r="B116" s="690" t="s">
        <v>16</v>
      </c>
      <c r="C116" s="740"/>
      <c r="D116" s="740"/>
      <c r="E116" s="740"/>
      <c r="F116" s="740"/>
      <c r="G116" s="742"/>
    </row>
    <row r="117" spans="1:7" ht="18" customHeight="1" x14ac:dyDescent="0.3">
      <c r="A117" s="216" t="s">
        <v>172</v>
      </c>
      <c r="B117" s="689" t="s">
        <v>17</v>
      </c>
      <c r="C117" s="740"/>
      <c r="D117" s="740"/>
      <c r="E117" s="740"/>
      <c r="F117" s="249">
        <f>+'[9]EST UMMS FSS FIN DATA 2017'!S8*1000</f>
        <v>43310000</v>
      </c>
      <c r="G117" s="742"/>
    </row>
    <row r="118" spans="1:7" ht="18" customHeight="1" x14ac:dyDescent="0.3">
      <c r="A118" s="216" t="s">
        <v>173</v>
      </c>
      <c r="B118" s="740" t="s">
        <v>18</v>
      </c>
      <c r="C118" s="740"/>
      <c r="D118" s="740"/>
      <c r="E118" s="740"/>
      <c r="F118" s="249">
        <f>+'[9]EST UMMS FSS FIN DATA 2017'!S9*1000</f>
        <v>335000</v>
      </c>
      <c r="G118" s="742"/>
    </row>
    <row r="119" spans="1:7" ht="18" customHeight="1" x14ac:dyDescent="0.3">
      <c r="A119" s="216" t="s">
        <v>174</v>
      </c>
      <c r="B119" s="690" t="s">
        <v>19</v>
      </c>
      <c r="C119" s="740"/>
      <c r="D119" s="740"/>
      <c r="E119" s="740"/>
      <c r="F119" s="251">
        <f>SUM(F117:F118)</f>
        <v>43645000</v>
      </c>
      <c r="G119" s="742"/>
    </row>
    <row r="120" spans="1:7" ht="18" customHeight="1" x14ac:dyDescent="0.3">
      <c r="A120" s="216"/>
      <c r="B120" s="690"/>
      <c r="C120" s="740"/>
      <c r="D120" s="740"/>
      <c r="E120" s="740"/>
      <c r="F120" s="467"/>
      <c r="G120" s="742"/>
    </row>
    <row r="121" spans="1:7" ht="18" customHeight="1" x14ac:dyDescent="0.3">
      <c r="A121" s="216" t="s">
        <v>167</v>
      </c>
      <c r="B121" s="690" t="s">
        <v>36</v>
      </c>
      <c r="C121" s="740"/>
      <c r="D121" s="740"/>
      <c r="E121" s="740"/>
      <c r="F121" s="249">
        <f>+'[9]EST UMMS FSS FIN DATA 2017'!S12*1000</f>
        <v>42909000</v>
      </c>
      <c r="G121" s="742"/>
    </row>
    <row r="122" spans="1:7" ht="18" customHeight="1" x14ac:dyDescent="0.3">
      <c r="A122" s="216"/>
      <c r="B122" s="740"/>
      <c r="C122" s="740"/>
      <c r="D122" s="740"/>
      <c r="E122" s="740"/>
      <c r="F122" s="467"/>
      <c r="G122" s="742"/>
    </row>
    <row r="123" spans="1:7" ht="18" customHeight="1" x14ac:dyDescent="0.3">
      <c r="A123" s="216" t="s">
        <v>175</v>
      </c>
      <c r="B123" s="690" t="s">
        <v>20</v>
      </c>
      <c r="C123" s="740"/>
      <c r="D123" s="740"/>
      <c r="E123" s="740"/>
      <c r="F123" s="249">
        <f>-F121+F119</f>
        <v>736000</v>
      </c>
      <c r="G123" s="742"/>
    </row>
    <row r="124" spans="1:7" ht="18" customHeight="1" x14ac:dyDescent="0.3">
      <c r="A124" s="216"/>
      <c r="B124" s="740"/>
      <c r="C124" s="740"/>
      <c r="D124" s="740"/>
      <c r="E124" s="740"/>
      <c r="F124" s="467"/>
      <c r="G124" s="742"/>
    </row>
    <row r="125" spans="1:7" ht="18" customHeight="1" x14ac:dyDescent="0.3">
      <c r="A125" s="216" t="s">
        <v>176</v>
      </c>
      <c r="B125" s="690" t="s">
        <v>21</v>
      </c>
      <c r="C125" s="740"/>
      <c r="D125" s="740"/>
      <c r="E125" s="740"/>
      <c r="F125" s="249">
        <f>+'[9]EST UMMS FSS FIN DATA 2017'!S16*1000</f>
        <v>-751000</v>
      </c>
      <c r="G125" s="742"/>
    </row>
    <row r="126" spans="1:7" ht="18" customHeight="1" x14ac:dyDescent="0.3">
      <c r="A126" s="216"/>
      <c r="B126" s="740"/>
      <c r="C126" s="740"/>
      <c r="D126" s="740"/>
      <c r="E126" s="740"/>
      <c r="F126" s="467"/>
      <c r="G126" s="742"/>
    </row>
    <row r="127" spans="1:7" ht="18" customHeight="1" x14ac:dyDescent="0.3">
      <c r="A127" s="216" t="s">
        <v>177</v>
      </c>
      <c r="B127" s="690" t="s">
        <v>22</v>
      </c>
      <c r="C127" s="740"/>
      <c r="D127" s="740"/>
      <c r="E127" s="740"/>
      <c r="F127" s="249">
        <f>+F123+F125</f>
        <v>-15000</v>
      </c>
      <c r="G127" s="742"/>
    </row>
    <row r="128" spans="1:7" ht="18" customHeight="1" x14ac:dyDescent="0.3">
      <c r="A128" s="216"/>
      <c r="B128" s="740"/>
      <c r="C128" s="740"/>
      <c r="D128" s="740"/>
      <c r="E128" s="740"/>
      <c r="F128" s="740"/>
      <c r="G128" s="742"/>
    </row>
    <row r="129" spans="1:11" ht="42.75" customHeight="1" x14ac:dyDescent="0.3">
      <c r="A129" s="740"/>
      <c r="B129" s="740"/>
      <c r="C129" s="740"/>
      <c r="D129" s="740"/>
      <c r="E129" s="740"/>
      <c r="F129" s="693" t="s">
        <v>9</v>
      </c>
      <c r="G129" s="693" t="s">
        <v>37</v>
      </c>
      <c r="H129" s="214" t="s">
        <v>29</v>
      </c>
      <c r="I129" s="214" t="s">
        <v>30</v>
      </c>
      <c r="J129" s="214" t="s">
        <v>33</v>
      </c>
      <c r="K129" s="214" t="s">
        <v>34</v>
      </c>
    </row>
    <row r="130" spans="1:11" ht="18" customHeight="1" x14ac:dyDescent="0.3">
      <c r="A130" s="215" t="s">
        <v>157</v>
      </c>
      <c r="B130" s="690" t="s">
        <v>23</v>
      </c>
      <c r="C130" s="740"/>
      <c r="D130" s="740"/>
      <c r="E130" s="740"/>
      <c r="F130" s="740"/>
      <c r="G130" s="740"/>
      <c r="H130" s="740"/>
      <c r="I130" s="740"/>
      <c r="J130" s="740"/>
      <c r="K130" s="740"/>
    </row>
    <row r="131" spans="1:11" ht="18" customHeight="1" x14ac:dyDescent="0.3">
      <c r="A131" s="216" t="s">
        <v>158</v>
      </c>
      <c r="B131" s="740" t="s">
        <v>24</v>
      </c>
      <c r="C131" s="740"/>
      <c r="D131" s="740"/>
      <c r="E131" s="740"/>
      <c r="F131" s="217"/>
      <c r="G131" s="217"/>
      <c r="H131" s="218"/>
      <c r="I131" s="219">
        <v>0</v>
      </c>
      <c r="J131" s="218"/>
      <c r="K131" s="220">
        <f>(H131+I131)-J131</f>
        <v>0</v>
      </c>
    </row>
    <row r="132" spans="1:11" ht="18" customHeight="1" x14ac:dyDescent="0.3">
      <c r="A132" s="216" t="s">
        <v>159</v>
      </c>
      <c r="B132" s="740" t="s">
        <v>25</v>
      </c>
      <c r="C132" s="740"/>
      <c r="D132" s="740"/>
      <c r="E132" s="740"/>
      <c r="F132" s="217"/>
      <c r="G132" s="217"/>
      <c r="H132" s="218"/>
      <c r="I132" s="219">
        <v>0</v>
      </c>
      <c r="J132" s="218"/>
      <c r="K132" s="220">
        <f>(H132+I132)-J132</f>
        <v>0</v>
      </c>
    </row>
    <row r="133" spans="1:11" ht="18" customHeight="1" x14ac:dyDescent="0.3">
      <c r="A133" s="216" t="s">
        <v>160</v>
      </c>
      <c r="B133" s="1418"/>
      <c r="C133" s="1419"/>
      <c r="D133" s="1420"/>
      <c r="E133" s="740"/>
      <c r="F133" s="217"/>
      <c r="G133" s="217"/>
      <c r="H133" s="218"/>
      <c r="I133" s="219">
        <v>0</v>
      </c>
      <c r="J133" s="218"/>
      <c r="K133" s="220">
        <f>(H133+I133)-J133</f>
        <v>0</v>
      </c>
    </row>
    <row r="134" spans="1:11" ht="18" customHeight="1" x14ac:dyDescent="0.3">
      <c r="A134" s="216" t="s">
        <v>161</v>
      </c>
      <c r="B134" s="1418"/>
      <c r="C134" s="1419"/>
      <c r="D134" s="1420"/>
      <c r="E134" s="740"/>
      <c r="F134" s="217"/>
      <c r="G134" s="217"/>
      <c r="H134" s="218"/>
      <c r="I134" s="219">
        <v>0</v>
      </c>
      <c r="J134" s="218"/>
      <c r="K134" s="220">
        <f>(H134+I134)-J134</f>
        <v>0</v>
      </c>
    </row>
    <row r="135" spans="1:11" ht="18" customHeight="1" x14ac:dyDescent="0.3">
      <c r="A135" s="216" t="s">
        <v>162</v>
      </c>
      <c r="B135" s="1418"/>
      <c r="C135" s="1419"/>
      <c r="D135" s="1420"/>
      <c r="E135" s="740"/>
      <c r="F135" s="217"/>
      <c r="G135" s="217"/>
      <c r="H135" s="218"/>
      <c r="I135" s="219">
        <v>0</v>
      </c>
      <c r="J135" s="218"/>
      <c r="K135" s="220">
        <f>(H135+I135)-J135</f>
        <v>0</v>
      </c>
    </row>
    <row r="136" spans="1:11" ht="18" customHeight="1" x14ac:dyDescent="0.3">
      <c r="A136" s="215"/>
      <c r="B136" s="740"/>
      <c r="C136" s="740"/>
      <c r="D136" s="740"/>
      <c r="E136" s="740"/>
      <c r="F136" s="740"/>
      <c r="G136" s="740"/>
      <c r="H136" s="740"/>
      <c r="I136" s="740"/>
      <c r="J136" s="740"/>
      <c r="K136" s="740"/>
    </row>
    <row r="137" spans="1:11" ht="18" customHeight="1" x14ac:dyDescent="0.3">
      <c r="A137" s="215" t="s">
        <v>163</v>
      </c>
      <c r="B137" s="690" t="s">
        <v>27</v>
      </c>
      <c r="C137" s="740"/>
      <c r="D137" s="740"/>
      <c r="E137" s="740"/>
      <c r="F137" s="223">
        <f t="shared" ref="F137:K137" si="8">SUM(F131:F135)</f>
        <v>0</v>
      </c>
      <c r="G137" s="223">
        <f t="shared" si="8"/>
        <v>0</v>
      </c>
      <c r="H137" s="220">
        <f t="shared" si="8"/>
        <v>0</v>
      </c>
      <c r="I137" s="220">
        <f t="shared" si="8"/>
        <v>0</v>
      </c>
      <c r="J137" s="220">
        <f t="shared" si="8"/>
        <v>0</v>
      </c>
      <c r="K137" s="220">
        <f t="shared" si="8"/>
        <v>0</v>
      </c>
    </row>
    <row r="138" spans="1:11" ht="18" customHeight="1" x14ac:dyDescent="0.25">
      <c r="A138" s="252"/>
      <c r="B138" s="740"/>
      <c r="C138" s="740"/>
      <c r="D138" s="740"/>
      <c r="E138" s="740"/>
      <c r="F138" s="740"/>
      <c r="G138" s="740"/>
      <c r="H138" s="740"/>
      <c r="I138" s="740"/>
      <c r="J138" s="740"/>
      <c r="K138" s="740"/>
    </row>
    <row r="139" spans="1:11" ht="42.75" customHeight="1" x14ac:dyDescent="0.3">
      <c r="A139" s="740"/>
      <c r="B139" s="740"/>
      <c r="C139" s="740"/>
      <c r="D139" s="740"/>
      <c r="E139" s="740"/>
      <c r="F139" s="693" t="s">
        <v>9</v>
      </c>
      <c r="G139" s="693" t="s">
        <v>37</v>
      </c>
      <c r="H139" s="214" t="s">
        <v>29</v>
      </c>
      <c r="I139" s="214" t="s">
        <v>30</v>
      </c>
      <c r="J139" s="214" t="s">
        <v>33</v>
      </c>
      <c r="K139" s="214" t="s">
        <v>34</v>
      </c>
    </row>
    <row r="140" spans="1:11" ht="18" customHeight="1" x14ac:dyDescent="0.3">
      <c r="A140" s="215" t="s">
        <v>166</v>
      </c>
      <c r="B140" s="690" t="s">
        <v>26</v>
      </c>
      <c r="C140" s="740"/>
      <c r="D140" s="740"/>
      <c r="E140" s="740"/>
      <c r="F140" s="740"/>
      <c r="G140" s="740"/>
      <c r="H140" s="740"/>
      <c r="I140" s="740"/>
      <c r="J140" s="740"/>
      <c r="K140" s="740"/>
    </row>
    <row r="141" spans="1:11" ht="18" customHeight="1" x14ac:dyDescent="0.3">
      <c r="A141" s="216" t="s">
        <v>137</v>
      </c>
      <c r="B141" s="690" t="s">
        <v>64</v>
      </c>
      <c r="C141" s="740"/>
      <c r="D141" s="740"/>
      <c r="E141" s="740"/>
      <c r="F141" s="253">
        <f t="shared" ref="F141:K141" si="9">F36</f>
        <v>198</v>
      </c>
      <c r="G141" s="253">
        <f t="shared" si="9"/>
        <v>437</v>
      </c>
      <c r="H141" s="254">
        <f t="shared" si="9"/>
        <v>6115.2040933009102</v>
      </c>
      <c r="I141" s="254">
        <f t="shared" si="9"/>
        <v>3317.9628133410533</v>
      </c>
      <c r="J141" s="254">
        <f t="shared" si="9"/>
        <v>0</v>
      </c>
      <c r="K141" s="254">
        <f t="shared" si="9"/>
        <v>9433.1669066419636</v>
      </c>
    </row>
    <row r="142" spans="1:11" ht="18" customHeight="1" x14ac:dyDescent="0.3">
      <c r="A142" s="216" t="s">
        <v>142</v>
      </c>
      <c r="B142" s="690" t="s">
        <v>65</v>
      </c>
      <c r="C142" s="740"/>
      <c r="D142" s="740"/>
      <c r="E142" s="740"/>
      <c r="F142" s="253">
        <f t="shared" ref="F142:K142" si="10">F49</f>
        <v>4992</v>
      </c>
      <c r="G142" s="253">
        <f t="shared" si="10"/>
        <v>9</v>
      </c>
      <c r="H142" s="254">
        <f t="shared" si="10"/>
        <v>173000</v>
      </c>
      <c r="I142" s="254">
        <f t="shared" si="10"/>
        <v>0</v>
      </c>
      <c r="J142" s="254">
        <f t="shared" si="10"/>
        <v>0</v>
      </c>
      <c r="K142" s="254">
        <f t="shared" si="10"/>
        <v>173000</v>
      </c>
    </row>
    <row r="143" spans="1:11" ht="18" customHeight="1" x14ac:dyDescent="0.3">
      <c r="A143" s="216" t="s">
        <v>144</v>
      </c>
      <c r="B143" s="690" t="s">
        <v>66</v>
      </c>
      <c r="C143" s="740"/>
      <c r="D143" s="740"/>
      <c r="E143" s="740"/>
      <c r="F143" s="253">
        <f t="shared" ref="F143:K143" si="11">F64</f>
        <v>14468</v>
      </c>
      <c r="G143" s="253">
        <f t="shared" si="11"/>
        <v>21558</v>
      </c>
      <c r="H143" s="254">
        <f t="shared" si="11"/>
        <v>4420420.2931126682</v>
      </c>
      <c r="I143" s="254">
        <f t="shared" si="11"/>
        <v>333913.01271943608</v>
      </c>
      <c r="J143" s="254">
        <f t="shared" si="11"/>
        <v>0</v>
      </c>
      <c r="K143" s="254">
        <f t="shared" si="11"/>
        <v>4754333.3058321048</v>
      </c>
    </row>
    <row r="144" spans="1:11" ht="18" customHeight="1" x14ac:dyDescent="0.3">
      <c r="A144" s="216" t="s">
        <v>146</v>
      </c>
      <c r="B144" s="690" t="s">
        <v>67</v>
      </c>
      <c r="C144" s="740"/>
      <c r="D144" s="740"/>
      <c r="E144" s="740"/>
      <c r="F144" s="253">
        <f t="shared" ref="F144:K144" si="12">F74</f>
        <v>0</v>
      </c>
      <c r="G144" s="253">
        <f t="shared" si="12"/>
        <v>0</v>
      </c>
      <c r="H144" s="254">
        <f t="shared" si="12"/>
        <v>0</v>
      </c>
      <c r="I144" s="254">
        <f t="shared" si="12"/>
        <v>0</v>
      </c>
      <c r="J144" s="254">
        <f t="shared" si="12"/>
        <v>0</v>
      </c>
      <c r="K144" s="254">
        <f t="shared" si="12"/>
        <v>0</v>
      </c>
    </row>
    <row r="145" spans="1:11" ht="18" customHeight="1" x14ac:dyDescent="0.3">
      <c r="A145" s="216" t="s">
        <v>148</v>
      </c>
      <c r="B145" s="690" t="s">
        <v>68</v>
      </c>
      <c r="C145" s="740"/>
      <c r="D145" s="740"/>
      <c r="E145" s="740"/>
      <c r="F145" s="253">
        <f t="shared" ref="F145:K145" si="13">F82</f>
        <v>0</v>
      </c>
      <c r="G145" s="253">
        <f t="shared" si="13"/>
        <v>0</v>
      </c>
      <c r="H145" s="254">
        <f t="shared" si="13"/>
        <v>0</v>
      </c>
      <c r="I145" s="254">
        <f t="shared" si="13"/>
        <v>0</v>
      </c>
      <c r="J145" s="254">
        <f t="shared" si="13"/>
        <v>0</v>
      </c>
      <c r="K145" s="254">
        <f t="shared" si="13"/>
        <v>0</v>
      </c>
    </row>
    <row r="146" spans="1:11" ht="18" customHeight="1" x14ac:dyDescent="0.3">
      <c r="A146" s="216" t="s">
        <v>150</v>
      </c>
      <c r="B146" s="690" t="s">
        <v>69</v>
      </c>
      <c r="C146" s="740"/>
      <c r="D146" s="740"/>
      <c r="E146" s="740"/>
      <c r="F146" s="253">
        <f t="shared" ref="F146:K146" si="14">F98</f>
        <v>240</v>
      </c>
      <c r="G146" s="253">
        <f t="shared" si="14"/>
        <v>62</v>
      </c>
      <c r="H146" s="254">
        <f t="shared" si="14"/>
        <v>14027.946746631331</v>
      </c>
      <c r="I146" s="254">
        <f t="shared" si="14"/>
        <v>7611.2268605784793</v>
      </c>
      <c r="J146" s="254">
        <f t="shared" si="14"/>
        <v>0</v>
      </c>
      <c r="K146" s="254">
        <f t="shared" si="14"/>
        <v>21639.173607209814</v>
      </c>
    </row>
    <row r="147" spans="1:11" ht="18" customHeight="1" x14ac:dyDescent="0.3">
      <c r="A147" s="216" t="s">
        <v>153</v>
      </c>
      <c r="B147" s="690" t="s">
        <v>61</v>
      </c>
      <c r="C147" s="740"/>
      <c r="D147" s="740"/>
      <c r="E147" s="740"/>
      <c r="F147" s="223">
        <f t="shared" ref="F147:K147" si="15">F108</f>
        <v>475</v>
      </c>
      <c r="G147" s="223">
        <f t="shared" si="15"/>
        <v>0</v>
      </c>
      <c r="H147" s="220">
        <f t="shared" si="15"/>
        <v>14721.542493246969</v>
      </c>
      <c r="I147" s="220">
        <f t="shared" si="15"/>
        <v>7987.5552479307953</v>
      </c>
      <c r="J147" s="220">
        <f t="shared" si="15"/>
        <v>0</v>
      </c>
      <c r="K147" s="220">
        <f t="shared" si="15"/>
        <v>22709.097741177764</v>
      </c>
    </row>
    <row r="148" spans="1:11" ht="18" customHeight="1" x14ac:dyDescent="0.3">
      <c r="A148" s="216" t="s">
        <v>155</v>
      </c>
      <c r="B148" s="690" t="s">
        <v>70</v>
      </c>
      <c r="C148" s="740"/>
      <c r="D148" s="740"/>
      <c r="E148" s="740"/>
      <c r="F148" s="255" t="s">
        <v>73</v>
      </c>
      <c r="G148" s="255" t="s">
        <v>73</v>
      </c>
      <c r="H148" s="256" t="s">
        <v>73</v>
      </c>
      <c r="I148" s="256" t="s">
        <v>73</v>
      </c>
      <c r="J148" s="256" t="s">
        <v>73</v>
      </c>
      <c r="K148" s="254">
        <f>F111</f>
        <v>647362</v>
      </c>
    </row>
    <row r="149" spans="1:11" ht="18" customHeight="1" x14ac:dyDescent="0.3">
      <c r="A149" s="216" t="s">
        <v>163</v>
      </c>
      <c r="B149" s="690" t="s">
        <v>71</v>
      </c>
      <c r="C149" s="740"/>
      <c r="D149" s="740"/>
      <c r="E149" s="740"/>
      <c r="F149" s="223">
        <f t="shared" ref="F149:K149" si="16">F137</f>
        <v>0</v>
      </c>
      <c r="G149" s="223">
        <f t="shared" si="16"/>
        <v>0</v>
      </c>
      <c r="H149" s="220">
        <f t="shared" si="16"/>
        <v>0</v>
      </c>
      <c r="I149" s="220">
        <f t="shared" si="16"/>
        <v>0</v>
      </c>
      <c r="J149" s="220">
        <f t="shared" si="16"/>
        <v>0</v>
      </c>
      <c r="K149" s="220">
        <f t="shared" si="16"/>
        <v>0</v>
      </c>
    </row>
    <row r="150" spans="1:11" ht="18" customHeight="1" x14ac:dyDescent="0.3">
      <c r="A150" s="216" t="s">
        <v>185</v>
      </c>
      <c r="B150" s="690" t="s">
        <v>186</v>
      </c>
      <c r="C150" s="740"/>
      <c r="D150" s="740"/>
      <c r="E150" s="740"/>
      <c r="F150" s="255" t="s">
        <v>73</v>
      </c>
      <c r="G150" s="255" t="s">
        <v>73</v>
      </c>
      <c r="H150" s="220">
        <f>H18</f>
        <v>1073031</v>
      </c>
      <c r="I150" s="220">
        <f>I18</f>
        <v>0</v>
      </c>
      <c r="J150" s="220">
        <f>J18</f>
        <v>906923</v>
      </c>
      <c r="K150" s="220">
        <f>K18</f>
        <v>166108</v>
      </c>
    </row>
    <row r="151" spans="1:11" ht="18" customHeight="1" x14ac:dyDescent="0.3">
      <c r="A151" s="740"/>
      <c r="B151" s="690"/>
      <c r="C151" s="740"/>
      <c r="D151" s="740"/>
      <c r="E151" s="740"/>
      <c r="F151" s="232"/>
      <c r="G151" s="232"/>
      <c r="H151" s="233"/>
      <c r="I151" s="233"/>
      <c r="J151" s="233"/>
      <c r="K151" s="233"/>
    </row>
    <row r="152" spans="1:11" ht="18" customHeight="1" x14ac:dyDescent="0.3">
      <c r="A152" s="215" t="s">
        <v>165</v>
      </c>
      <c r="B152" s="690" t="s">
        <v>26</v>
      </c>
      <c r="C152" s="740"/>
      <c r="D152" s="740"/>
      <c r="E152" s="740"/>
      <c r="F152" s="257">
        <f t="shared" ref="F152:K152" si="17">SUM(F141:F150)</f>
        <v>20373</v>
      </c>
      <c r="G152" s="257">
        <f t="shared" si="17"/>
        <v>22066</v>
      </c>
      <c r="H152" s="258">
        <f t="shared" si="17"/>
        <v>5701315.9864458479</v>
      </c>
      <c r="I152" s="258">
        <f t="shared" si="17"/>
        <v>352829.75764128641</v>
      </c>
      <c r="J152" s="258">
        <f t="shared" si="17"/>
        <v>906923</v>
      </c>
      <c r="K152" s="258">
        <f t="shared" si="17"/>
        <v>5794584.7440871336</v>
      </c>
    </row>
    <row r="153" spans="1:11" ht="18" customHeight="1" x14ac:dyDescent="0.25">
      <c r="B153" s="742"/>
      <c r="C153" s="742"/>
      <c r="D153" s="742"/>
      <c r="E153" s="742"/>
      <c r="F153" s="742"/>
      <c r="G153" s="742"/>
    </row>
    <row r="154" spans="1:11" ht="18" customHeight="1" x14ac:dyDescent="0.3">
      <c r="A154" s="215" t="s">
        <v>168</v>
      </c>
      <c r="B154" s="690" t="s">
        <v>28</v>
      </c>
      <c r="C154" s="740"/>
      <c r="D154" s="740"/>
      <c r="E154" s="740"/>
      <c r="F154" s="259">
        <f>K152/F121</f>
        <v>0.13504357463672267</v>
      </c>
      <c r="G154" s="740"/>
      <c r="H154" s="740"/>
      <c r="I154" s="740"/>
      <c r="J154" s="740"/>
      <c r="K154" s="740"/>
    </row>
    <row r="155" spans="1:11" ht="18" customHeight="1" x14ac:dyDescent="0.3">
      <c r="A155" s="215" t="s">
        <v>169</v>
      </c>
      <c r="B155" s="690" t="s">
        <v>72</v>
      </c>
      <c r="C155" s="740"/>
      <c r="D155" s="740"/>
      <c r="E155" s="740"/>
      <c r="F155" s="259">
        <f>K152/F127</f>
        <v>-386.30564960580892</v>
      </c>
      <c r="G155" s="690"/>
      <c r="H155" s="740"/>
      <c r="I155" s="740"/>
      <c r="J155" s="740"/>
      <c r="K155" s="740"/>
    </row>
    <row r="157" spans="1:11" ht="18" customHeight="1" x14ac:dyDescent="0.3">
      <c r="B157" s="1147" t="s">
        <v>432</v>
      </c>
      <c r="C157" s="1089"/>
      <c r="D157" s="1089"/>
      <c r="E157" s="1089"/>
      <c r="F157" s="680" t="s">
        <v>9</v>
      </c>
      <c r="G157" s="680" t="s">
        <v>37</v>
      </c>
      <c r="H157" s="1135" t="s">
        <v>29</v>
      </c>
      <c r="I157" s="1135" t="s">
        <v>30</v>
      </c>
      <c r="J157" s="1135" t="s">
        <v>33</v>
      </c>
      <c r="K157" s="680" t="s">
        <v>34</v>
      </c>
    </row>
    <row r="158" spans="1:11" ht="18" customHeight="1" x14ac:dyDescent="0.3">
      <c r="B158" s="686" t="str">
        <f>+B152</f>
        <v>TOTAL HOSPITAL COMMUNITY BENEFIT</v>
      </c>
      <c r="C158" s="1089"/>
      <c r="D158" s="1089"/>
      <c r="E158" s="1089"/>
      <c r="F158" s="1137">
        <f t="shared" ref="F158:K158" si="18">+F152</f>
        <v>20373</v>
      </c>
      <c r="G158" s="1137">
        <f t="shared" si="18"/>
        <v>22066</v>
      </c>
      <c r="H158" s="1137">
        <f t="shared" si="18"/>
        <v>5701315.9864458479</v>
      </c>
      <c r="I158" s="1137">
        <f t="shared" si="18"/>
        <v>352829.75764128641</v>
      </c>
      <c r="J158" s="1137">
        <f t="shared" si="18"/>
        <v>906923</v>
      </c>
      <c r="K158" s="1137">
        <f t="shared" si="18"/>
        <v>5794584.7440871336</v>
      </c>
    </row>
    <row r="159" spans="1:11" ht="18" customHeight="1" x14ac:dyDescent="0.3">
      <c r="B159" s="686" t="s">
        <v>433</v>
      </c>
      <c r="C159" s="1089"/>
      <c r="D159" s="1089"/>
      <c r="E159" s="1089"/>
      <c r="F159" s="1089"/>
      <c r="G159" s="1089"/>
      <c r="H159" s="1148"/>
      <c r="I159" s="1148"/>
      <c r="J159" s="1148"/>
      <c r="K159" s="1089"/>
    </row>
    <row r="160" spans="1:11" ht="18" customHeight="1" x14ac:dyDescent="0.3">
      <c r="B160" s="954" t="s">
        <v>181</v>
      </c>
      <c r="C160" s="1089"/>
      <c r="D160" s="1089"/>
      <c r="E160" s="1089"/>
      <c r="F160" s="1138" t="str">
        <f t="shared" ref="F160:K160" si="19">+F18</f>
        <v>N/A</v>
      </c>
      <c r="G160" s="1138" t="str">
        <f t="shared" si="19"/>
        <v>N/A</v>
      </c>
      <c r="H160" s="1138">
        <f t="shared" si="19"/>
        <v>1073031</v>
      </c>
      <c r="I160" s="1138">
        <f t="shared" si="19"/>
        <v>0</v>
      </c>
      <c r="J160" s="1138">
        <f t="shared" si="19"/>
        <v>906923</v>
      </c>
      <c r="K160" s="1137">
        <f t="shared" si="19"/>
        <v>166108</v>
      </c>
    </row>
    <row r="161" spans="2:11" ht="18" customHeight="1" x14ac:dyDescent="0.3">
      <c r="B161" s="954" t="s">
        <v>164</v>
      </c>
      <c r="C161" s="1089"/>
      <c r="D161" s="1089"/>
      <c r="E161" s="1089"/>
      <c r="F161" s="1139"/>
      <c r="G161" s="1140"/>
      <c r="H161" s="1141"/>
      <c r="I161" s="1141"/>
      <c r="J161" s="1141"/>
      <c r="K161" s="1146">
        <f>+K148</f>
        <v>647362</v>
      </c>
    </row>
    <row r="162" spans="2:11" ht="18" customHeight="1" x14ac:dyDescent="0.3">
      <c r="B162" s="1089"/>
      <c r="C162" s="1089"/>
      <c r="D162" s="1089"/>
      <c r="E162" s="1089"/>
      <c r="F162" s="1140"/>
      <c r="G162" s="1140"/>
      <c r="H162" s="1141"/>
      <c r="I162" s="1141"/>
      <c r="J162" s="1141"/>
      <c r="K162" s="1140"/>
    </row>
    <row r="163" spans="2:11" ht="18" customHeight="1" x14ac:dyDescent="0.3">
      <c r="B163" s="686" t="s">
        <v>434</v>
      </c>
      <c r="C163" s="1089"/>
      <c r="D163" s="1089"/>
      <c r="E163" s="1089"/>
      <c r="F163" s="1138">
        <f t="shared" ref="F163:K163" si="20">+F152-SUM(F160:F161)</f>
        <v>20373</v>
      </c>
      <c r="G163" s="1138">
        <f t="shared" si="20"/>
        <v>22066</v>
      </c>
      <c r="H163" s="1138">
        <f t="shared" si="20"/>
        <v>4628284.9864458479</v>
      </c>
      <c r="I163" s="1138">
        <f t="shared" si="20"/>
        <v>352829.75764128641</v>
      </c>
      <c r="J163" s="1138">
        <f t="shared" si="20"/>
        <v>0</v>
      </c>
      <c r="K163" s="1138">
        <f t="shared" si="20"/>
        <v>4981114.7440871336</v>
      </c>
    </row>
    <row r="164" spans="2:11" ht="18" customHeight="1" x14ac:dyDescent="0.3">
      <c r="B164" s="686"/>
      <c r="C164" s="1089"/>
      <c r="D164" s="1089"/>
      <c r="E164" s="1089"/>
      <c r="F164" s="1142"/>
      <c r="G164" s="1142"/>
      <c r="H164" s="1138"/>
      <c r="I164" s="1138"/>
      <c r="J164" s="1138"/>
      <c r="K164" s="1138"/>
    </row>
    <row r="165" spans="2:11" ht="18" customHeight="1" x14ac:dyDescent="0.3">
      <c r="B165" s="686" t="s">
        <v>28</v>
      </c>
      <c r="C165" s="1089"/>
      <c r="D165" s="1089"/>
      <c r="E165" s="1089"/>
      <c r="F165" s="686"/>
      <c r="G165" s="686"/>
      <c r="H165" s="1149">
        <f>+H163/$F$121</f>
        <v>0.10786280235954807</v>
      </c>
      <c r="I165" s="1149">
        <f>+I163/$F$121</f>
        <v>8.2227448237266413E-3</v>
      </c>
      <c r="J165" s="1149">
        <f>+J163/$F$121</f>
        <v>0</v>
      </c>
      <c r="K165" s="1149">
        <f>+K163/$F$121</f>
        <v>0.11608554718327468</v>
      </c>
    </row>
    <row r="166" spans="2:11" ht="18" customHeight="1" x14ac:dyDescent="0.3">
      <c r="B166" s="686" t="s">
        <v>72</v>
      </c>
      <c r="C166" s="1089"/>
      <c r="D166" s="1089"/>
      <c r="E166" s="1089"/>
      <c r="F166" s="686"/>
      <c r="G166" s="686"/>
      <c r="H166" s="1149">
        <f>+H163/$F$127</f>
        <v>-308.55233242972321</v>
      </c>
      <c r="I166" s="1149">
        <f>+I163/$F$127</f>
        <v>-23.521983842752427</v>
      </c>
      <c r="J166" s="1149">
        <f>+J163/$F$127</f>
        <v>0</v>
      </c>
      <c r="K166" s="1149">
        <f>+K163/$F$127</f>
        <v>-332.07431627247558</v>
      </c>
    </row>
  </sheetData>
  <sheetProtection sheet="1" objects="1" scenarios="1"/>
  <mergeCells count="36">
    <mergeCell ref="B106:D106"/>
    <mergeCell ref="B133:D133"/>
    <mergeCell ref="B134:D134"/>
    <mergeCell ref="B95:D95"/>
    <mergeCell ref="B96:D96"/>
    <mergeCell ref="B103:C103"/>
    <mergeCell ref="B104:D104"/>
    <mergeCell ref="B105:D105"/>
    <mergeCell ref="B52:C52"/>
    <mergeCell ref="D2:H2"/>
    <mergeCell ref="C5:G5"/>
    <mergeCell ref="C6:G6"/>
    <mergeCell ref="B58:D58"/>
    <mergeCell ref="B41:C41"/>
    <mergeCell ref="B53:D53"/>
    <mergeCell ref="B54:D54"/>
    <mergeCell ref="B55:D55"/>
    <mergeCell ref="B56:D56"/>
    <mergeCell ref="B57:D57"/>
    <mergeCell ref="B44:D44"/>
    <mergeCell ref="B135:D135"/>
    <mergeCell ref="B62:D62"/>
    <mergeCell ref="B90:C90"/>
    <mergeCell ref="B94:D94"/>
    <mergeCell ref="C7:G7"/>
    <mergeCell ref="C9:G9"/>
    <mergeCell ref="C10:G10"/>
    <mergeCell ref="C11:G11"/>
    <mergeCell ref="B13:H13"/>
    <mergeCell ref="B30:D30"/>
    <mergeCell ref="B31:D31"/>
    <mergeCell ref="B34:D34"/>
    <mergeCell ref="B59:D59"/>
    <mergeCell ref="B45:D45"/>
    <mergeCell ref="B46:D46"/>
    <mergeCell ref="B47:D47"/>
  </mergeCells>
  <pageMargins left="0.75" right="0.75" top="1" bottom="1" header="0.5" footer="0.5"/>
  <pageSetup scale="59" fitToHeight="0" orientation="landscape" horizontalDpi="1200" verticalDpi="1200" r:id="rId1"/>
  <headerFooter alignWithMargins="0"/>
  <rowBreaks count="5" manualBreakCount="5">
    <brk id="37" max="16383" man="1"/>
    <brk id="65" max="16383" man="1"/>
    <brk id="83" max="16383" man="1"/>
    <brk id="109" max="16383" man="1"/>
    <brk id="1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156"/>
  <sheetViews>
    <sheetView showGridLines="0" topLeftCell="A6" zoomScale="70" zoomScaleNormal="70" zoomScaleSheetLayoutView="70" workbookViewId="0">
      <selection activeCell="A6" sqref="A6"/>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A4" s="633"/>
      <c r="B4" s="742"/>
      <c r="C4" s="742"/>
      <c r="D4" s="742"/>
      <c r="E4" s="742"/>
      <c r="F4" s="742"/>
      <c r="G4" s="742"/>
      <c r="H4" s="742"/>
      <c r="I4" s="742"/>
      <c r="J4" s="742"/>
      <c r="K4" s="742"/>
    </row>
    <row r="5" spans="1:11" ht="18" customHeight="1" x14ac:dyDescent="0.3">
      <c r="A5" s="633"/>
      <c r="B5" s="733" t="s">
        <v>40</v>
      </c>
      <c r="C5" s="1386" t="s">
        <v>542</v>
      </c>
      <c r="D5" s="1387"/>
      <c r="E5" s="1387"/>
      <c r="F5" s="1387"/>
      <c r="G5" s="1388"/>
      <c r="H5" s="742"/>
      <c r="I5" s="742"/>
      <c r="J5" s="742"/>
      <c r="K5" s="742"/>
    </row>
    <row r="6" spans="1:11" ht="18" customHeight="1" x14ac:dyDescent="0.3">
      <c r="A6" s="633"/>
      <c r="B6" s="733" t="s">
        <v>3</v>
      </c>
      <c r="C6" s="1452" t="s">
        <v>609</v>
      </c>
      <c r="D6" s="1453"/>
      <c r="E6" s="1453"/>
      <c r="F6" s="1453"/>
      <c r="G6" s="1454"/>
      <c r="H6" s="742"/>
      <c r="I6" s="742"/>
      <c r="J6" s="742"/>
      <c r="K6" s="742"/>
    </row>
    <row r="7" spans="1:11" ht="18" customHeight="1" x14ac:dyDescent="0.3">
      <c r="A7" s="633"/>
      <c r="B7" s="733" t="s">
        <v>4</v>
      </c>
      <c r="C7" s="1368">
        <v>2678</v>
      </c>
      <c r="D7" s="1369"/>
      <c r="E7" s="1369"/>
      <c r="F7" s="1369"/>
      <c r="G7" s="1370"/>
      <c r="H7" s="742"/>
      <c r="I7" s="742"/>
      <c r="J7" s="742"/>
      <c r="K7" s="742"/>
    </row>
    <row r="8" spans="1:11" ht="18" customHeight="1" x14ac:dyDescent="0.25">
      <c r="A8" s="633"/>
      <c r="B8" s="742"/>
      <c r="C8" s="742"/>
      <c r="D8" s="742"/>
      <c r="E8" s="742"/>
      <c r="F8" s="742"/>
      <c r="G8" s="742"/>
      <c r="H8" s="742"/>
      <c r="I8" s="742"/>
      <c r="J8" s="742"/>
      <c r="K8" s="742"/>
    </row>
    <row r="9" spans="1:11" ht="18" customHeight="1" x14ac:dyDescent="0.3">
      <c r="A9" s="633"/>
      <c r="B9" s="733" t="s">
        <v>1</v>
      </c>
      <c r="C9" s="1386" t="s">
        <v>543</v>
      </c>
      <c r="D9" s="1387"/>
      <c r="E9" s="1387"/>
      <c r="F9" s="1387"/>
      <c r="G9" s="1388"/>
      <c r="H9" s="742"/>
      <c r="I9" s="742"/>
      <c r="J9" s="742"/>
      <c r="K9" s="742"/>
    </row>
    <row r="10" spans="1:11" ht="18" customHeight="1" x14ac:dyDescent="0.3">
      <c r="A10" s="633"/>
      <c r="B10" s="733" t="s">
        <v>2</v>
      </c>
      <c r="C10" s="1389" t="s">
        <v>610</v>
      </c>
      <c r="D10" s="1390"/>
      <c r="E10" s="1390"/>
      <c r="F10" s="1390"/>
      <c r="G10" s="1391"/>
      <c r="H10" s="742"/>
      <c r="I10" s="742"/>
      <c r="J10" s="742"/>
      <c r="K10" s="742"/>
    </row>
    <row r="11" spans="1:11" ht="18" customHeight="1" x14ac:dyDescent="0.3">
      <c r="A11" s="633"/>
      <c r="B11" s="733" t="s">
        <v>32</v>
      </c>
      <c r="C11" s="1386" t="s">
        <v>735</v>
      </c>
      <c r="D11" s="1387"/>
      <c r="E11" s="1387"/>
      <c r="F11" s="1387"/>
      <c r="G11" s="1387"/>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646" t="s">
        <v>73</v>
      </c>
      <c r="G18" s="646" t="s">
        <v>73</v>
      </c>
      <c r="H18" s="647">
        <v>9664652</v>
      </c>
      <c r="I18" s="673">
        <v>0</v>
      </c>
      <c r="J18" s="647">
        <v>8168538</v>
      </c>
      <c r="K18" s="648">
        <f>(H18+I18)-J18</f>
        <v>1496114</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646">
        <v>165</v>
      </c>
      <c r="G21" s="646">
        <v>609</v>
      </c>
      <c r="H21" s="647">
        <v>7880</v>
      </c>
      <c r="I21" s="673">
        <f t="shared" ref="I21:I34" si="0">H21*F$114</f>
        <v>5193.2616836887482</v>
      </c>
      <c r="J21" s="647"/>
      <c r="K21" s="648">
        <f t="shared" ref="K21:K34" si="1">(H21+I21)-J21</f>
        <v>13073.261683688748</v>
      </c>
    </row>
    <row r="22" spans="1:11" ht="18" customHeight="1" x14ac:dyDescent="0.3">
      <c r="A22" s="733" t="s">
        <v>76</v>
      </c>
      <c r="B22" s="742" t="s">
        <v>6</v>
      </c>
      <c r="C22" s="742"/>
      <c r="D22" s="742"/>
      <c r="E22" s="742"/>
      <c r="F22" s="646"/>
      <c r="G22" s="646">
        <v>42</v>
      </c>
      <c r="H22" s="647">
        <v>80831</v>
      </c>
      <c r="I22" s="673">
        <f t="shared" si="0"/>
        <v>53271.133902823</v>
      </c>
      <c r="J22" s="647">
        <v>1800</v>
      </c>
      <c r="K22" s="648">
        <f t="shared" si="1"/>
        <v>132302.133902823</v>
      </c>
    </row>
    <row r="23" spans="1:11" ht="18" customHeight="1" x14ac:dyDescent="0.3">
      <c r="A23" s="733" t="s">
        <v>77</v>
      </c>
      <c r="B23" s="742" t="s">
        <v>43</v>
      </c>
      <c r="C23" s="742"/>
      <c r="D23" s="742"/>
      <c r="E23" s="742"/>
      <c r="F23" s="646"/>
      <c r="G23" s="646"/>
      <c r="H23" s="647"/>
      <c r="I23" s="673">
        <f t="shared" si="0"/>
        <v>0</v>
      </c>
      <c r="J23" s="647"/>
      <c r="K23" s="648">
        <f t="shared" si="1"/>
        <v>0</v>
      </c>
    </row>
    <row r="24" spans="1:11" ht="18" customHeight="1" x14ac:dyDescent="0.3">
      <c r="A24" s="733" t="s">
        <v>78</v>
      </c>
      <c r="B24" s="742" t="s">
        <v>44</v>
      </c>
      <c r="C24" s="742"/>
      <c r="D24" s="742"/>
      <c r="E24" s="742"/>
      <c r="F24" s="646"/>
      <c r="G24" s="646"/>
      <c r="H24" s="647"/>
      <c r="I24" s="673">
        <f t="shared" si="0"/>
        <v>0</v>
      </c>
      <c r="J24" s="647"/>
      <c r="K24" s="648">
        <f t="shared" si="1"/>
        <v>0</v>
      </c>
    </row>
    <row r="25" spans="1:11" ht="18" customHeight="1" x14ac:dyDescent="0.3">
      <c r="A25" s="733" t="s">
        <v>79</v>
      </c>
      <c r="B25" s="742" t="s">
        <v>5</v>
      </c>
      <c r="C25" s="742"/>
      <c r="D25" s="742"/>
      <c r="E25" s="742"/>
      <c r="F25" s="646">
        <v>2318</v>
      </c>
      <c r="G25" s="646">
        <v>4130</v>
      </c>
      <c r="H25" s="647">
        <v>111519</v>
      </c>
      <c r="I25" s="673">
        <f t="shared" si="0"/>
        <v>73495.856561330656</v>
      </c>
      <c r="J25" s="647">
        <v>720</v>
      </c>
      <c r="K25" s="648">
        <f t="shared" si="1"/>
        <v>184294.85656133067</v>
      </c>
    </row>
    <row r="26" spans="1:11" ht="18" customHeight="1" x14ac:dyDescent="0.3">
      <c r="A26" s="733" t="s">
        <v>80</v>
      </c>
      <c r="B26" s="742" t="s">
        <v>45</v>
      </c>
      <c r="C26" s="742"/>
      <c r="D26" s="742"/>
      <c r="E26" s="742"/>
      <c r="F26" s="646"/>
      <c r="G26" s="646"/>
      <c r="H26" s="647"/>
      <c r="I26" s="673">
        <f t="shared" si="0"/>
        <v>0</v>
      </c>
      <c r="J26" s="647"/>
      <c r="K26" s="648">
        <f t="shared" si="1"/>
        <v>0</v>
      </c>
    </row>
    <row r="27" spans="1:11" ht="18" customHeight="1" x14ac:dyDescent="0.3">
      <c r="A27" s="733" t="s">
        <v>81</v>
      </c>
      <c r="B27" s="742" t="s">
        <v>46</v>
      </c>
      <c r="C27" s="742"/>
      <c r="D27" s="742"/>
      <c r="E27" s="742"/>
      <c r="F27" s="646"/>
      <c r="G27" s="646"/>
      <c r="H27" s="647"/>
      <c r="I27" s="673">
        <f t="shared" si="0"/>
        <v>0</v>
      </c>
      <c r="J27" s="647"/>
      <c r="K27" s="648">
        <f t="shared" si="1"/>
        <v>0</v>
      </c>
    </row>
    <row r="28" spans="1:11" ht="18" customHeight="1" x14ac:dyDescent="0.3">
      <c r="A28" s="733" t="s">
        <v>82</v>
      </c>
      <c r="B28" s="742" t="s">
        <v>47</v>
      </c>
      <c r="C28" s="742"/>
      <c r="D28" s="742"/>
      <c r="E28" s="742"/>
      <c r="F28" s="646"/>
      <c r="G28" s="646"/>
      <c r="H28" s="647"/>
      <c r="I28" s="673">
        <f t="shared" si="0"/>
        <v>0</v>
      </c>
      <c r="J28" s="647"/>
      <c r="K28" s="648">
        <f t="shared" si="1"/>
        <v>0</v>
      </c>
    </row>
    <row r="29" spans="1:11" ht="18" customHeight="1" x14ac:dyDescent="0.3">
      <c r="A29" s="733" t="s">
        <v>83</v>
      </c>
      <c r="B29" s="742" t="s">
        <v>48</v>
      </c>
      <c r="C29" s="742"/>
      <c r="D29" s="742"/>
      <c r="E29" s="742"/>
      <c r="F29" s="646">
        <v>10390</v>
      </c>
      <c r="G29" s="646"/>
      <c r="H29" s="647">
        <v>832530</v>
      </c>
      <c r="I29" s="673">
        <f t="shared" si="0"/>
        <v>548673.36922860332</v>
      </c>
      <c r="J29" s="647">
        <v>36750</v>
      </c>
      <c r="K29" s="648">
        <f t="shared" si="1"/>
        <v>1344453.3692286033</v>
      </c>
    </row>
    <row r="30" spans="1:11" ht="18" customHeight="1" x14ac:dyDescent="0.3">
      <c r="A30" s="733" t="s">
        <v>84</v>
      </c>
      <c r="B30" s="1351"/>
      <c r="C30" s="1352"/>
      <c r="D30" s="1353"/>
      <c r="E30" s="742"/>
      <c r="F30" s="646"/>
      <c r="G30" s="646"/>
      <c r="H30" s="647"/>
      <c r="I30" s="673">
        <f t="shared" si="0"/>
        <v>0</v>
      </c>
      <c r="J30" s="647"/>
      <c r="K30" s="648">
        <f t="shared" si="1"/>
        <v>0</v>
      </c>
    </row>
    <row r="31" spans="1:11" ht="18" customHeight="1" x14ac:dyDescent="0.3">
      <c r="A31" s="733" t="s">
        <v>133</v>
      </c>
      <c r="B31" s="1351"/>
      <c r="C31" s="1352"/>
      <c r="D31" s="1353"/>
      <c r="E31" s="742"/>
      <c r="F31" s="646"/>
      <c r="G31" s="646"/>
      <c r="H31" s="647"/>
      <c r="I31" s="673">
        <f t="shared" si="0"/>
        <v>0</v>
      </c>
      <c r="J31" s="647"/>
      <c r="K31" s="648">
        <f t="shared" si="1"/>
        <v>0</v>
      </c>
    </row>
    <row r="32" spans="1:11" ht="18" customHeight="1" x14ac:dyDescent="0.3">
      <c r="A32" s="733" t="s">
        <v>134</v>
      </c>
      <c r="B32" s="879"/>
      <c r="C32" s="880"/>
      <c r="D32" s="881"/>
      <c r="E32" s="742"/>
      <c r="F32" s="646"/>
      <c r="G32" s="675"/>
      <c r="H32" s="647"/>
      <c r="I32" s="673">
        <f t="shared" si="0"/>
        <v>0</v>
      </c>
      <c r="J32" s="647"/>
      <c r="K32" s="648">
        <f t="shared" si="1"/>
        <v>0</v>
      </c>
    </row>
    <row r="33" spans="1:11" ht="18" customHeight="1" x14ac:dyDescent="0.3">
      <c r="A33" s="733" t="s">
        <v>135</v>
      </c>
      <c r="B33" s="879"/>
      <c r="C33" s="880"/>
      <c r="D33" s="881"/>
      <c r="E33" s="742"/>
      <c r="F33" s="646"/>
      <c r="G33" s="675"/>
      <c r="H33" s="647"/>
      <c r="I33" s="673">
        <f t="shared" si="0"/>
        <v>0</v>
      </c>
      <c r="J33" s="647"/>
      <c r="K33" s="648">
        <f t="shared" si="1"/>
        <v>0</v>
      </c>
    </row>
    <row r="34" spans="1:11" ht="18" customHeight="1" x14ac:dyDescent="0.3">
      <c r="A34" s="733" t="s">
        <v>136</v>
      </c>
      <c r="B34" s="1351"/>
      <c r="C34" s="1352"/>
      <c r="D34" s="1353"/>
      <c r="E34" s="742"/>
      <c r="F34" s="646"/>
      <c r="G34" s="675"/>
      <c r="H34" s="647"/>
      <c r="I34" s="673">
        <f t="shared" si="0"/>
        <v>0</v>
      </c>
      <c r="J34" s="647"/>
      <c r="K34" s="648">
        <f t="shared" si="1"/>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12873</v>
      </c>
      <c r="G36" s="650">
        <f t="shared" si="2"/>
        <v>4781</v>
      </c>
      <c r="H36" s="650">
        <f t="shared" si="2"/>
        <v>1032760</v>
      </c>
      <c r="I36" s="648">
        <f t="shared" si="2"/>
        <v>680633.62137644575</v>
      </c>
      <c r="J36" s="648">
        <f t="shared" si="2"/>
        <v>39270</v>
      </c>
      <c r="K36" s="648">
        <f t="shared" si="2"/>
        <v>1674123.6213764457</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646">
        <v>172737</v>
      </c>
      <c r="G40" s="646"/>
      <c r="H40" s="647">
        <v>7546994</v>
      </c>
      <c r="I40" s="673">
        <v>0</v>
      </c>
      <c r="J40" s="647"/>
      <c r="K40" s="648">
        <f t="shared" ref="K40:K47" si="3">(H40+I40)-J40</f>
        <v>7546994</v>
      </c>
    </row>
    <row r="41" spans="1:11" ht="18" customHeight="1" x14ac:dyDescent="0.3">
      <c r="A41" s="733" t="s">
        <v>88</v>
      </c>
      <c r="B41" s="1359" t="s">
        <v>50</v>
      </c>
      <c r="C41" s="1359"/>
      <c r="D41" s="742"/>
      <c r="E41" s="742"/>
      <c r="F41" s="646"/>
      <c r="G41" s="646"/>
      <c r="H41" s="647"/>
      <c r="I41" s="673">
        <v>0</v>
      </c>
      <c r="J41" s="647"/>
      <c r="K41" s="648">
        <f t="shared" si="3"/>
        <v>0</v>
      </c>
    </row>
    <row r="42" spans="1:11" ht="18" customHeight="1" x14ac:dyDescent="0.3">
      <c r="A42" s="733" t="s">
        <v>89</v>
      </c>
      <c r="B42" s="635" t="s">
        <v>11</v>
      </c>
      <c r="C42" s="742"/>
      <c r="D42" s="742"/>
      <c r="E42" s="742"/>
      <c r="F42" s="646"/>
      <c r="G42" s="646"/>
      <c r="H42" s="647"/>
      <c r="I42" s="673">
        <v>0</v>
      </c>
      <c r="J42" s="647"/>
      <c r="K42" s="648">
        <f t="shared" si="3"/>
        <v>0</v>
      </c>
    </row>
    <row r="43" spans="1:11" ht="18" customHeight="1" x14ac:dyDescent="0.3">
      <c r="A43" s="733" t="s">
        <v>90</v>
      </c>
      <c r="B43" s="670" t="s">
        <v>10</v>
      </c>
      <c r="C43" s="642"/>
      <c r="D43" s="642"/>
      <c r="E43" s="742"/>
      <c r="F43" s="646"/>
      <c r="G43" s="646"/>
      <c r="H43" s="647"/>
      <c r="I43" s="673">
        <v>0</v>
      </c>
      <c r="J43" s="647"/>
      <c r="K43" s="648">
        <f t="shared" si="3"/>
        <v>0</v>
      </c>
    </row>
    <row r="44" spans="1:11" ht="18" customHeight="1" x14ac:dyDescent="0.3">
      <c r="A44" s="733" t="s">
        <v>91</v>
      </c>
      <c r="B44" s="1351"/>
      <c r="C44" s="1352"/>
      <c r="D44" s="1353"/>
      <c r="E44" s="742"/>
      <c r="F44" s="677"/>
      <c r="G44" s="677"/>
      <c r="H44" s="677"/>
      <c r="I44" s="678">
        <v>0</v>
      </c>
      <c r="J44" s="677"/>
      <c r="K44" s="679">
        <f t="shared" si="3"/>
        <v>0</v>
      </c>
    </row>
    <row r="45" spans="1:11" ht="18" customHeight="1" x14ac:dyDescent="0.3">
      <c r="A45" s="733" t="s">
        <v>139</v>
      </c>
      <c r="B45" s="1351"/>
      <c r="C45" s="1352"/>
      <c r="D45" s="1353"/>
      <c r="E45" s="742"/>
      <c r="F45" s="646"/>
      <c r="G45" s="646"/>
      <c r="H45" s="647"/>
      <c r="I45" s="673">
        <v>0</v>
      </c>
      <c r="J45" s="647"/>
      <c r="K45" s="648">
        <f t="shared" si="3"/>
        <v>0</v>
      </c>
    </row>
    <row r="46" spans="1:11" ht="18" customHeight="1" x14ac:dyDescent="0.3">
      <c r="A46" s="733" t="s">
        <v>140</v>
      </c>
      <c r="B46" s="1351"/>
      <c r="C46" s="1352"/>
      <c r="D46" s="1353"/>
      <c r="E46" s="742"/>
      <c r="F46" s="646"/>
      <c r="G46" s="646"/>
      <c r="H46" s="647"/>
      <c r="I46" s="673">
        <v>0</v>
      </c>
      <c r="J46" s="647"/>
      <c r="K46" s="648">
        <f t="shared" si="3"/>
        <v>0</v>
      </c>
    </row>
    <row r="47" spans="1:11" ht="18" customHeight="1" x14ac:dyDescent="0.3">
      <c r="A47" s="733" t="s">
        <v>141</v>
      </c>
      <c r="B47" s="1351"/>
      <c r="C47" s="1352"/>
      <c r="D47" s="1353"/>
      <c r="E47" s="742"/>
      <c r="F47" s="646"/>
      <c r="G47" s="646"/>
      <c r="H47" s="647"/>
      <c r="I47" s="673">
        <v>0</v>
      </c>
      <c r="J47" s="647"/>
      <c r="K47" s="648">
        <f t="shared" si="3"/>
        <v>0</v>
      </c>
    </row>
    <row r="48" spans="1:11" ht="18" customHeight="1" x14ac:dyDescent="0.25">
      <c r="A48" s="633"/>
      <c r="B48" s="742"/>
      <c r="C48" s="742"/>
      <c r="D48" s="742"/>
      <c r="E48" s="742"/>
      <c r="F48" s="742"/>
      <c r="G48" s="742"/>
      <c r="H48" s="742"/>
      <c r="I48" s="742"/>
      <c r="J48" s="742"/>
      <c r="K48" s="742"/>
    </row>
    <row r="49" spans="1:11" ht="18" customHeight="1" x14ac:dyDescent="0.3">
      <c r="A49" s="639" t="s">
        <v>142</v>
      </c>
      <c r="B49" s="636" t="s">
        <v>143</v>
      </c>
      <c r="C49" s="742"/>
      <c r="D49" s="742"/>
      <c r="E49" s="636" t="s">
        <v>7</v>
      </c>
      <c r="F49" s="654">
        <f t="shared" ref="F49:K49" si="4">SUM(F40:F47)</f>
        <v>172737</v>
      </c>
      <c r="G49" s="654">
        <f t="shared" si="4"/>
        <v>0</v>
      </c>
      <c r="H49" s="648">
        <f t="shared" si="4"/>
        <v>7546994</v>
      </c>
      <c r="I49" s="648">
        <f t="shared" si="4"/>
        <v>0</v>
      </c>
      <c r="J49" s="648">
        <f t="shared" si="4"/>
        <v>0</v>
      </c>
      <c r="K49" s="648">
        <f t="shared" si="4"/>
        <v>7546994</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417</v>
      </c>
      <c r="C53" s="1355"/>
      <c r="D53" s="1356"/>
      <c r="E53" s="742"/>
      <c r="F53" s="646"/>
      <c r="G53" s="646"/>
      <c r="H53" s="647">
        <v>67500</v>
      </c>
      <c r="I53" s="673">
        <f>+H53*F$114</f>
        <v>44485.426859008949</v>
      </c>
      <c r="J53" s="647"/>
      <c r="K53" s="648">
        <f t="shared" ref="K53:K62" si="5">(H53+I53)-J53</f>
        <v>111985.42685900895</v>
      </c>
    </row>
    <row r="54" spans="1:11" ht="18" customHeight="1" x14ac:dyDescent="0.3">
      <c r="A54" s="733" t="s">
        <v>93</v>
      </c>
      <c r="B54" s="882" t="s">
        <v>476</v>
      </c>
      <c r="C54" s="883"/>
      <c r="D54" s="884"/>
      <c r="E54" s="742"/>
      <c r="F54" s="646"/>
      <c r="G54" s="646"/>
      <c r="H54" s="647">
        <v>122593</v>
      </c>
      <c r="I54" s="673">
        <f t="shared" ref="I54:I56" si="6">+H54*F$114</f>
        <v>80794.102739651615</v>
      </c>
      <c r="J54" s="647">
        <v>76000</v>
      </c>
      <c r="K54" s="648">
        <f t="shared" si="5"/>
        <v>127387.10273965163</v>
      </c>
    </row>
    <row r="55" spans="1:11" ht="18" customHeight="1" x14ac:dyDescent="0.3">
      <c r="A55" s="733" t="s">
        <v>94</v>
      </c>
      <c r="B55" s="1354" t="s">
        <v>418</v>
      </c>
      <c r="C55" s="1355"/>
      <c r="D55" s="1356"/>
      <c r="E55" s="742"/>
      <c r="F55" s="646"/>
      <c r="G55" s="646"/>
      <c r="H55" s="647">
        <v>88494</v>
      </c>
      <c r="I55" s="673">
        <f t="shared" si="6"/>
        <v>58321.383177202042</v>
      </c>
      <c r="J55" s="647"/>
      <c r="K55" s="648">
        <f t="shared" si="5"/>
        <v>146815.38317720205</v>
      </c>
    </row>
    <row r="56" spans="1:11" ht="18" customHeight="1" x14ac:dyDescent="0.3">
      <c r="A56" s="733" t="s">
        <v>95</v>
      </c>
      <c r="B56" s="1354" t="s">
        <v>419</v>
      </c>
      <c r="C56" s="1355"/>
      <c r="D56" s="1356"/>
      <c r="E56" s="742"/>
      <c r="F56" s="646">
        <v>6257</v>
      </c>
      <c r="G56" s="646">
        <v>1927</v>
      </c>
      <c r="H56" s="647">
        <v>1551173</v>
      </c>
      <c r="I56" s="673">
        <f t="shared" si="6"/>
        <v>1022290.2672173257</v>
      </c>
      <c r="J56" s="647">
        <v>542488</v>
      </c>
      <c r="K56" s="648">
        <f t="shared" si="5"/>
        <v>2030975.267217326</v>
      </c>
    </row>
    <row r="57" spans="1:11" ht="18" customHeight="1" x14ac:dyDescent="0.3">
      <c r="A57" s="733" t="s">
        <v>96</v>
      </c>
      <c r="B57" s="1354" t="s">
        <v>420</v>
      </c>
      <c r="C57" s="1355"/>
      <c r="D57" s="1356"/>
      <c r="E57" s="742"/>
      <c r="F57" s="646"/>
      <c r="G57" s="646"/>
      <c r="H57" s="647">
        <v>1905747</v>
      </c>
      <c r="I57" s="673">
        <v>0</v>
      </c>
      <c r="J57" s="647"/>
      <c r="K57" s="648">
        <f t="shared" si="5"/>
        <v>1905747</v>
      </c>
    </row>
    <row r="58" spans="1:11" ht="18" customHeight="1" x14ac:dyDescent="0.3">
      <c r="A58" s="733" t="s">
        <v>97</v>
      </c>
      <c r="B58" s="887" t="s">
        <v>611</v>
      </c>
      <c r="C58" s="883"/>
      <c r="D58" s="884"/>
      <c r="E58" s="742"/>
      <c r="F58" s="646"/>
      <c r="G58" s="646"/>
      <c r="H58" s="647">
        <v>11757493.213595416</v>
      </c>
      <c r="I58" s="673">
        <v>0</v>
      </c>
      <c r="J58" s="647">
        <v>5796941.7199999997</v>
      </c>
      <c r="K58" s="648">
        <f t="shared" si="5"/>
        <v>5960551.4935954167</v>
      </c>
    </row>
    <row r="59" spans="1:11" ht="18" customHeight="1" x14ac:dyDescent="0.3">
      <c r="A59" s="733" t="s">
        <v>98</v>
      </c>
      <c r="B59" s="1455" t="s">
        <v>612</v>
      </c>
      <c r="C59" s="1456"/>
      <c r="D59" s="1457"/>
      <c r="E59" s="742"/>
      <c r="F59" s="646"/>
      <c r="G59" s="646"/>
      <c r="H59" s="647">
        <v>9406575</v>
      </c>
      <c r="I59" s="673">
        <v>0</v>
      </c>
      <c r="J59" s="647">
        <v>5452714</v>
      </c>
      <c r="K59" s="648">
        <f t="shared" si="5"/>
        <v>3953861</v>
      </c>
    </row>
    <row r="60" spans="1:11" ht="18" customHeight="1" x14ac:dyDescent="0.3">
      <c r="A60" s="733" t="s">
        <v>99</v>
      </c>
      <c r="B60" s="887" t="s">
        <v>613</v>
      </c>
      <c r="C60" s="883"/>
      <c r="D60" s="884"/>
      <c r="E60" s="742"/>
      <c r="F60" s="646"/>
      <c r="G60" s="646"/>
      <c r="H60" s="647">
        <v>1043304</v>
      </c>
      <c r="I60" s="673">
        <v>0</v>
      </c>
      <c r="J60" s="647">
        <v>691273</v>
      </c>
      <c r="K60" s="648">
        <f t="shared" si="5"/>
        <v>352031</v>
      </c>
    </row>
    <row r="61" spans="1:11" ht="18" customHeight="1" x14ac:dyDescent="0.3">
      <c r="A61" s="733" t="s">
        <v>100</v>
      </c>
      <c r="B61" s="887" t="s">
        <v>736</v>
      </c>
      <c r="C61" s="883"/>
      <c r="D61" s="884"/>
      <c r="E61" s="742"/>
      <c r="F61" s="646"/>
      <c r="G61" s="646"/>
      <c r="H61" s="647">
        <v>500000</v>
      </c>
      <c r="I61" s="673">
        <v>0</v>
      </c>
      <c r="J61" s="647"/>
      <c r="K61" s="648">
        <f t="shared" si="5"/>
        <v>500000</v>
      </c>
    </row>
    <row r="62" spans="1:11" ht="18" customHeight="1" x14ac:dyDescent="0.3">
      <c r="A62" s="733" t="s">
        <v>101</v>
      </c>
      <c r="B62" s="1354"/>
      <c r="C62" s="1355"/>
      <c r="D62" s="1356"/>
      <c r="E62" s="742"/>
      <c r="F62" s="646"/>
      <c r="G62" s="646"/>
      <c r="H62" s="647"/>
      <c r="I62" s="673">
        <v>0</v>
      </c>
      <c r="J62" s="647"/>
      <c r="K62" s="648">
        <f t="shared" si="5"/>
        <v>0</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7">SUM(F53:F62)</f>
        <v>6257</v>
      </c>
      <c r="G64" s="650">
        <f t="shared" si="7"/>
        <v>1927</v>
      </c>
      <c r="H64" s="648">
        <f t="shared" si="7"/>
        <v>26442879.213595416</v>
      </c>
      <c r="I64" s="648">
        <f t="shared" si="7"/>
        <v>1205891.1799931885</v>
      </c>
      <c r="J64" s="648">
        <f t="shared" si="7"/>
        <v>12559416.719999999</v>
      </c>
      <c r="K64" s="648">
        <f t="shared" si="7"/>
        <v>15089353.673588604</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674">
        <v>5557</v>
      </c>
      <c r="G68" s="674"/>
      <c r="H68" s="674">
        <v>287219</v>
      </c>
      <c r="I68" s="673">
        <f t="shared" ref="I68" si="8">+H68*F$114</f>
        <v>189289.77506692876</v>
      </c>
      <c r="J68" s="674">
        <v>284892</v>
      </c>
      <c r="K68" s="648">
        <f>(H68+I68)-J68</f>
        <v>191616.77506692876</v>
      </c>
    </row>
    <row r="69" spans="1:11" ht="18" customHeight="1" x14ac:dyDescent="0.3">
      <c r="A69" s="733" t="s">
        <v>104</v>
      </c>
      <c r="B69" s="635" t="s">
        <v>53</v>
      </c>
      <c r="C69" s="742"/>
      <c r="D69" s="742"/>
      <c r="E69" s="742"/>
      <c r="F69" s="674"/>
      <c r="G69" s="674"/>
      <c r="H69" s="674"/>
      <c r="I69" s="673">
        <v>0</v>
      </c>
      <c r="J69" s="674"/>
      <c r="K69" s="648">
        <f>(H69+I69)-J69</f>
        <v>0</v>
      </c>
    </row>
    <row r="70" spans="1:11" ht="18" customHeight="1" x14ac:dyDescent="0.3">
      <c r="A70" s="733" t="s">
        <v>178</v>
      </c>
      <c r="B70" s="882"/>
      <c r="C70" s="883"/>
      <c r="D70" s="884"/>
      <c r="E70" s="636"/>
      <c r="F70" s="658"/>
      <c r="G70" s="658"/>
      <c r="H70" s="659"/>
      <c r="I70" s="673">
        <v>0</v>
      </c>
      <c r="J70" s="659"/>
      <c r="K70" s="648">
        <f>(H70+I70)-J70</f>
        <v>0</v>
      </c>
    </row>
    <row r="71" spans="1:11" ht="18" customHeight="1" x14ac:dyDescent="0.3">
      <c r="A71" s="733" t="s">
        <v>179</v>
      </c>
      <c r="B71" s="882"/>
      <c r="C71" s="883"/>
      <c r="D71" s="884"/>
      <c r="E71" s="636"/>
      <c r="F71" s="658"/>
      <c r="G71" s="658"/>
      <c r="H71" s="659"/>
      <c r="I71" s="673">
        <v>0</v>
      </c>
      <c r="J71" s="659"/>
      <c r="K71" s="648">
        <f>(H71+I71)-J71</f>
        <v>0</v>
      </c>
    </row>
    <row r="72" spans="1:11" ht="18" customHeight="1" x14ac:dyDescent="0.3">
      <c r="A72" s="733" t="s">
        <v>180</v>
      </c>
      <c r="B72" s="890"/>
      <c r="C72" s="885"/>
      <c r="D72" s="657"/>
      <c r="E72" s="636"/>
      <c r="F72" s="646"/>
      <c r="G72" s="646"/>
      <c r="H72" s="647"/>
      <c r="I72" s="673">
        <v>0</v>
      </c>
      <c r="J72" s="647"/>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9">SUM(F68:F72)</f>
        <v>5557</v>
      </c>
      <c r="G74" s="653">
        <f t="shared" si="9"/>
        <v>0</v>
      </c>
      <c r="H74" s="653">
        <f t="shared" si="9"/>
        <v>287219</v>
      </c>
      <c r="I74" s="676">
        <f t="shared" si="9"/>
        <v>189289.77506692876</v>
      </c>
      <c r="J74" s="653">
        <f t="shared" si="9"/>
        <v>284892</v>
      </c>
      <c r="K74" s="649">
        <f t="shared" si="9"/>
        <v>191616.77506692876</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646"/>
      <c r="G77" s="646"/>
      <c r="H77" s="647">
        <v>571690</v>
      </c>
      <c r="I77" s="673">
        <v>0</v>
      </c>
      <c r="J77" s="647"/>
      <c r="K77" s="648">
        <f>(H77+I77)-J77</f>
        <v>571690</v>
      </c>
    </row>
    <row r="78" spans="1:11" ht="18" customHeight="1" x14ac:dyDescent="0.3">
      <c r="A78" s="733" t="s">
        <v>108</v>
      </c>
      <c r="B78" s="635" t="s">
        <v>55</v>
      </c>
      <c r="C78" s="742"/>
      <c r="D78" s="742"/>
      <c r="E78" s="742"/>
      <c r="F78" s="646"/>
      <c r="G78" s="646"/>
      <c r="H78" s="647"/>
      <c r="I78" s="673">
        <v>0</v>
      </c>
      <c r="J78" s="647"/>
      <c r="K78" s="648">
        <f>(H78+I78)-J78</f>
        <v>0</v>
      </c>
    </row>
    <row r="79" spans="1:11" ht="18" customHeight="1" x14ac:dyDescent="0.3">
      <c r="A79" s="733" t="s">
        <v>109</v>
      </c>
      <c r="B79" s="635" t="s">
        <v>13</v>
      </c>
      <c r="C79" s="742"/>
      <c r="D79" s="742"/>
      <c r="E79" s="742"/>
      <c r="F79" s="646"/>
      <c r="G79" s="646"/>
      <c r="H79" s="647"/>
      <c r="I79" s="673">
        <v>0</v>
      </c>
      <c r="J79" s="647"/>
      <c r="K79" s="648">
        <f>(H79+I79)-J79</f>
        <v>0</v>
      </c>
    </row>
    <row r="80" spans="1:11" ht="18" customHeight="1" x14ac:dyDescent="0.3">
      <c r="A80" s="733" t="s">
        <v>110</v>
      </c>
      <c r="B80" s="635" t="s">
        <v>56</v>
      </c>
      <c r="C80" s="742"/>
      <c r="D80" s="742"/>
      <c r="E80" s="742"/>
      <c r="F80" s="646"/>
      <c r="G80" s="646"/>
      <c r="H80" s="647"/>
      <c r="I80" s="673">
        <v>0</v>
      </c>
      <c r="J80" s="647"/>
      <c r="K80" s="648">
        <f>(H80+I80)-J80</f>
        <v>0</v>
      </c>
    </row>
    <row r="81" spans="1:11" ht="18" customHeight="1" x14ac:dyDescent="0.3">
      <c r="A81" s="733"/>
      <c r="B81" s="742"/>
      <c r="C81" s="742"/>
      <c r="D81" s="742"/>
      <c r="E81" s="742"/>
      <c r="F81" s="742"/>
      <c r="G81" s="742"/>
      <c r="H81" s="742"/>
      <c r="I81" s="742"/>
      <c r="J81" s="742"/>
      <c r="K81" s="663"/>
    </row>
    <row r="82" spans="1:11" ht="18" customHeight="1" x14ac:dyDescent="0.3">
      <c r="A82" s="733" t="s">
        <v>148</v>
      </c>
      <c r="B82" s="636" t="s">
        <v>149</v>
      </c>
      <c r="C82" s="742"/>
      <c r="D82" s="742"/>
      <c r="E82" s="636" t="s">
        <v>7</v>
      </c>
      <c r="F82" s="653">
        <f t="shared" ref="F82:K82" si="10">SUM(F77:F80)</f>
        <v>0</v>
      </c>
      <c r="G82" s="653">
        <f t="shared" si="10"/>
        <v>0</v>
      </c>
      <c r="H82" s="649">
        <f t="shared" si="10"/>
        <v>571690</v>
      </c>
      <c r="I82" s="649">
        <f t="shared" si="10"/>
        <v>0</v>
      </c>
      <c r="J82" s="649">
        <f t="shared" si="10"/>
        <v>0</v>
      </c>
      <c r="K82" s="649">
        <f t="shared" si="10"/>
        <v>571690</v>
      </c>
    </row>
    <row r="83" spans="1:11" ht="18" customHeight="1" thickBot="1" x14ac:dyDescent="0.35">
      <c r="A83" s="733"/>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646"/>
      <c r="G86" s="646"/>
      <c r="H86" s="647">
        <v>514018</v>
      </c>
      <c r="I86" s="673">
        <v>0</v>
      </c>
      <c r="J86" s="647">
        <v>24000</v>
      </c>
      <c r="K86" s="648">
        <f t="shared" ref="K86:K96" si="11">(H86+I86)-J86</f>
        <v>490018</v>
      </c>
    </row>
    <row r="87" spans="1:11" ht="18" customHeight="1" x14ac:dyDescent="0.3">
      <c r="A87" s="733" t="s">
        <v>114</v>
      </c>
      <c r="B87" s="635" t="s">
        <v>14</v>
      </c>
      <c r="C87" s="742"/>
      <c r="D87" s="742"/>
      <c r="E87" s="742"/>
      <c r="F87" s="646"/>
      <c r="G87" s="646"/>
      <c r="H87" s="647"/>
      <c r="I87" s="673">
        <f t="shared" ref="I87:I96" si="12">H87*F$114</f>
        <v>0</v>
      </c>
      <c r="J87" s="647"/>
      <c r="K87" s="648">
        <f t="shared" si="11"/>
        <v>0</v>
      </c>
    </row>
    <row r="88" spans="1:11" ht="18" customHeight="1" x14ac:dyDescent="0.3">
      <c r="A88" s="733" t="s">
        <v>115</v>
      </c>
      <c r="B88" s="635" t="s">
        <v>116</v>
      </c>
      <c r="C88" s="742"/>
      <c r="D88" s="742"/>
      <c r="E88" s="742"/>
      <c r="F88" s="646"/>
      <c r="G88" s="646"/>
      <c r="H88" s="647">
        <v>3536</v>
      </c>
      <c r="I88" s="673">
        <f t="shared" si="12"/>
        <v>2330.3773240511946</v>
      </c>
      <c r="J88" s="647">
        <v>30000</v>
      </c>
      <c r="K88" s="648">
        <f t="shared" si="11"/>
        <v>-24133.622675948805</v>
      </c>
    </row>
    <row r="89" spans="1:11" ht="18" customHeight="1" x14ac:dyDescent="0.3">
      <c r="A89" s="733" t="s">
        <v>117</v>
      </c>
      <c r="B89" s="635" t="s">
        <v>58</v>
      </c>
      <c r="C89" s="742"/>
      <c r="D89" s="742"/>
      <c r="E89" s="742"/>
      <c r="F89" s="646"/>
      <c r="G89" s="646"/>
      <c r="H89" s="647"/>
      <c r="I89" s="673">
        <f t="shared" si="12"/>
        <v>0</v>
      </c>
      <c r="J89" s="647"/>
      <c r="K89" s="648">
        <f t="shared" si="11"/>
        <v>0</v>
      </c>
    </row>
    <row r="90" spans="1:11" ht="18" customHeight="1" x14ac:dyDescent="0.3">
      <c r="A90" s="733" t="s">
        <v>118</v>
      </c>
      <c r="B90" s="1359" t="s">
        <v>59</v>
      </c>
      <c r="C90" s="1359"/>
      <c r="D90" s="742"/>
      <c r="E90" s="742"/>
      <c r="F90" s="646"/>
      <c r="G90" s="646"/>
      <c r="H90" s="647"/>
      <c r="I90" s="673">
        <f t="shared" si="12"/>
        <v>0</v>
      </c>
      <c r="J90" s="647"/>
      <c r="K90" s="648">
        <f t="shared" si="11"/>
        <v>0</v>
      </c>
    </row>
    <row r="91" spans="1:11" ht="18" customHeight="1" x14ac:dyDescent="0.3">
      <c r="A91" s="733" t="s">
        <v>119</v>
      </c>
      <c r="B91" s="635" t="s">
        <v>60</v>
      </c>
      <c r="C91" s="742"/>
      <c r="D91" s="742"/>
      <c r="E91" s="742"/>
      <c r="F91" s="646"/>
      <c r="G91" s="646"/>
      <c r="H91" s="647"/>
      <c r="I91" s="673">
        <f t="shared" si="12"/>
        <v>0</v>
      </c>
      <c r="J91" s="647"/>
      <c r="K91" s="648">
        <f t="shared" si="11"/>
        <v>0</v>
      </c>
    </row>
    <row r="92" spans="1:11" ht="18" customHeight="1" x14ac:dyDescent="0.3">
      <c r="A92" s="733" t="s">
        <v>120</v>
      </c>
      <c r="B92" s="635" t="s">
        <v>121</v>
      </c>
      <c r="C92" s="742"/>
      <c r="D92" s="742"/>
      <c r="E92" s="742"/>
      <c r="F92" s="661"/>
      <c r="G92" s="661"/>
      <c r="H92" s="662"/>
      <c r="I92" s="673">
        <f t="shared" si="12"/>
        <v>0</v>
      </c>
      <c r="J92" s="662"/>
      <c r="K92" s="648">
        <f t="shared" si="11"/>
        <v>0</v>
      </c>
    </row>
    <row r="93" spans="1:11" ht="18" customHeight="1" x14ac:dyDescent="0.3">
      <c r="A93" s="733" t="s">
        <v>122</v>
      </c>
      <c r="B93" s="635" t="s">
        <v>123</v>
      </c>
      <c r="C93" s="742"/>
      <c r="D93" s="742"/>
      <c r="E93" s="742"/>
      <c r="F93" s="646"/>
      <c r="G93" s="646"/>
      <c r="H93" s="647"/>
      <c r="I93" s="673">
        <f t="shared" si="12"/>
        <v>0</v>
      </c>
      <c r="J93" s="647"/>
      <c r="K93" s="648">
        <f t="shared" si="11"/>
        <v>0</v>
      </c>
    </row>
    <row r="94" spans="1:11" ht="18" customHeight="1" x14ac:dyDescent="0.3">
      <c r="A94" s="733" t="s">
        <v>124</v>
      </c>
      <c r="B94" s="1354"/>
      <c r="C94" s="1355"/>
      <c r="D94" s="1356"/>
      <c r="E94" s="742"/>
      <c r="F94" s="646"/>
      <c r="G94" s="646"/>
      <c r="H94" s="647"/>
      <c r="I94" s="673">
        <f t="shared" si="12"/>
        <v>0</v>
      </c>
      <c r="J94" s="647"/>
      <c r="K94" s="648">
        <f t="shared" si="11"/>
        <v>0</v>
      </c>
    </row>
    <row r="95" spans="1:11" ht="18" customHeight="1" x14ac:dyDescent="0.3">
      <c r="A95" s="733" t="s">
        <v>125</v>
      </c>
      <c r="B95" s="1354"/>
      <c r="C95" s="1355"/>
      <c r="D95" s="1356"/>
      <c r="E95" s="742"/>
      <c r="F95" s="646"/>
      <c r="G95" s="646"/>
      <c r="H95" s="647"/>
      <c r="I95" s="673">
        <f t="shared" si="12"/>
        <v>0</v>
      </c>
      <c r="J95" s="647"/>
      <c r="K95" s="648">
        <f t="shared" si="11"/>
        <v>0</v>
      </c>
    </row>
    <row r="96" spans="1:11" ht="18" customHeight="1" x14ac:dyDescent="0.3">
      <c r="A96" s="733" t="s">
        <v>126</v>
      </c>
      <c r="B96" s="1354"/>
      <c r="C96" s="1355"/>
      <c r="D96" s="1356"/>
      <c r="E96" s="742"/>
      <c r="F96" s="646"/>
      <c r="G96" s="646"/>
      <c r="H96" s="647"/>
      <c r="I96" s="673">
        <f t="shared" si="12"/>
        <v>0</v>
      </c>
      <c r="J96" s="647"/>
      <c r="K96" s="648">
        <f t="shared" si="11"/>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3">SUM(F86:F96)</f>
        <v>0</v>
      </c>
      <c r="G98" s="650">
        <f t="shared" si="13"/>
        <v>0</v>
      </c>
      <c r="H98" s="650">
        <f t="shared" si="13"/>
        <v>517554</v>
      </c>
      <c r="I98" s="650">
        <f t="shared" si="13"/>
        <v>2330.3773240511946</v>
      </c>
      <c r="J98" s="650">
        <f t="shared" si="13"/>
        <v>54000</v>
      </c>
      <c r="K98" s="650">
        <f t="shared" si="13"/>
        <v>465884.37732405122</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646"/>
      <c r="G102" s="646"/>
      <c r="H102" s="647"/>
      <c r="I102" s="673">
        <f>H102*F$114</f>
        <v>0</v>
      </c>
      <c r="J102" s="647"/>
      <c r="K102" s="648">
        <f>(H102+I102)-J102</f>
        <v>0</v>
      </c>
    </row>
    <row r="103" spans="1:11" ht="18" customHeight="1" x14ac:dyDescent="0.3">
      <c r="A103" s="733" t="s">
        <v>132</v>
      </c>
      <c r="B103" s="1357" t="s">
        <v>62</v>
      </c>
      <c r="C103" s="1357"/>
      <c r="D103" s="742"/>
      <c r="E103" s="742"/>
      <c r="F103" s="646"/>
      <c r="G103" s="646"/>
      <c r="H103" s="647"/>
      <c r="I103" s="673">
        <f>H103*F$114</f>
        <v>0</v>
      </c>
      <c r="J103" s="647"/>
      <c r="K103" s="648">
        <f>(H103+I103)-J103</f>
        <v>0</v>
      </c>
    </row>
    <row r="104" spans="1:11" ht="18" customHeight="1" x14ac:dyDescent="0.3">
      <c r="A104" s="733" t="s">
        <v>128</v>
      </c>
      <c r="B104" s="1354"/>
      <c r="C104" s="1355"/>
      <c r="D104" s="1356"/>
      <c r="E104" s="742"/>
      <c r="F104" s="646"/>
      <c r="G104" s="646"/>
      <c r="H104" s="647"/>
      <c r="I104" s="673">
        <f>H104*F$114</f>
        <v>0</v>
      </c>
      <c r="J104" s="647"/>
      <c r="K104" s="648">
        <f>(H104+I104)-J104</f>
        <v>0</v>
      </c>
    </row>
    <row r="105" spans="1:11" ht="18" customHeight="1" x14ac:dyDescent="0.3">
      <c r="A105" s="733" t="s">
        <v>127</v>
      </c>
      <c r="B105" s="1354"/>
      <c r="C105" s="1355"/>
      <c r="D105" s="1356"/>
      <c r="E105" s="742"/>
      <c r="F105" s="646"/>
      <c r="G105" s="646"/>
      <c r="H105" s="647"/>
      <c r="I105" s="673">
        <f>H105*F$114</f>
        <v>0</v>
      </c>
      <c r="J105" s="647"/>
      <c r="K105" s="648">
        <f>(H105+I105)-J105</f>
        <v>0</v>
      </c>
    </row>
    <row r="106" spans="1:11" ht="18" customHeight="1" x14ac:dyDescent="0.3">
      <c r="A106" s="733"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4">SUM(F102:F106)</f>
        <v>0</v>
      </c>
      <c r="G108" s="650">
        <f t="shared" si="14"/>
        <v>0</v>
      </c>
      <c r="H108" s="648">
        <f t="shared" si="14"/>
        <v>0</v>
      </c>
      <c r="I108" s="648">
        <f t="shared" si="14"/>
        <v>0</v>
      </c>
      <c r="J108" s="648">
        <f t="shared" si="14"/>
        <v>0</v>
      </c>
      <c r="K108" s="648">
        <f t="shared" si="14"/>
        <v>0</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21573282</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733" t="s">
        <v>171</v>
      </c>
      <c r="B114" s="635" t="s">
        <v>35</v>
      </c>
      <c r="C114" s="742"/>
      <c r="D114" s="742"/>
      <c r="E114" s="742"/>
      <c r="F114" s="656">
        <v>0.65904336087420667</v>
      </c>
      <c r="G114" s="742"/>
      <c r="H114" s="742"/>
      <c r="I114" s="742"/>
      <c r="J114" s="742"/>
      <c r="K114" s="742"/>
    </row>
    <row r="115" spans="1:11" ht="18" customHeight="1" x14ac:dyDescent="0.3">
      <c r="A115" s="733"/>
      <c r="B115" s="636"/>
      <c r="C115" s="742"/>
      <c r="D115" s="742"/>
      <c r="E115" s="742"/>
      <c r="F115" s="742"/>
      <c r="G115" s="742"/>
      <c r="H115" s="742"/>
      <c r="I115" s="742"/>
      <c r="J115" s="742"/>
      <c r="K115" s="742"/>
    </row>
    <row r="116" spans="1:11" ht="18" customHeight="1" x14ac:dyDescent="0.3">
      <c r="A116" s="733" t="s">
        <v>170</v>
      </c>
      <c r="B116" s="636" t="s">
        <v>16</v>
      </c>
      <c r="C116" s="742"/>
      <c r="D116" s="742"/>
      <c r="E116" s="742"/>
      <c r="F116" s="742"/>
      <c r="G116" s="742"/>
      <c r="H116" s="742"/>
      <c r="I116" s="742"/>
      <c r="J116" s="742"/>
      <c r="K116" s="742"/>
    </row>
    <row r="117" spans="1:11" ht="18" customHeight="1" x14ac:dyDescent="0.3">
      <c r="A117" s="733" t="s">
        <v>172</v>
      </c>
      <c r="B117" s="635" t="s">
        <v>17</v>
      </c>
      <c r="C117" s="742"/>
      <c r="D117" s="742"/>
      <c r="E117" s="742"/>
      <c r="F117" s="647">
        <v>446167000</v>
      </c>
      <c r="G117" s="742"/>
      <c r="H117" s="742"/>
      <c r="I117" s="742"/>
      <c r="J117" s="742"/>
      <c r="K117" s="742"/>
    </row>
    <row r="118" spans="1:11" ht="18" customHeight="1" x14ac:dyDescent="0.3">
      <c r="A118" s="733" t="s">
        <v>173</v>
      </c>
      <c r="B118" s="742" t="s">
        <v>18</v>
      </c>
      <c r="C118" s="742"/>
      <c r="D118" s="742"/>
      <c r="E118" s="742"/>
      <c r="F118" s="647">
        <v>11066000</v>
      </c>
      <c r="G118" s="742"/>
      <c r="H118" s="742"/>
      <c r="I118" s="742"/>
      <c r="J118" s="742"/>
      <c r="K118" s="742"/>
    </row>
    <row r="119" spans="1:11" ht="18" customHeight="1" x14ac:dyDescent="0.3">
      <c r="A119" s="733" t="s">
        <v>174</v>
      </c>
      <c r="B119" s="636" t="s">
        <v>19</v>
      </c>
      <c r="C119" s="742"/>
      <c r="D119" s="742"/>
      <c r="E119" s="742"/>
      <c r="F119" s="649">
        <f>SUM(F117:F118)</f>
        <v>457233000</v>
      </c>
      <c r="G119" s="742"/>
      <c r="H119" s="742"/>
      <c r="I119" s="742"/>
      <c r="J119" s="742"/>
      <c r="K119" s="742"/>
    </row>
    <row r="120" spans="1:11" ht="18" customHeight="1" x14ac:dyDescent="0.3">
      <c r="A120" s="733"/>
      <c r="B120" s="636"/>
      <c r="C120" s="742"/>
      <c r="D120" s="742"/>
      <c r="E120" s="742"/>
      <c r="F120" s="742"/>
      <c r="G120" s="742"/>
      <c r="H120" s="742"/>
      <c r="I120" s="742"/>
      <c r="J120" s="742"/>
      <c r="K120" s="742"/>
    </row>
    <row r="121" spans="1:11" ht="18" customHeight="1" x14ac:dyDescent="0.3">
      <c r="A121" s="733" t="s">
        <v>167</v>
      </c>
      <c r="B121" s="636" t="s">
        <v>36</v>
      </c>
      <c r="C121" s="742"/>
      <c r="D121" s="742"/>
      <c r="E121" s="742"/>
      <c r="F121" s="647">
        <v>433986000</v>
      </c>
      <c r="G121" s="742"/>
      <c r="H121" s="742"/>
      <c r="I121" s="742"/>
      <c r="J121" s="742"/>
      <c r="K121" s="742"/>
    </row>
    <row r="122" spans="1:11" ht="18" customHeight="1" x14ac:dyDescent="0.3">
      <c r="A122" s="733"/>
      <c r="B122" s="742"/>
      <c r="C122" s="742"/>
      <c r="D122" s="742"/>
      <c r="E122" s="742"/>
      <c r="F122" s="742"/>
      <c r="G122" s="742"/>
      <c r="H122" s="742"/>
      <c r="I122" s="742"/>
      <c r="J122" s="742"/>
      <c r="K122" s="742"/>
    </row>
    <row r="123" spans="1:11" ht="18" customHeight="1" x14ac:dyDescent="0.3">
      <c r="A123" s="733" t="s">
        <v>175</v>
      </c>
      <c r="B123" s="636" t="s">
        <v>20</v>
      </c>
      <c r="C123" s="742"/>
      <c r="D123" s="742"/>
      <c r="E123" s="742"/>
      <c r="F123" s="647">
        <v>23247000</v>
      </c>
      <c r="G123" s="742"/>
      <c r="H123" s="742"/>
      <c r="I123" s="742"/>
      <c r="J123" s="742"/>
      <c r="K123" s="742"/>
    </row>
    <row r="124" spans="1:11" ht="18" customHeight="1" x14ac:dyDescent="0.3">
      <c r="A124" s="733"/>
      <c r="B124" s="742"/>
      <c r="C124" s="742"/>
      <c r="D124" s="742"/>
      <c r="E124" s="742"/>
      <c r="F124" s="742"/>
      <c r="G124" s="742"/>
      <c r="H124" s="742"/>
      <c r="I124" s="742"/>
      <c r="J124" s="742"/>
      <c r="K124" s="742"/>
    </row>
    <row r="125" spans="1:11" ht="18" customHeight="1" x14ac:dyDescent="0.3">
      <c r="A125" s="733" t="s">
        <v>176</v>
      </c>
      <c r="B125" s="636" t="s">
        <v>21</v>
      </c>
      <c r="C125" s="742"/>
      <c r="D125" s="742"/>
      <c r="E125" s="742"/>
      <c r="F125" s="647">
        <v>7476000</v>
      </c>
      <c r="G125" s="742"/>
      <c r="H125" s="742"/>
      <c r="I125" s="742"/>
      <c r="J125" s="742"/>
      <c r="K125" s="742"/>
    </row>
    <row r="126" spans="1:11" ht="18" customHeight="1" x14ac:dyDescent="0.3">
      <c r="A126" s="733"/>
      <c r="B126" s="742"/>
      <c r="C126" s="742"/>
      <c r="D126" s="742"/>
      <c r="E126" s="742"/>
      <c r="F126" s="742"/>
      <c r="G126" s="742"/>
      <c r="H126" s="742"/>
      <c r="I126" s="742"/>
      <c r="J126" s="742"/>
      <c r="K126" s="742"/>
    </row>
    <row r="127" spans="1:11" ht="18" customHeight="1" x14ac:dyDescent="0.3">
      <c r="A127" s="733" t="s">
        <v>177</v>
      </c>
      <c r="B127" s="636" t="s">
        <v>22</v>
      </c>
      <c r="C127" s="742"/>
      <c r="D127" s="742"/>
      <c r="E127" s="742"/>
      <c r="F127" s="647">
        <v>30723000</v>
      </c>
      <c r="G127" s="742"/>
      <c r="H127" s="742"/>
      <c r="I127" s="742"/>
      <c r="J127" s="742"/>
      <c r="K127" s="742"/>
    </row>
    <row r="128" spans="1:11" ht="18" customHeight="1" x14ac:dyDescent="0.3">
      <c r="A128" s="733"/>
      <c r="B128" s="742"/>
      <c r="C128" s="742"/>
      <c r="D128" s="742"/>
      <c r="E128" s="742"/>
      <c r="F128" s="742"/>
      <c r="G128" s="742"/>
      <c r="H128" s="742"/>
      <c r="I128" s="742"/>
      <c r="J128" s="742"/>
      <c r="K128" s="742"/>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646"/>
      <c r="G131" s="646"/>
      <c r="H131" s="647">
        <v>352862</v>
      </c>
      <c r="I131" s="673">
        <v>0</v>
      </c>
      <c r="J131" s="647">
        <v>170340</v>
      </c>
      <c r="K131" s="648">
        <f>(H131+I131)-J131</f>
        <v>182522</v>
      </c>
    </row>
    <row r="132" spans="1:11" ht="18" customHeight="1" x14ac:dyDescent="0.3">
      <c r="A132" s="733" t="s">
        <v>159</v>
      </c>
      <c r="B132" s="742" t="s">
        <v>25</v>
      </c>
      <c r="C132" s="742"/>
      <c r="D132" s="742"/>
      <c r="E132" s="742"/>
      <c r="F132" s="646"/>
      <c r="G132" s="646"/>
      <c r="H132" s="647">
        <v>60000</v>
      </c>
      <c r="I132" s="673">
        <v>0</v>
      </c>
      <c r="J132" s="647">
        <v>7000</v>
      </c>
      <c r="K132" s="648">
        <f>(H132+I132)-J132</f>
        <v>53000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5">SUM(F131:F135)</f>
        <v>0</v>
      </c>
      <c r="G137" s="650">
        <f t="shared" si="15"/>
        <v>0</v>
      </c>
      <c r="H137" s="648">
        <f t="shared" si="15"/>
        <v>412862</v>
      </c>
      <c r="I137" s="648">
        <f t="shared" si="15"/>
        <v>0</v>
      </c>
      <c r="J137" s="648">
        <f t="shared" si="15"/>
        <v>177340</v>
      </c>
      <c r="K137" s="648">
        <f t="shared" si="15"/>
        <v>235522</v>
      </c>
    </row>
    <row r="138" spans="1:11" ht="18" customHeight="1" x14ac:dyDescent="0.25">
      <c r="A138" s="742"/>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664">
        <f t="shared" ref="F141:K141" si="16">F36</f>
        <v>12873</v>
      </c>
      <c r="G141" s="664">
        <f t="shared" si="16"/>
        <v>4781</v>
      </c>
      <c r="H141" s="664">
        <f t="shared" si="16"/>
        <v>1032760</v>
      </c>
      <c r="I141" s="664">
        <f t="shared" si="16"/>
        <v>680633.62137644575</v>
      </c>
      <c r="J141" s="664">
        <f t="shared" si="16"/>
        <v>39270</v>
      </c>
      <c r="K141" s="664">
        <f t="shared" si="16"/>
        <v>1674123.6213764457</v>
      </c>
    </row>
    <row r="142" spans="1:11" ht="18" customHeight="1" x14ac:dyDescent="0.3">
      <c r="A142" s="733" t="s">
        <v>142</v>
      </c>
      <c r="B142" s="636" t="s">
        <v>65</v>
      </c>
      <c r="C142" s="742"/>
      <c r="D142" s="742"/>
      <c r="E142" s="742"/>
      <c r="F142" s="664">
        <f t="shared" ref="F142:K142" si="17">F49</f>
        <v>172737</v>
      </c>
      <c r="G142" s="664">
        <f t="shared" si="17"/>
        <v>0</v>
      </c>
      <c r="H142" s="664">
        <f t="shared" si="17"/>
        <v>7546994</v>
      </c>
      <c r="I142" s="664">
        <f t="shared" si="17"/>
        <v>0</v>
      </c>
      <c r="J142" s="664">
        <f t="shared" si="17"/>
        <v>0</v>
      </c>
      <c r="K142" s="664">
        <f t="shared" si="17"/>
        <v>7546994</v>
      </c>
    </row>
    <row r="143" spans="1:11" ht="18" customHeight="1" x14ac:dyDescent="0.3">
      <c r="A143" s="733" t="s">
        <v>144</v>
      </c>
      <c r="B143" s="636" t="s">
        <v>66</v>
      </c>
      <c r="C143" s="742"/>
      <c r="D143" s="742"/>
      <c r="E143" s="742"/>
      <c r="F143" s="664">
        <f t="shared" ref="F143:K143" si="18">F64</f>
        <v>6257</v>
      </c>
      <c r="G143" s="664">
        <f t="shared" si="18"/>
        <v>1927</v>
      </c>
      <c r="H143" s="664">
        <f t="shared" si="18"/>
        <v>26442879.213595416</v>
      </c>
      <c r="I143" s="664">
        <f t="shared" si="18"/>
        <v>1205891.1799931885</v>
      </c>
      <c r="J143" s="664">
        <f t="shared" si="18"/>
        <v>12559416.719999999</v>
      </c>
      <c r="K143" s="664">
        <f t="shared" si="18"/>
        <v>15089353.673588604</v>
      </c>
    </row>
    <row r="144" spans="1:11" ht="18" customHeight="1" x14ac:dyDescent="0.3">
      <c r="A144" s="733" t="s">
        <v>146</v>
      </c>
      <c r="B144" s="636" t="s">
        <v>67</v>
      </c>
      <c r="C144" s="742"/>
      <c r="D144" s="742"/>
      <c r="E144" s="742"/>
      <c r="F144" s="664">
        <f t="shared" ref="F144:K144" si="19">F74</f>
        <v>5557</v>
      </c>
      <c r="G144" s="664">
        <f t="shared" si="19"/>
        <v>0</v>
      </c>
      <c r="H144" s="664">
        <f t="shared" si="19"/>
        <v>287219</v>
      </c>
      <c r="I144" s="664">
        <f t="shared" si="19"/>
        <v>189289.77506692876</v>
      </c>
      <c r="J144" s="664">
        <f t="shared" si="19"/>
        <v>284892</v>
      </c>
      <c r="K144" s="664">
        <f t="shared" si="19"/>
        <v>191616.77506692876</v>
      </c>
    </row>
    <row r="145" spans="1:11" ht="18" customHeight="1" x14ac:dyDescent="0.3">
      <c r="A145" s="733" t="s">
        <v>148</v>
      </c>
      <c r="B145" s="636" t="s">
        <v>68</v>
      </c>
      <c r="C145" s="742"/>
      <c r="D145" s="742"/>
      <c r="E145" s="742"/>
      <c r="F145" s="664">
        <f t="shared" ref="F145:K145" si="20">F82</f>
        <v>0</v>
      </c>
      <c r="G145" s="664">
        <f t="shared" si="20"/>
        <v>0</v>
      </c>
      <c r="H145" s="664">
        <f t="shared" si="20"/>
        <v>571690</v>
      </c>
      <c r="I145" s="664">
        <f t="shared" si="20"/>
        <v>0</v>
      </c>
      <c r="J145" s="664">
        <f t="shared" si="20"/>
        <v>0</v>
      </c>
      <c r="K145" s="664">
        <f t="shared" si="20"/>
        <v>571690</v>
      </c>
    </row>
    <row r="146" spans="1:11" ht="18" customHeight="1" x14ac:dyDescent="0.3">
      <c r="A146" s="733" t="s">
        <v>150</v>
      </c>
      <c r="B146" s="636" t="s">
        <v>69</v>
      </c>
      <c r="C146" s="742"/>
      <c r="D146" s="742"/>
      <c r="E146" s="742"/>
      <c r="F146" s="664">
        <f t="shared" ref="F146:K146" si="21">F98</f>
        <v>0</v>
      </c>
      <c r="G146" s="664">
        <f t="shared" si="21"/>
        <v>0</v>
      </c>
      <c r="H146" s="664">
        <f t="shared" si="21"/>
        <v>517554</v>
      </c>
      <c r="I146" s="664">
        <f t="shared" si="21"/>
        <v>2330.3773240511946</v>
      </c>
      <c r="J146" s="664">
        <f t="shared" si="21"/>
        <v>54000</v>
      </c>
      <c r="K146" s="664">
        <f t="shared" si="21"/>
        <v>465884.37732405122</v>
      </c>
    </row>
    <row r="147" spans="1:11" ht="18" customHeight="1" x14ac:dyDescent="0.3">
      <c r="A147" s="733" t="s">
        <v>153</v>
      </c>
      <c r="B147" s="636" t="s">
        <v>61</v>
      </c>
      <c r="C147" s="742"/>
      <c r="D147" s="742"/>
      <c r="E147" s="742"/>
      <c r="F147" s="650">
        <f t="shared" ref="F147:K147" si="22">F108</f>
        <v>0</v>
      </c>
      <c r="G147" s="650">
        <f t="shared" si="22"/>
        <v>0</v>
      </c>
      <c r="H147" s="650">
        <f t="shared" si="22"/>
        <v>0</v>
      </c>
      <c r="I147" s="650">
        <f t="shared" si="22"/>
        <v>0</v>
      </c>
      <c r="J147" s="650">
        <f t="shared" si="22"/>
        <v>0</v>
      </c>
      <c r="K147" s="650">
        <f t="shared" si="22"/>
        <v>0</v>
      </c>
    </row>
    <row r="148" spans="1:11" ht="18" customHeight="1" x14ac:dyDescent="0.3">
      <c r="A148" s="733" t="s">
        <v>155</v>
      </c>
      <c r="B148" s="636" t="s">
        <v>70</v>
      </c>
      <c r="C148" s="742"/>
      <c r="D148" s="742"/>
      <c r="E148" s="742"/>
      <c r="F148" s="665" t="s">
        <v>73</v>
      </c>
      <c r="G148" s="665" t="s">
        <v>73</v>
      </c>
      <c r="H148" s="666" t="s">
        <v>73</v>
      </c>
      <c r="I148" s="666" t="s">
        <v>73</v>
      </c>
      <c r="J148" s="666" t="s">
        <v>73</v>
      </c>
      <c r="K148" s="660">
        <f>F111</f>
        <v>21573282</v>
      </c>
    </row>
    <row r="149" spans="1:11" ht="18" customHeight="1" x14ac:dyDescent="0.3">
      <c r="A149" s="733" t="s">
        <v>163</v>
      </c>
      <c r="B149" s="636" t="s">
        <v>71</v>
      </c>
      <c r="C149" s="742"/>
      <c r="D149" s="742"/>
      <c r="E149" s="742"/>
      <c r="F149" s="650">
        <f t="shared" ref="F149:K149" si="23">F137</f>
        <v>0</v>
      </c>
      <c r="G149" s="650">
        <f t="shared" si="23"/>
        <v>0</v>
      </c>
      <c r="H149" s="650">
        <f t="shared" si="23"/>
        <v>412862</v>
      </c>
      <c r="I149" s="650">
        <f t="shared" si="23"/>
        <v>0</v>
      </c>
      <c r="J149" s="650">
        <f t="shared" si="23"/>
        <v>177340</v>
      </c>
      <c r="K149" s="650">
        <f t="shared" si="23"/>
        <v>235522</v>
      </c>
    </row>
    <row r="150" spans="1:11" ht="18" customHeight="1" x14ac:dyDescent="0.3">
      <c r="A150" s="733" t="s">
        <v>185</v>
      </c>
      <c r="B150" s="636" t="s">
        <v>186</v>
      </c>
      <c r="C150" s="742"/>
      <c r="D150" s="742"/>
      <c r="E150" s="742"/>
      <c r="F150" s="665" t="s">
        <v>73</v>
      </c>
      <c r="G150" s="665" t="s">
        <v>73</v>
      </c>
      <c r="H150" s="650">
        <f>H18</f>
        <v>9664652</v>
      </c>
      <c r="I150" s="650">
        <f>I18</f>
        <v>0</v>
      </c>
      <c r="J150" s="650">
        <f>J18</f>
        <v>8168538</v>
      </c>
      <c r="K150" s="650">
        <f>K18</f>
        <v>1496114</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4">SUM(F141:F150)</f>
        <v>197424</v>
      </c>
      <c r="G152" s="672">
        <f t="shared" si="24"/>
        <v>6708</v>
      </c>
      <c r="H152" s="672">
        <f t="shared" si="24"/>
        <v>46476610.21359542</v>
      </c>
      <c r="I152" s="672">
        <f t="shared" si="24"/>
        <v>2078144.9537606142</v>
      </c>
      <c r="J152" s="672">
        <f t="shared" si="24"/>
        <v>21283456.719999999</v>
      </c>
      <c r="K152" s="672">
        <f t="shared" si="24"/>
        <v>48844580.44735603</v>
      </c>
    </row>
    <row r="153" spans="1:11" ht="18" customHeight="1" x14ac:dyDescent="0.25">
      <c r="A153" s="633"/>
      <c r="B153" s="742"/>
      <c r="C153" s="742"/>
      <c r="D153" s="742"/>
      <c r="E153" s="742"/>
      <c r="F153" s="742"/>
      <c r="G153" s="742"/>
      <c r="H153" s="742"/>
      <c r="I153" s="742"/>
      <c r="J153" s="742"/>
      <c r="K153" s="742"/>
    </row>
    <row r="154" spans="1:11" ht="18" customHeight="1" x14ac:dyDescent="0.3">
      <c r="A154" s="639" t="s">
        <v>168</v>
      </c>
      <c r="B154" s="636" t="s">
        <v>28</v>
      </c>
      <c r="C154" s="742"/>
      <c r="D154" s="742"/>
      <c r="E154" s="742"/>
      <c r="F154" s="687">
        <f>K152/F121</f>
        <v>0.11254874684288441</v>
      </c>
      <c r="G154" s="742"/>
      <c r="H154" s="742"/>
      <c r="I154" s="742"/>
      <c r="J154" s="742"/>
      <c r="K154" s="742"/>
    </row>
    <row r="155" spans="1:11" ht="18" customHeight="1" x14ac:dyDescent="0.3">
      <c r="A155" s="639" t="s">
        <v>169</v>
      </c>
      <c r="B155" s="636" t="s">
        <v>72</v>
      </c>
      <c r="C155" s="742"/>
      <c r="D155" s="742"/>
      <c r="E155" s="742"/>
      <c r="F155" s="687">
        <f>K152/F127</f>
        <v>1.5898375955263493</v>
      </c>
      <c r="G155" s="636"/>
      <c r="H155" s="742"/>
      <c r="I155" s="742"/>
      <c r="J155" s="742"/>
      <c r="K155" s="742"/>
    </row>
    <row r="156" spans="1:11" ht="18" customHeight="1" x14ac:dyDescent="0.3">
      <c r="A156" s="260"/>
      <c r="B156" s="260"/>
      <c r="C156" s="260"/>
      <c r="D156" s="260"/>
      <c r="E156" s="260"/>
      <c r="F156" s="260"/>
      <c r="G156" s="261"/>
      <c r="H156" s="260"/>
      <c r="I156" s="260"/>
      <c r="J156" s="260"/>
      <c r="K156" s="260"/>
    </row>
  </sheetData>
  <sheetProtection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56"/>
  <sheetViews>
    <sheetView showGridLines="0" zoomScale="70" zoomScaleNormal="70" zoomScaleSheetLayoutView="80" workbookViewId="0">
      <selection activeCell="A2" sqref="A2"/>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61" t="s">
        <v>444</v>
      </c>
      <c r="D5" s="1362"/>
      <c r="E5" s="1362"/>
      <c r="F5" s="1362"/>
      <c r="G5" s="1364"/>
      <c r="H5" s="742"/>
      <c r="I5" s="742"/>
      <c r="J5" s="742"/>
      <c r="K5" s="742"/>
    </row>
    <row r="6" spans="1:11" ht="18" customHeight="1" x14ac:dyDescent="0.3">
      <c r="A6" s="742"/>
      <c r="B6" s="733" t="s">
        <v>3</v>
      </c>
      <c r="C6" s="1365">
        <v>12</v>
      </c>
      <c r="D6" s="1366"/>
      <c r="E6" s="1366"/>
      <c r="F6" s="1366"/>
      <c r="G6" s="1367"/>
      <c r="H6" s="742"/>
      <c r="I6" s="742"/>
      <c r="J6" s="742"/>
      <c r="K6" s="742"/>
    </row>
    <row r="7" spans="1:11" ht="18" customHeight="1" x14ac:dyDescent="0.3">
      <c r="A7" s="742"/>
      <c r="B7" s="733" t="s">
        <v>4</v>
      </c>
      <c r="C7" s="1368">
        <v>4987</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61" t="s">
        <v>382</v>
      </c>
      <c r="D9" s="1362"/>
      <c r="E9" s="1362"/>
      <c r="F9" s="1362"/>
      <c r="G9" s="1364"/>
      <c r="H9" s="742"/>
      <c r="I9" s="742"/>
      <c r="J9" s="742"/>
      <c r="K9" s="742"/>
    </row>
    <row r="10" spans="1:11" ht="18" customHeight="1" x14ac:dyDescent="0.3">
      <c r="A10" s="742"/>
      <c r="B10" s="733" t="s">
        <v>2</v>
      </c>
      <c r="C10" s="1371" t="s">
        <v>383</v>
      </c>
      <c r="D10" s="1372"/>
      <c r="E10" s="1372"/>
      <c r="F10" s="1372"/>
      <c r="G10" s="1373"/>
      <c r="H10" s="742"/>
      <c r="I10" s="742"/>
      <c r="J10" s="742"/>
      <c r="K10" s="742"/>
    </row>
    <row r="11" spans="1:11" ht="18" customHeight="1" x14ac:dyDescent="0.3">
      <c r="A11" s="742"/>
      <c r="B11" s="733" t="s">
        <v>32</v>
      </c>
      <c r="C11" s="1361" t="s">
        <v>384</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282" t="s">
        <v>73</v>
      </c>
      <c r="G18" s="282" t="s">
        <v>73</v>
      </c>
      <c r="H18" s="283">
        <v>16156310</v>
      </c>
      <c r="I18" s="306">
        <v>0</v>
      </c>
      <c r="J18" s="283">
        <v>13655270</v>
      </c>
      <c r="K18" s="284">
        <f>(H18+I18)-J18</f>
        <v>2501040</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282">
        <v>1368</v>
      </c>
      <c r="G21" s="282">
        <v>3839</v>
      </c>
      <c r="H21" s="283">
        <v>71491</v>
      </c>
      <c r="I21" s="306">
        <f t="shared" ref="I21:I34" si="0">H21*F$114</f>
        <v>42101.049899999998</v>
      </c>
      <c r="J21" s="283">
        <v>11830</v>
      </c>
      <c r="K21" s="284">
        <f t="shared" ref="K21:K34" si="1">(H21+I21)-J21</f>
        <v>101762.0499</v>
      </c>
    </row>
    <row r="22" spans="1:11" ht="18" customHeight="1" x14ac:dyDescent="0.3">
      <c r="A22" s="733" t="s">
        <v>76</v>
      </c>
      <c r="B22" s="742" t="s">
        <v>6</v>
      </c>
      <c r="C22" s="742"/>
      <c r="D22" s="742"/>
      <c r="E22" s="742"/>
      <c r="F22" s="282"/>
      <c r="G22" s="282"/>
      <c r="H22" s="283"/>
      <c r="I22" s="306">
        <f t="shared" si="0"/>
        <v>0</v>
      </c>
      <c r="J22" s="283"/>
      <c r="K22" s="284">
        <f t="shared" si="1"/>
        <v>0</v>
      </c>
    </row>
    <row r="23" spans="1:11" ht="18" customHeight="1" x14ac:dyDescent="0.3">
      <c r="A23" s="733" t="s">
        <v>77</v>
      </c>
      <c r="B23" s="742" t="s">
        <v>43</v>
      </c>
      <c r="C23" s="742"/>
      <c r="D23" s="742"/>
      <c r="E23" s="742"/>
      <c r="F23" s="282"/>
      <c r="G23" s="282"/>
      <c r="H23" s="283"/>
      <c r="I23" s="306">
        <f t="shared" si="0"/>
        <v>0</v>
      </c>
      <c r="J23" s="283"/>
      <c r="K23" s="284">
        <f t="shared" si="1"/>
        <v>0</v>
      </c>
    </row>
    <row r="24" spans="1:11" ht="18" customHeight="1" x14ac:dyDescent="0.3">
      <c r="A24" s="733" t="s">
        <v>78</v>
      </c>
      <c r="B24" s="742" t="s">
        <v>44</v>
      </c>
      <c r="C24" s="742"/>
      <c r="D24" s="742"/>
      <c r="E24" s="742"/>
      <c r="F24" s="282">
        <v>5162</v>
      </c>
      <c r="G24" s="282">
        <v>1037</v>
      </c>
      <c r="H24" s="283">
        <v>190366</v>
      </c>
      <c r="I24" s="306">
        <f t="shared" si="0"/>
        <v>112106.5374</v>
      </c>
      <c r="J24" s="283">
        <v>167933</v>
      </c>
      <c r="K24" s="284">
        <f t="shared" si="1"/>
        <v>134539.53740000003</v>
      </c>
    </row>
    <row r="25" spans="1:11" ht="18" customHeight="1" x14ac:dyDescent="0.3">
      <c r="A25" s="733" t="s">
        <v>79</v>
      </c>
      <c r="B25" s="742" t="s">
        <v>5</v>
      </c>
      <c r="C25" s="742"/>
      <c r="D25" s="742"/>
      <c r="E25" s="742"/>
      <c r="F25" s="282"/>
      <c r="G25" s="282"/>
      <c r="H25" s="283"/>
      <c r="I25" s="306">
        <f t="shared" si="0"/>
        <v>0</v>
      </c>
      <c r="J25" s="283"/>
      <c r="K25" s="284">
        <f t="shared" si="1"/>
        <v>0</v>
      </c>
    </row>
    <row r="26" spans="1:11" ht="18" customHeight="1" x14ac:dyDescent="0.3">
      <c r="A26" s="733" t="s">
        <v>80</v>
      </c>
      <c r="B26" s="742" t="s">
        <v>45</v>
      </c>
      <c r="C26" s="742"/>
      <c r="D26" s="742"/>
      <c r="E26" s="742"/>
      <c r="F26" s="282"/>
      <c r="G26" s="282"/>
      <c r="H26" s="283"/>
      <c r="I26" s="306">
        <f t="shared" si="0"/>
        <v>0</v>
      </c>
      <c r="J26" s="283"/>
      <c r="K26" s="284">
        <f t="shared" si="1"/>
        <v>0</v>
      </c>
    </row>
    <row r="27" spans="1:11" ht="18" customHeight="1" x14ac:dyDescent="0.3">
      <c r="A27" s="733" t="s">
        <v>81</v>
      </c>
      <c r="B27" s="742" t="s">
        <v>46</v>
      </c>
      <c r="C27" s="742"/>
      <c r="D27" s="742"/>
      <c r="E27" s="742"/>
      <c r="F27" s="282"/>
      <c r="G27" s="282"/>
      <c r="H27" s="283"/>
      <c r="I27" s="306">
        <f t="shared" si="0"/>
        <v>0</v>
      </c>
      <c r="J27" s="283"/>
      <c r="K27" s="284">
        <f t="shared" si="1"/>
        <v>0</v>
      </c>
    </row>
    <row r="28" spans="1:11" ht="18" customHeight="1" x14ac:dyDescent="0.3">
      <c r="A28" s="733" t="s">
        <v>82</v>
      </c>
      <c r="B28" s="742" t="s">
        <v>47</v>
      </c>
      <c r="C28" s="742"/>
      <c r="D28" s="742"/>
      <c r="E28" s="742"/>
      <c r="F28" s="282"/>
      <c r="G28" s="282"/>
      <c r="H28" s="283"/>
      <c r="I28" s="306">
        <f t="shared" si="0"/>
        <v>0</v>
      </c>
      <c r="J28" s="283"/>
      <c r="K28" s="284">
        <f t="shared" si="1"/>
        <v>0</v>
      </c>
    </row>
    <row r="29" spans="1:11" ht="18" customHeight="1" x14ac:dyDescent="0.3">
      <c r="A29" s="733" t="s">
        <v>83</v>
      </c>
      <c r="B29" s="742" t="s">
        <v>48</v>
      </c>
      <c r="C29" s="742"/>
      <c r="D29" s="742"/>
      <c r="E29" s="742"/>
      <c r="F29" s="282">
        <v>49970</v>
      </c>
      <c r="G29" s="282">
        <v>3740</v>
      </c>
      <c r="H29" s="282">
        <f>2900769-74799</f>
        <v>2825970</v>
      </c>
      <c r="I29" s="306">
        <f t="shared" si="0"/>
        <v>1664213.733</v>
      </c>
      <c r="J29" s="283">
        <f>1588744-82675</f>
        <v>1506069</v>
      </c>
      <c r="K29" s="284">
        <f t="shared" si="1"/>
        <v>2984114.733</v>
      </c>
    </row>
    <row r="30" spans="1:11" ht="18" customHeight="1" x14ac:dyDescent="0.3">
      <c r="A30" s="733" t="s">
        <v>84</v>
      </c>
      <c r="B30" s="1351"/>
      <c r="C30" s="1352"/>
      <c r="D30" s="1353"/>
      <c r="E30" s="742"/>
      <c r="F30" s="282"/>
      <c r="G30" s="282"/>
      <c r="H30" s="283"/>
      <c r="I30" s="306">
        <f t="shared" si="0"/>
        <v>0</v>
      </c>
      <c r="J30" s="283"/>
      <c r="K30" s="284">
        <f t="shared" si="1"/>
        <v>0</v>
      </c>
    </row>
    <row r="31" spans="1:11" ht="18" customHeight="1" x14ac:dyDescent="0.3">
      <c r="A31" s="733" t="s">
        <v>133</v>
      </c>
      <c r="B31" s="1351"/>
      <c r="C31" s="1352"/>
      <c r="D31" s="1353"/>
      <c r="E31" s="742"/>
      <c r="F31" s="282"/>
      <c r="G31" s="282"/>
      <c r="H31" s="283"/>
      <c r="I31" s="306">
        <f t="shared" si="0"/>
        <v>0</v>
      </c>
      <c r="J31" s="283"/>
      <c r="K31" s="284">
        <f t="shared" si="1"/>
        <v>0</v>
      </c>
    </row>
    <row r="32" spans="1:11" ht="18" customHeight="1" x14ac:dyDescent="0.3">
      <c r="A32" s="733" t="s">
        <v>134</v>
      </c>
      <c r="B32" s="853"/>
      <c r="C32" s="854"/>
      <c r="D32" s="855"/>
      <c r="E32" s="742"/>
      <c r="F32" s="282"/>
      <c r="G32" s="308"/>
      <c r="H32" s="283"/>
      <c r="I32" s="306">
        <f t="shared" si="0"/>
        <v>0</v>
      </c>
      <c r="J32" s="283"/>
      <c r="K32" s="284">
        <f t="shared" si="1"/>
        <v>0</v>
      </c>
    </row>
    <row r="33" spans="1:11" ht="18" customHeight="1" x14ac:dyDescent="0.3">
      <c r="A33" s="733" t="s">
        <v>135</v>
      </c>
      <c r="B33" s="853"/>
      <c r="C33" s="854"/>
      <c r="D33" s="855"/>
      <c r="E33" s="742"/>
      <c r="F33" s="282"/>
      <c r="G33" s="308"/>
      <c r="H33" s="283"/>
      <c r="I33" s="306">
        <f t="shared" si="0"/>
        <v>0</v>
      </c>
      <c r="J33" s="283"/>
      <c r="K33" s="284">
        <f t="shared" si="1"/>
        <v>0</v>
      </c>
    </row>
    <row r="34" spans="1:11" ht="18" customHeight="1" x14ac:dyDescent="0.3">
      <c r="A34" s="733" t="s">
        <v>136</v>
      </c>
      <c r="B34" s="1351"/>
      <c r="C34" s="1352"/>
      <c r="D34" s="1353"/>
      <c r="E34" s="742"/>
      <c r="F34" s="282"/>
      <c r="G34" s="308"/>
      <c r="H34" s="283"/>
      <c r="I34" s="306">
        <f t="shared" si="0"/>
        <v>0</v>
      </c>
      <c r="J34" s="283"/>
      <c r="K34" s="284">
        <f t="shared" si="1"/>
        <v>0</v>
      </c>
    </row>
    <row r="35" spans="1:11" ht="18" customHeight="1" x14ac:dyDescent="0.25">
      <c r="A35" s="742"/>
      <c r="B35" s="742"/>
      <c r="C35" s="742"/>
      <c r="D35" s="742"/>
      <c r="E35" s="742"/>
      <c r="F35" s="742"/>
      <c r="G35" s="742"/>
      <c r="H35" s="742"/>
      <c r="I35" s="742"/>
      <c r="J35" s="742"/>
      <c r="K35" s="315"/>
    </row>
    <row r="36" spans="1:11" ht="18" customHeight="1" x14ac:dyDescent="0.3">
      <c r="A36" s="639" t="s">
        <v>137</v>
      </c>
      <c r="B36" s="636" t="s">
        <v>138</v>
      </c>
      <c r="C36" s="742"/>
      <c r="D36" s="742"/>
      <c r="E36" s="636" t="s">
        <v>7</v>
      </c>
      <c r="F36" s="286">
        <f t="shared" ref="F36:K36" si="2">SUM(F21:F34)</f>
        <v>56500</v>
      </c>
      <c r="G36" s="286">
        <f t="shared" si="2"/>
        <v>8616</v>
      </c>
      <c r="H36" s="286">
        <f t="shared" si="2"/>
        <v>3087827</v>
      </c>
      <c r="I36" s="284">
        <f t="shared" si="2"/>
        <v>1818421.3203</v>
      </c>
      <c r="J36" s="284">
        <f t="shared" si="2"/>
        <v>1685832</v>
      </c>
      <c r="K36" s="284">
        <f t="shared" si="2"/>
        <v>3220416.3202999998</v>
      </c>
    </row>
    <row r="37" spans="1:11" ht="18" customHeight="1" thickBot="1" x14ac:dyDescent="0.35">
      <c r="A37" s="742"/>
      <c r="B37" s="636"/>
      <c r="C37" s="742"/>
      <c r="D37" s="742"/>
      <c r="E37" s="742"/>
      <c r="F37" s="287"/>
      <c r="G37" s="287"/>
      <c r="H37" s="288"/>
      <c r="I37" s="288"/>
      <c r="J37" s="288"/>
      <c r="K37" s="303"/>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282">
        <v>343464</v>
      </c>
      <c r="G40" s="282"/>
      <c r="H40" s="283">
        <v>13325326</v>
      </c>
      <c r="I40" s="306">
        <f t="shared" ref="I40:I47" si="3">H40*F$114</f>
        <v>7847284.4813999999</v>
      </c>
      <c r="J40" s="283"/>
      <c r="K40" s="284">
        <f t="shared" ref="K40:K47" si="4">(H40+I40)-J40</f>
        <v>21172610.481399998</v>
      </c>
    </row>
    <row r="41" spans="1:11" ht="18" customHeight="1" x14ac:dyDescent="0.3">
      <c r="A41" s="733" t="s">
        <v>88</v>
      </c>
      <c r="B41" s="1359" t="s">
        <v>50</v>
      </c>
      <c r="C41" s="1359"/>
      <c r="D41" s="742"/>
      <c r="E41" s="742"/>
      <c r="F41" s="282">
        <v>6557</v>
      </c>
      <c r="G41" s="282"/>
      <c r="H41" s="283">
        <v>334934</v>
      </c>
      <c r="I41" s="306">
        <f t="shared" si="3"/>
        <v>197242.63259999998</v>
      </c>
      <c r="J41" s="283"/>
      <c r="K41" s="284">
        <f t="shared" si="4"/>
        <v>532176.63260000001</v>
      </c>
    </row>
    <row r="42" spans="1:11" ht="18" customHeight="1" x14ac:dyDescent="0.3">
      <c r="A42" s="733" t="s">
        <v>89</v>
      </c>
      <c r="B42" s="635" t="s">
        <v>11</v>
      </c>
      <c r="C42" s="742"/>
      <c r="D42" s="742"/>
      <c r="E42" s="742"/>
      <c r="F42" s="282">
        <v>18566</v>
      </c>
      <c r="G42" s="282">
        <v>912</v>
      </c>
      <c r="H42" s="283">
        <v>872150</v>
      </c>
      <c r="I42" s="306">
        <f t="shared" si="3"/>
        <v>513609.13500000001</v>
      </c>
      <c r="J42" s="283">
        <v>102000</v>
      </c>
      <c r="K42" s="284">
        <f t="shared" si="4"/>
        <v>1283759.135</v>
      </c>
    </row>
    <row r="43" spans="1:11" ht="18" customHeight="1" x14ac:dyDescent="0.3">
      <c r="A43" s="733" t="s">
        <v>90</v>
      </c>
      <c r="B43" s="670" t="s">
        <v>10</v>
      </c>
      <c r="C43" s="642"/>
      <c r="D43" s="642"/>
      <c r="E43" s="742"/>
      <c r="F43" s="282"/>
      <c r="G43" s="282"/>
      <c r="H43" s="283"/>
      <c r="I43" s="306">
        <f t="shared" si="3"/>
        <v>0</v>
      </c>
      <c r="J43" s="283"/>
      <c r="K43" s="284">
        <f t="shared" si="4"/>
        <v>0</v>
      </c>
    </row>
    <row r="44" spans="1:11" ht="18" customHeight="1" x14ac:dyDescent="0.3">
      <c r="A44" s="733" t="s">
        <v>91</v>
      </c>
      <c r="B44" s="1351"/>
      <c r="C44" s="1352"/>
      <c r="D44" s="1353"/>
      <c r="E44" s="742"/>
      <c r="F44" s="324"/>
      <c r="G44" s="324"/>
      <c r="H44" s="324"/>
      <c r="I44" s="325">
        <f t="shared" si="3"/>
        <v>0</v>
      </c>
      <c r="J44" s="324"/>
      <c r="K44" s="326">
        <f t="shared" si="4"/>
        <v>0</v>
      </c>
    </row>
    <row r="45" spans="1:11" ht="18" customHeight="1" x14ac:dyDescent="0.3">
      <c r="A45" s="733" t="s">
        <v>139</v>
      </c>
      <c r="B45" s="1351"/>
      <c r="C45" s="1352"/>
      <c r="D45" s="1353"/>
      <c r="E45" s="742"/>
      <c r="F45" s="282"/>
      <c r="G45" s="282"/>
      <c r="H45" s="283"/>
      <c r="I45" s="306">
        <f t="shared" si="3"/>
        <v>0</v>
      </c>
      <c r="J45" s="283"/>
      <c r="K45" s="284">
        <f t="shared" si="4"/>
        <v>0</v>
      </c>
    </row>
    <row r="46" spans="1:11" ht="18" customHeight="1" x14ac:dyDescent="0.3">
      <c r="A46" s="733" t="s">
        <v>140</v>
      </c>
      <c r="B46" s="1351"/>
      <c r="C46" s="1352"/>
      <c r="D46" s="1353"/>
      <c r="E46" s="742"/>
      <c r="F46" s="282"/>
      <c r="G46" s="282"/>
      <c r="H46" s="283"/>
      <c r="I46" s="306">
        <f t="shared" si="3"/>
        <v>0</v>
      </c>
      <c r="J46" s="283"/>
      <c r="K46" s="284">
        <f t="shared" si="4"/>
        <v>0</v>
      </c>
    </row>
    <row r="47" spans="1:11" ht="18" customHeight="1" x14ac:dyDescent="0.3">
      <c r="A47" s="733" t="s">
        <v>141</v>
      </c>
      <c r="B47" s="1351"/>
      <c r="C47" s="1352"/>
      <c r="D47" s="1353"/>
      <c r="E47" s="742"/>
      <c r="F47" s="282"/>
      <c r="G47" s="282"/>
      <c r="H47" s="283"/>
      <c r="I47" s="306">
        <f t="shared" si="3"/>
        <v>0</v>
      </c>
      <c r="J47" s="283"/>
      <c r="K47" s="284">
        <f t="shared" si="4"/>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290">
        <f t="shared" ref="F49:K49" si="5">SUM(F40:F47)</f>
        <v>368587</v>
      </c>
      <c r="G49" s="290">
        <f t="shared" si="5"/>
        <v>912</v>
      </c>
      <c r="H49" s="284">
        <f t="shared" si="5"/>
        <v>14532410</v>
      </c>
      <c r="I49" s="284">
        <f t="shared" si="5"/>
        <v>8558136.2489999998</v>
      </c>
      <c r="J49" s="284">
        <f t="shared" si="5"/>
        <v>102000</v>
      </c>
      <c r="K49" s="284">
        <f t="shared" si="5"/>
        <v>22988546.248999998</v>
      </c>
    </row>
    <row r="50" spans="1:11" ht="18" customHeight="1" thickBot="1" x14ac:dyDescent="0.3">
      <c r="A50" s="742"/>
      <c r="B50" s="742"/>
      <c r="C50" s="742"/>
      <c r="D50" s="742"/>
      <c r="E50" s="742"/>
      <c r="F50" s="742"/>
      <c r="G50" s="291"/>
      <c r="H50" s="291"/>
      <c r="I50" s="291"/>
      <c r="J50" s="291"/>
      <c r="K50" s="291"/>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640</v>
      </c>
      <c r="C53" s="1355"/>
      <c r="D53" s="1356"/>
      <c r="E53" s="742"/>
      <c r="F53" s="282"/>
      <c r="G53" s="282"/>
      <c r="H53" s="283">
        <v>4347313</v>
      </c>
      <c r="I53" s="306">
        <f t="shared" ref="I53:I62" si="6">H53*F$114</f>
        <v>2560132.6256999997</v>
      </c>
      <c r="J53" s="283"/>
      <c r="K53" s="284">
        <f t="shared" ref="K53:K62" si="7">(H53+I53)-J53</f>
        <v>6907445.6256999997</v>
      </c>
    </row>
    <row r="54" spans="1:11" ht="18" customHeight="1" x14ac:dyDescent="0.3">
      <c r="A54" s="733" t="s">
        <v>93</v>
      </c>
      <c r="B54" s="856" t="s">
        <v>737</v>
      </c>
      <c r="C54" s="857"/>
      <c r="D54" s="858"/>
      <c r="E54" s="742"/>
      <c r="F54" s="282"/>
      <c r="G54" s="282"/>
      <c r="H54" s="283">
        <v>304926</v>
      </c>
      <c r="I54" s="306">
        <f t="shared" si="6"/>
        <v>179570.92139999999</v>
      </c>
      <c r="J54" s="283"/>
      <c r="K54" s="284">
        <f t="shared" si="7"/>
        <v>484496.92139999999</v>
      </c>
    </row>
    <row r="55" spans="1:11" ht="18" customHeight="1" x14ac:dyDescent="0.3">
      <c r="A55" s="733" t="s">
        <v>94</v>
      </c>
      <c r="B55" s="1354" t="s">
        <v>400</v>
      </c>
      <c r="C55" s="1355"/>
      <c r="D55" s="1356"/>
      <c r="E55" s="742"/>
      <c r="F55" s="282"/>
      <c r="G55" s="282"/>
      <c r="H55" s="283">
        <v>284974</v>
      </c>
      <c r="I55" s="306">
        <f t="shared" si="6"/>
        <v>167821.18859999999</v>
      </c>
      <c r="J55" s="283"/>
      <c r="K55" s="284">
        <f t="shared" si="7"/>
        <v>452795.18859999999</v>
      </c>
    </row>
    <row r="56" spans="1:11" ht="18" customHeight="1" x14ac:dyDescent="0.3">
      <c r="A56" s="733" t="s">
        <v>95</v>
      </c>
      <c r="B56" s="1354" t="s">
        <v>738</v>
      </c>
      <c r="C56" s="1355"/>
      <c r="D56" s="1356"/>
      <c r="E56" s="742"/>
      <c r="F56" s="282"/>
      <c r="G56" s="282"/>
      <c r="H56" s="283">
        <v>686631</v>
      </c>
      <c r="I56" s="306">
        <f t="shared" si="6"/>
        <v>404356.99589999998</v>
      </c>
      <c r="J56" s="283"/>
      <c r="K56" s="284">
        <f t="shared" si="7"/>
        <v>1090987.9959</v>
      </c>
    </row>
    <row r="57" spans="1:11" ht="18" customHeight="1" x14ac:dyDescent="0.3">
      <c r="A57" s="733" t="s">
        <v>96</v>
      </c>
      <c r="B57" s="1354" t="s">
        <v>739</v>
      </c>
      <c r="C57" s="1355"/>
      <c r="D57" s="1356"/>
      <c r="E57" s="742"/>
      <c r="F57" s="282"/>
      <c r="G57" s="282"/>
      <c r="H57" s="283">
        <v>1180074</v>
      </c>
      <c r="I57" s="306">
        <f t="shared" si="6"/>
        <v>694945.57860000001</v>
      </c>
      <c r="J57" s="283"/>
      <c r="K57" s="284">
        <f t="shared" si="7"/>
        <v>1875019.5786000001</v>
      </c>
    </row>
    <row r="58" spans="1:11" ht="18" customHeight="1" x14ac:dyDescent="0.3">
      <c r="A58" s="733" t="s">
        <v>97</v>
      </c>
      <c r="B58" s="856" t="s">
        <v>387</v>
      </c>
      <c r="C58" s="857"/>
      <c r="D58" s="858"/>
      <c r="E58" s="742"/>
      <c r="F58" s="282">
        <v>15017</v>
      </c>
      <c r="G58" s="282">
        <v>1616</v>
      </c>
      <c r="H58" s="283">
        <v>5187457</v>
      </c>
      <c r="I58" s="306">
        <f t="shared" si="6"/>
        <v>3054893.4273000001</v>
      </c>
      <c r="J58" s="283">
        <v>526103</v>
      </c>
      <c r="K58" s="284">
        <f t="shared" si="7"/>
        <v>7716247.4273000006</v>
      </c>
    </row>
    <row r="59" spans="1:11" ht="18" customHeight="1" x14ac:dyDescent="0.3">
      <c r="A59" s="733" t="s">
        <v>98</v>
      </c>
      <c r="B59" s="1354"/>
      <c r="C59" s="1355"/>
      <c r="D59" s="1356"/>
      <c r="E59" s="742"/>
      <c r="F59" s="282"/>
      <c r="G59" s="282"/>
      <c r="H59" s="283"/>
      <c r="I59" s="306">
        <f t="shared" si="6"/>
        <v>0</v>
      </c>
      <c r="J59" s="283"/>
      <c r="K59" s="284">
        <f t="shared" si="7"/>
        <v>0</v>
      </c>
    </row>
    <row r="60" spans="1:11" ht="18" customHeight="1" x14ac:dyDescent="0.3">
      <c r="A60" s="733" t="s">
        <v>99</v>
      </c>
      <c r="B60" s="856"/>
      <c r="C60" s="857"/>
      <c r="D60" s="858"/>
      <c r="E60" s="742"/>
      <c r="F60" s="282"/>
      <c r="G60" s="282"/>
      <c r="H60" s="283"/>
      <c r="I60" s="306">
        <f t="shared" si="6"/>
        <v>0</v>
      </c>
      <c r="J60" s="283"/>
      <c r="K60" s="284">
        <f t="shared" si="7"/>
        <v>0</v>
      </c>
    </row>
    <row r="61" spans="1:11" ht="18" customHeight="1" x14ac:dyDescent="0.3">
      <c r="A61" s="733" t="s">
        <v>100</v>
      </c>
      <c r="B61" s="856"/>
      <c r="C61" s="857"/>
      <c r="D61" s="858"/>
      <c r="E61" s="742"/>
      <c r="F61" s="282"/>
      <c r="G61" s="282"/>
      <c r="H61" s="283"/>
      <c r="I61" s="306">
        <f t="shared" si="6"/>
        <v>0</v>
      </c>
      <c r="J61" s="283"/>
      <c r="K61" s="284">
        <f t="shared" si="7"/>
        <v>0</v>
      </c>
    </row>
    <row r="62" spans="1:11" ht="18" customHeight="1" x14ac:dyDescent="0.3">
      <c r="A62" s="733" t="s">
        <v>101</v>
      </c>
      <c r="B62" s="1354"/>
      <c r="C62" s="1355"/>
      <c r="D62" s="1356"/>
      <c r="E62" s="742"/>
      <c r="F62" s="282"/>
      <c r="G62" s="282"/>
      <c r="H62" s="283"/>
      <c r="I62" s="306">
        <f t="shared" si="6"/>
        <v>0</v>
      </c>
      <c r="J62" s="283"/>
      <c r="K62" s="284">
        <f t="shared" si="7"/>
        <v>0</v>
      </c>
    </row>
    <row r="63" spans="1:11" ht="18" customHeight="1" x14ac:dyDescent="0.3">
      <c r="A63" s="733"/>
      <c r="B63" s="742"/>
      <c r="C63" s="742"/>
      <c r="D63" s="742"/>
      <c r="E63" s="742"/>
      <c r="F63" s="742"/>
      <c r="G63" s="742"/>
      <c r="H63" s="742"/>
      <c r="I63" s="276"/>
      <c r="J63" s="742"/>
      <c r="K63" s="742"/>
    </row>
    <row r="64" spans="1:11" ht="18" customHeight="1" x14ac:dyDescent="0.3">
      <c r="A64" s="733" t="s">
        <v>144</v>
      </c>
      <c r="B64" s="636" t="s">
        <v>145</v>
      </c>
      <c r="C64" s="742"/>
      <c r="D64" s="742"/>
      <c r="E64" s="636" t="s">
        <v>7</v>
      </c>
      <c r="F64" s="286">
        <f t="shared" ref="F64:K64" si="8">SUM(F53:F62)</f>
        <v>15017</v>
      </c>
      <c r="G64" s="286">
        <f t="shared" si="8"/>
        <v>1616</v>
      </c>
      <c r="H64" s="284">
        <f t="shared" si="8"/>
        <v>11991375</v>
      </c>
      <c r="I64" s="284">
        <f t="shared" si="8"/>
        <v>7061720.7374999998</v>
      </c>
      <c r="J64" s="284">
        <f t="shared" si="8"/>
        <v>526103</v>
      </c>
      <c r="K64" s="284">
        <f t="shared" si="8"/>
        <v>18526992.737500001</v>
      </c>
    </row>
    <row r="65" spans="1:11" ht="18" customHeight="1" x14ac:dyDescent="0.25">
      <c r="A65" s="742"/>
      <c r="B65" s="742"/>
      <c r="C65" s="742"/>
      <c r="D65" s="742"/>
      <c r="E65" s="742"/>
      <c r="F65" s="304"/>
      <c r="G65" s="304"/>
      <c r="H65" s="304"/>
      <c r="I65" s="304"/>
      <c r="J65" s="304"/>
      <c r="K65" s="304"/>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307">
        <v>1565</v>
      </c>
      <c r="G68" s="307"/>
      <c r="H68" s="307">
        <v>419420</v>
      </c>
      <c r="I68" s="306">
        <f t="shared" ref="I68" si="9">H68*F$114</f>
        <v>246996.43799999999</v>
      </c>
      <c r="J68" s="307">
        <v>331105</v>
      </c>
      <c r="K68" s="284">
        <f>(H68+I68)-J68</f>
        <v>335311.43799999997</v>
      </c>
    </row>
    <row r="69" spans="1:11" ht="18" customHeight="1" x14ac:dyDescent="0.3">
      <c r="A69" s="733" t="s">
        <v>104</v>
      </c>
      <c r="B69" s="635" t="s">
        <v>53</v>
      </c>
      <c r="C69" s="742"/>
      <c r="D69" s="742"/>
      <c r="E69" s="742"/>
      <c r="F69" s="307"/>
      <c r="G69" s="307"/>
      <c r="H69" s="307"/>
      <c r="I69" s="306">
        <v>0</v>
      </c>
      <c r="J69" s="307"/>
      <c r="K69" s="284">
        <f>(H69+I69)-J69</f>
        <v>0</v>
      </c>
    </row>
    <row r="70" spans="1:11" ht="18" customHeight="1" x14ac:dyDescent="0.3">
      <c r="A70" s="733" t="s">
        <v>178</v>
      </c>
      <c r="B70" s="856"/>
      <c r="C70" s="857"/>
      <c r="D70" s="858"/>
      <c r="E70" s="636"/>
      <c r="F70" s="294"/>
      <c r="G70" s="294"/>
      <c r="H70" s="295"/>
      <c r="I70" s="306">
        <v>0</v>
      </c>
      <c r="J70" s="295"/>
      <c r="K70" s="284">
        <f>(H70+I70)-J70</f>
        <v>0</v>
      </c>
    </row>
    <row r="71" spans="1:11" ht="18" customHeight="1" x14ac:dyDescent="0.3">
      <c r="A71" s="733" t="s">
        <v>179</v>
      </c>
      <c r="B71" s="856"/>
      <c r="C71" s="857"/>
      <c r="D71" s="858"/>
      <c r="E71" s="636"/>
      <c r="F71" s="294"/>
      <c r="G71" s="294"/>
      <c r="H71" s="295"/>
      <c r="I71" s="306">
        <v>0</v>
      </c>
      <c r="J71" s="295"/>
      <c r="K71" s="284">
        <f>(H71+I71)-J71</f>
        <v>0</v>
      </c>
    </row>
    <row r="72" spans="1:11" ht="18" customHeight="1" x14ac:dyDescent="0.3">
      <c r="A72" s="733" t="s">
        <v>180</v>
      </c>
      <c r="B72" s="859"/>
      <c r="C72" s="860"/>
      <c r="D72" s="293"/>
      <c r="E72" s="636"/>
      <c r="F72" s="282"/>
      <c r="G72" s="282"/>
      <c r="H72" s="283"/>
      <c r="I72" s="306">
        <v>0</v>
      </c>
      <c r="J72" s="283"/>
      <c r="K72" s="284">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289">
        <f t="shared" ref="F74:K74" si="10">SUM(F68:F72)</f>
        <v>1565</v>
      </c>
      <c r="G74" s="289">
        <f t="shared" si="10"/>
        <v>0</v>
      </c>
      <c r="H74" s="289">
        <f t="shared" si="10"/>
        <v>419420</v>
      </c>
      <c r="I74" s="309">
        <f t="shared" si="10"/>
        <v>246996.43799999999</v>
      </c>
      <c r="J74" s="289">
        <f t="shared" si="10"/>
        <v>331105</v>
      </c>
      <c r="K74" s="285">
        <f t="shared" si="10"/>
        <v>335311.43799999997</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282"/>
      <c r="G77" s="282"/>
      <c r="H77" s="283">
        <v>312576</v>
      </c>
      <c r="I77" s="306">
        <v>0</v>
      </c>
      <c r="J77" s="283"/>
      <c r="K77" s="284">
        <f>(H77+I77)-J77</f>
        <v>312576</v>
      </c>
    </row>
    <row r="78" spans="1:11" ht="18" customHeight="1" x14ac:dyDescent="0.3">
      <c r="A78" s="733" t="s">
        <v>108</v>
      </c>
      <c r="B78" s="635" t="s">
        <v>55</v>
      </c>
      <c r="C78" s="742"/>
      <c r="D78" s="742"/>
      <c r="E78" s="742"/>
      <c r="F78" s="282"/>
      <c r="G78" s="282"/>
      <c r="H78" s="283">
        <v>403828</v>
      </c>
      <c r="I78" s="306">
        <v>0</v>
      </c>
      <c r="J78" s="283"/>
      <c r="K78" s="284">
        <f>(H78+I78)-J78</f>
        <v>403828</v>
      </c>
    </row>
    <row r="79" spans="1:11" ht="18" customHeight="1" x14ac:dyDescent="0.3">
      <c r="A79" s="733" t="s">
        <v>109</v>
      </c>
      <c r="B79" s="635" t="s">
        <v>13</v>
      </c>
      <c r="C79" s="742"/>
      <c r="D79" s="742"/>
      <c r="E79" s="742"/>
      <c r="F79" s="282"/>
      <c r="G79" s="282"/>
      <c r="H79" s="283"/>
      <c r="I79" s="306">
        <v>0</v>
      </c>
      <c r="J79" s="283"/>
      <c r="K79" s="284">
        <f>(H79+I79)-J79</f>
        <v>0</v>
      </c>
    </row>
    <row r="80" spans="1:11" ht="18" customHeight="1" x14ac:dyDescent="0.3">
      <c r="A80" s="733" t="s">
        <v>110</v>
      </c>
      <c r="B80" s="635" t="s">
        <v>56</v>
      </c>
      <c r="C80" s="742"/>
      <c r="D80" s="742"/>
      <c r="E80" s="742"/>
      <c r="F80" s="282"/>
      <c r="G80" s="282"/>
      <c r="H80" s="283"/>
      <c r="I80" s="306">
        <v>0</v>
      </c>
      <c r="J80" s="283"/>
      <c r="K80" s="284">
        <f>(H80+I80)-J80</f>
        <v>0</v>
      </c>
    </row>
    <row r="81" spans="1:11" ht="18" customHeight="1" x14ac:dyDescent="0.3">
      <c r="A81" s="733"/>
      <c r="B81" s="742"/>
      <c r="C81" s="742"/>
      <c r="D81" s="742"/>
      <c r="E81" s="742"/>
      <c r="F81" s="742"/>
      <c r="G81" s="742"/>
      <c r="H81" s="742"/>
      <c r="I81" s="742"/>
      <c r="J81" s="742"/>
      <c r="K81" s="299"/>
    </row>
    <row r="82" spans="1:11" ht="18" customHeight="1" x14ac:dyDescent="0.3">
      <c r="A82" s="733" t="s">
        <v>148</v>
      </c>
      <c r="B82" s="636" t="s">
        <v>149</v>
      </c>
      <c r="C82" s="742"/>
      <c r="D82" s="742"/>
      <c r="E82" s="636" t="s">
        <v>7</v>
      </c>
      <c r="F82" s="289">
        <f t="shared" ref="F82:K82" si="11">SUM(F77:F80)</f>
        <v>0</v>
      </c>
      <c r="G82" s="289">
        <f t="shared" si="11"/>
        <v>0</v>
      </c>
      <c r="H82" s="285">
        <f t="shared" si="11"/>
        <v>716404</v>
      </c>
      <c r="I82" s="285">
        <f t="shared" si="11"/>
        <v>0</v>
      </c>
      <c r="J82" s="285">
        <f t="shared" si="11"/>
        <v>0</v>
      </c>
      <c r="K82" s="285">
        <f t="shared" si="11"/>
        <v>716404</v>
      </c>
    </row>
    <row r="83" spans="1:11" ht="18" customHeight="1" thickBot="1" x14ac:dyDescent="0.35">
      <c r="A83" s="733"/>
      <c r="B83" s="742"/>
      <c r="C83" s="742"/>
      <c r="D83" s="742"/>
      <c r="E83" s="742"/>
      <c r="F83" s="291"/>
      <c r="G83" s="291"/>
      <c r="H83" s="291"/>
      <c r="I83" s="291"/>
      <c r="J83" s="291"/>
      <c r="K83" s="291"/>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282">
        <v>1068</v>
      </c>
      <c r="G86" s="282"/>
      <c r="H86" s="283">
        <v>74799</v>
      </c>
      <c r="I86" s="306">
        <f t="shared" ref="I86:I96" si="12">H86*F$114</f>
        <v>44049.131099999999</v>
      </c>
      <c r="J86" s="283">
        <v>82675</v>
      </c>
      <c r="K86" s="284">
        <f t="shared" ref="K86:K96" si="13">(H86+I86)-J86</f>
        <v>36173.131099999999</v>
      </c>
    </row>
    <row r="87" spans="1:11" ht="18" customHeight="1" x14ac:dyDescent="0.3">
      <c r="A87" s="733" t="s">
        <v>114</v>
      </c>
      <c r="B87" s="635" t="s">
        <v>14</v>
      </c>
      <c r="C87" s="742"/>
      <c r="D87" s="742"/>
      <c r="E87" s="742"/>
      <c r="F87" s="282"/>
      <c r="G87" s="282"/>
      <c r="H87" s="283"/>
      <c r="I87" s="306">
        <f t="shared" si="12"/>
        <v>0</v>
      </c>
      <c r="J87" s="283"/>
      <c r="K87" s="284">
        <f t="shared" si="13"/>
        <v>0</v>
      </c>
    </row>
    <row r="88" spans="1:11" ht="18" customHeight="1" x14ac:dyDescent="0.3">
      <c r="A88" s="733" t="s">
        <v>115</v>
      </c>
      <c r="B88" s="635" t="s">
        <v>116</v>
      </c>
      <c r="C88" s="742"/>
      <c r="D88" s="742"/>
      <c r="E88" s="742"/>
      <c r="F88" s="282"/>
      <c r="G88" s="282"/>
      <c r="H88" s="283">
        <v>21577</v>
      </c>
      <c r="I88" s="306">
        <f t="shared" si="12"/>
        <v>12706.695299999999</v>
      </c>
      <c r="J88" s="283">
        <v>41333</v>
      </c>
      <c r="K88" s="284">
        <f t="shared" si="13"/>
        <v>-7049.3047000000006</v>
      </c>
    </row>
    <row r="89" spans="1:11" ht="18" customHeight="1" x14ac:dyDescent="0.3">
      <c r="A89" s="733" t="s">
        <v>117</v>
      </c>
      <c r="B89" s="635" t="s">
        <v>58</v>
      </c>
      <c r="C89" s="742"/>
      <c r="D89" s="742"/>
      <c r="E89" s="742"/>
      <c r="F89" s="282"/>
      <c r="G89" s="282"/>
      <c r="H89" s="283"/>
      <c r="I89" s="306">
        <f t="shared" si="12"/>
        <v>0</v>
      </c>
      <c r="J89" s="283"/>
      <c r="K89" s="284">
        <f t="shared" si="13"/>
        <v>0</v>
      </c>
    </row>
    <row r="90" spans="1:11" ht="18" customHeight="1" x14ac:dyDescent="0.3">
      <c r="A90" s="733" t="s">
        <v>118</v>
      </c>
      <c r="B90" s="1359" t="s">
        <v>59</v>
      </c>
      <c r="C90" s="1359"/>
      <c r="D90" s="742"/>
      <c r="E90" s="742"/>
      <c r="F90" s="282"/>
      <c r="G90" s="282"/>
      <c r="H90" s="283"/>
      <c r="I90" s="306">
        <f t="shared" si="12"/>
        <v>0</v>
      </c>
      <c r="J90" s="283"/>
      <c r="K90" s="284">
        <f t="shared" si="13"/>
        <v>0</v>
      </c>
    </row>
    <row r="91" spans="1:11" ht="18" customHeight="1" x14ac:dyDescent="0.3">
      <c r="A91" s="733" t="s">
        <v>119</v>
      </c>
      <c r="B91" s="635" t="s">
        <v>60</v>
      </c>
      <c r="C91" s="742"/>
      <c r="D91" s="742"/>
      <c r="E91" s="742"/>
      <c r="F91" s="282">
        <v>2735</v>
      </c>
      <c r="G91" s="282">
        <v>28</v>
      </c>
      <c r="H91" s="283">
        <v>225153</v>
      </c>
      <c r="I91" s="306">
        <f t="shared" si="12"/>
        <v>132592.6017</v>
      </c>
      <c r="J91" s="283">
        <v>213939</v>
      </c>
      <c r="K91" s="284">
        <f t="shared" si="13"/>
        <v>143806.6017</v>
      </c>
    </row>
    <row r="92" spans="1:11" ht="18" customHeight="1" x14ac:dyDescent="0.3">
      <c r="A92" s="733" t="s">
        <v>120</v>
      </c>
      <c r="B92" s="635" t="s">
        <v>121</v>
      </c>
      <c r="C92" s="742"/>
      <c r="D92" s="742"/>
      <c r="E92" s="742"/>
      <c r="F92" s="297"/>
      <c r="G92" s="297"/>
      <c r="H92" s="298"/>
      <c r="I92" s="306">
        <f t="shared" si="12"/>
        <v>0</v>
      </c>
      <c r="J92" s="298"/>
      <c r="K92" s="284">
        <f t="shared" si="13"/>
        <v>0</v>
      </c>
    </row>
    <row r="93" spans="1:11" ht="18" customHeight="1" x14ac:dyDescent="0.3">
      <c r="A93" s="733" t="s">
        <v>122</v>
      </c>
      <c r="B93" s="635" t="s">
        <v>123</v>
      </c>
      <c r="C93" s="742"/>
      <c r="D93" s="742"/>
      <c r="E93" s="742"/>
      <c r="F93" s="297">
        <v>5449</v>
      </c>
      <c r="G93" s="282"/>
      <c r="H93" s="298">
        <v>353853</v>
      </c>
      <c r="I93" s="306">
        <f t="shared" si="12"/>
        <v>208384.03169999999</v>
      </c>
      <c r="J93" s="298">
        <v>230957</v>
      </c>
      <c r="K93" s="284">
        <f t="shared" si="13"/>
        <v>331280.03169999993</v>
      </c>
    </row>
    <row r="94" spans="1:11" ht="18" customHeight="1" x14ac:dyDescent="0.3">
      <c r="A94" s="733" t="s">
        <v>124</v>
      </c>
      <c r="B94" s="1354"/>
      <c r="C94" s="1355"/>
      <c r="D94" s="1356"/>
      <c r="E94" s="742"/>
      <c r="F94" s="282"/>
      <c r="G94" s="282"/>
      <c r="H94" s="283"/>
      <c r="I94" s="306">
        <f t="shared" si="12"/>
        <v>0</v>
      </c>
      <c r="J94" s="283"/>
      <c r="K94" s="284">
        <f t="shared" si="13"/>
        <v>0</v>
      </c>
    </row>
    <row r="95" spans="1:11" ht="18" customHeight="1" x14ac:dyDescent="0.3">
      <c r="A95" s="733" t="s">
        <v>125</v>
      </c>
      <c r="B95" s="1354"/>
      <c r="C95" s="1355"/>
      <c r="D95" s="1356"/>
      <c r="E95" s="742"/>
      <c r="F95" s="282"/>
      <c r="G95" s="282"/>
      <c r="H95" s="283"/>
      <c r="I95" s="306">
        <f t="shared" si="12"/>
        <v>0</v>
      </c>
      <c r="J95" s="283"/>
      <c r="K95" s="284">
        <f t="shared" si="13"/>
        <v>0</v>
      </c>
    </row>
    <row r="96" spans="1:11" ht="18" customHeight="1" x14ac:dyDescent="0.3">
      <c r="A96" s="733" t="s">
        <v>126</v>
      </c>
      <c r="B96" s="1354"/>
      <c r="C96" s="1355"/>
      <c r="D96" s="1356"/>
      <c r="E96" s="742"/>
      <c r="F96" s="282"/>
      <c r="G96" s="282"/>
      <c r="H96" s="283"/>
      <c r="I96" s="306">
        <f t="shared" si="12"/>
        <v>0</v>
      </c>
      <c r="J96" s="283"/>
      <c r="K96" s="284">
        <f t="shared" si="13"/>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286">
        <f t="shared" ref="F98:K98" si="14">SUM(F86:F96)</f>
        <v>9252</v>
      </c>
      <c r="G98" s="286">
        <f t="shared" si="14"/>
        <v>28</v>
      </c>
      <c r="H98" s="286">
        <f t="shared" si="14"/>
        <v>675382</v>
      </c>
      <c r="I98" s="286">
        <f t="shared" si="14"/>
        <v>397732.45979999995</v>
      </c>
      <c r="J98" s="286">
        <f t="shared" si="14"/>
        <v>568904</v>
      </c>
      <c r="K98" s="286">
        <f t="shared" si="14"/>
        <v>504210.45979999995</v>
      </c>
    </row>
    <row r="99" spans="1:11" ht="18" customHeight="1" thickBot="1" x14ac:dyDescent="0.35">
      <c r="A99" s="742"/>
      <c r="B99" s="636"/>
      <c r="C99" s="742"/>
      <c r="D99" s="742"/>
      <c r="E99" s="742"/>
      <c r="F99" s="291"/>
      <c r="G99" s="291"/>
      <c r="H99" s="291"/>
      <c r="I99" s="291"/>
      <c r="J99" s="291"/>
      <c r="K99" s="291"/>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282">
        <v>6720</v>
      </c>
      <c r="G102" s="282"/>
      <c r="H102" s="283">
        <v>284009</v>
      </c>
      <c r="I102" s="306">
        <f>H102*F$114</f>
        <v>167252.9001</v>
      </c>
      <c r="J102" s="283"/>
      <c r="K102" s="284">
        <f>(H102+I102)-J102</f>
        <v>451261.90009999997</v>
      </c>
    </row>
    <row r="103" spans="1:11" ht="18" customHeight="1" x14ac:dyDescent="0.3">
      <c r="A103" s="733" t="s">
        <v>132</v>
      </c>
      <c r="B103" s="1357" t="s">
        <v>62</v>
      </c>
      <c r="C103" s="1357"/>
      <c r="D103" s="742"/>
      <c r="E103" s="742"/>
      <c r="F103" s="282"/>
      <c r="G103" s="282"/>
      <c r="H103" s="283"/>
      <c r="I103" s="306">
        <f>H103*F$114</f>
        <v>0</v>
      </c>
      <c r="J103" s="283"/>
      <c r="K103" s="284">
        <f>(H103+I103)-J103</f>
        <v>0</v>
      </c>
    </row>
    <row r="104" spans="1:11" ht="18" customHeight="1" x14ac:dyDescent="0.3">
      <c r="A104" s="733" t="s">
        <v>128</v>
      </c>
      <c r="B104" s="1354" t="s">
        <v>447</v>
      </c>
      <c r="C104" s="1355"/>
      <c r="D104" s="1356"/>
      <c r="E104" s="742"/>
      <c r="F104" s="282"/>
      <c r="G104" s="282"/>
      <c r="H104" s="283">
        <v>50505</v>
      </c>
      <c r="I104" s="306">
        <f>H104*F$114</f>
        <v>29742.394499999999</v>
      </c>
      <c r="J104" s="283"/>
      <c r="K104" s="284">
        <f>(H104+I104)-J104</f>
        <v>80247.394499999995</v>
      </c>
    </row>
    <row r="105" spans="1:11" ht="18" customHeight="1" x14ac:dyDescent="0.3">
      <c r="A105" s="733" t="s">
        <v>127</v>
      </c>
      <c r="B105" s="1354"/>
      <c r="C105" s="1355"/>
      <c r="D105" s="1356"/>
      <c r="E105" s="742"/>
      <c r="F105" s="282"/>
      <c r="G105" s="282"/>
      <c r="H105" s="283"/>
      <c r="I105" s="306">
        <f>H105*F$114</f>
        <v>0</v>
      </c>
      <c r="J105" s="283"/>
      <c r="K105" s="284">
        <f>(H105+I105)-J105</f>
        <v>0</v>
      </c>
    </row>
    <row r="106" spans="1:11" ht="18" customHeight="1" x14ac:dyDescent="0.3">
      <c r="A106" s="733" t="s">
        <v>129</v>
      </c>
      <c r="B106" s="1354"/>
      <c r="C106" s="1355"/>
      <c r="D106" s="1356"/>
      <c r="E106" s="742"/>
      <c r="F106" s="282"/>
      <c r="G106" s="282"/>
      <c r="H106" s="283"/>
      <c r="I106" s="306">
        <f>H106*F$114</f>
        <v>0</v>
      </c>
      <c r="J106" s="283"/>
      <c r="K106" s="284">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286">
        <f t="shared" ref="F108:K108" si="15">SUM(F102:F106)</f>
        <v>6720</v>
      </c>
      <c r="G108" s="286">
        <f t="shared" si="15"/>
        <v>0</v>
      </c>
      <c r="H108" s="284">
        <f t="shared" si="15"/>
        <v>334514</v>
      </c>
      <c r="I108" s="284">
        <f t="shared" si="15"/>
        <v>196995.29459999999</v>
      </c>
      <c r="J108" s="284">
        <f t="shared" si="15"/>
        <v>0</v>
      </c>
      <c r="K108" s="284">
        <f t="shared" si="15"/>
        <v>531509.29459999991</v>
      </c>
    </row>
    <row r="109" spans="1:11" s="29" customFormat="1" ht="18" customHeight="1" thickBot="1" x14ac:dyDescent="0.35">
      <c r="A109" s="279"/>
      <c r="B109" s="280"/>
      <c r="C109" s="281"/>
      <c r="D109" s="281"/>
      <c r="E109" s="281"/>
      <c r="F109" s="291"/>
      <c r="G109" s="291"/>
      <c r="H109" s="291"/>
      <c r="I109" s="291"/>
      <c r="J109" s="291"/>
      <c r="K109" s="291"/>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283">
        <v>6526756</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292">
        <v>0.58889999999999998</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283">
        <v>740873000</v>
      </c>
      <c r="G117" s="740"/>
      <c r="H117" s="740"/>
      <c r="I117" s="740"/>
      <c r="J117" s="740"/>
      <c r="K117" s="740"/>
    </row>
    <row r="118" spans="1:11" ht="18" customHeight="1" x14ac:dyDescent="0.3">
      <c r="A118" s="733" t="s">
        <v>173</v>
      </c>
      <c r="B118" s="742" t="s">
        <v>18</v>
      </c>
      <c r="C118" s="742"/>
      <c r="D118" s="742"/>
      <c r="E118" s="742"/>
      <c r="F118" s="283">
        <f>3473000+24810000</f>
        <v>28283000</v>
      </c>
      <c r="G118" s="740"/>
      <c r="H118" s="740"/>
      <c r="I118" s="740"/>
      <c r="J118" s="740"/>
      <c r="K118" s="740"/>
    </row>
    <row r="119" spans="1:11" ht="18" customHeight="1" x14ac:dyDescent="0.3">
      <c r="A119" s="733" t="s">
        <v>174</v>
      </c>
      <c r="B119" s="636" t="s">
        <v>19</v>
      </c>
      <c r="C119" s="742"/>
      <c r="D119" s="742"/>
      <c r="E119" s="742"/>
      <c r="F119" s="285">
        <f>SUM(F117:F118)</f>
        <v>769156000</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283">
        <v>727868000</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283">
        <f>F119-F121</f>
        <v>41288000</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283">
        <v>21790000</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283">
        <f>F123+F125</f>
        <v>63078000</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282"/>
      <c r="G131" s="282"/>
      <c r="H131" s="283"/>
      <c r="I131" s="306">
        <v>0</v>
      </c>
      <c r="J131" s="283"/>
      <c r="K131" s="284">
        <f>(H131+I131)-J131</f>
        <v>0</v>
      </c>
    </row>
    <row r="132" spans="1:11" ht="18" customHeight="1" x14ac:dyDescent="0.3">
      <c r="A132" s="733" t="s">
        <v>159</v>
      </c>
      <c r="B132" s="742" t="s">
        <v>25</v>
      </c>
      <c r="C132" s="742"/>
      <c r="D132" s="742"/>
      <c r="E132" s="742"/>
      <c r="F132" s="282"/>
      <c r="G132" s="282"/>
      <c r="H132" s="283"/>
      <c r="I132" s="306">
        <v>0</v>
      </c>
      <c r="J132" s="283"/>
      <c r="K132" s="284">
        <f>(H132+I132)-J132</f>
        <v>0</v>
      </c>
    </row>
    <row r="133" spans="1:11" ht="18" customHeight="1" x14ac:dyDescent="0.3">
      <c r="A133" s="733" t="s">
        <v>160</v>
      </c>
      <c r="B133" s="1351"/>
      <c r="C133" s="1352"/>
      <c r="D133" s="1353"/>
      <c r="E133" s="742"/>
      <c r="F133" s="282"/>
      <c r="G133" s="282"/>
      <c r="H133" s="283"/>
      <c r="I133" s="306">
        <v>0</v>
      </c>
      <c r="J133" s="283"/>
      <c r="K133" s="284">
        <f>(H133+I133)-J133</f>
        <v>0</v>
      </c>
    </row>
    <row r="134" spans="1:11" ht="18" customHeight="1" x14ac:dyDescent="0.3">
      <c r="A134" s="733" t="s">
        <v>161</v>
      </c>
      <c r="B134" s="1351"/>
      <c r="C134" s="1352"/>
      <c r="D134" s="1353"/>
      <c r="E134" s="742"/>
      <c r="F134" s="282"/>
      <c r="G134" s="282"/>
      <c r="H134" s="283"/>
      <c r="I134" s="306">
        <v>0</v>
      </c>
      <c r="J134" s="283"/>
      <c r="K134" s="284">
        <f>(H134+I134)-J134</f>
        <v>0</v>
      </c>
    </row>
    <row r="135" spans="1:11" ht="18" customHeight="1" x14ac:dyDescent="0.3">
      <c r="A135" s="733" t="s">
        <v>162</v>
      </c>
      <c r="B135" s="1351"/>
      <c r="C135" s="1352"/>
      <c r="D135" s="1353"/>
      <c r="E135" s="742"/>
      <c r="F135" s="282"/>
      <c r="G135" s="282"/>
      <c r="H135" s="283"/>
      <c r="I135" s="306">
        <v>0</v>
      </c>
      <c r="J135" s="283"/>
      <c r="K135" s="284">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286">
        <f t="shared" ref="F137:K137" si="16">SUM(F131:F135)</f>
        <v>0</v>
      </c>
      <c r="G137" s="286">
        <f t="shared" si="16"/>
        <v>0</v>
      </c>
      <c r="H137" s="284">
        <f t="shared" si="16"/>
        <v>0</v>
      </c>
      <c r="I137" s="284">
        <f t="shared" si="16"/>
        <v>0</v>
      </c>
      <c r="J137" s="284">
        <f t="shared" si="16"/>
        <v>0</v>
      </c>
      <c r="K137" s="284">
        <f t="shared" si="16"/>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300">
        <f t="shared" ref="F141:K141" si="17">F36</f>
        <v>56500</v>
      </c>
      <c r="G141" s="300">
        <f t="shared" si="17"/>
        <v>8616</v>
      </c>
      <c r="H141" s="300">
        <f t="shared" si="17"/>
        <v>3087827</v>
      </c>
      <c r="I141" s="300">
        <f t="shared" si="17"/>
        <v>1818421.3203</v>
      </c>
      <c r="J141" s="300">
        <f t="shared" si="17"/>
        <v>1685832</v>
      </c>
      <c r="K141" s="300">
        <f t="shared" si="17"/>
        <v>3220416.3202999998</v>
      </c>
    </row>
    <row r="142" spans="1:11" ht="18" customHeight="1" x14ac:dyDescent="0.3">
      <c r="A142" s="733" t="s">
        <v>142</v>
      </c>
      <c r="B142" s="636" t="s">
        <v>65</v>
      </c>
      <c r="C142" s="742"/>
      <c r="D142" s="742"/>
      <c r="E142" s="742"/>
      <c r="F142" s="300">
        <f t="shared" ref="F142:K142" si="18">F49</f>
        <v>368587</v>
      </c>
      <c r="G142" s="300">
        <f t="shared" si="18"/>
        <v>912</v>
      </c>
      <c r="H142" s="300">
        <f t="shared" si="18"/>
        <v>14532410</v>
      </c>
      <c r="I142" s="300">
        <f t="shared" si="18"/>
        <v>8558136.2489999998</v>
      </c>
      <c r="J142" s="300">
        <f t="shared" si="18"/>
        <v>102000</v>
      </c>
      <c r="K142" s="300">
        <f t="shared" si="18"/>
        <v>22988546.248999998</v>
      </c>
    </row>
    <row r="143" spans="1:11" ht="18" customHeight="1" x14ac:dyDescent="0.3">
      <c r="A143" s="733" t="s">
        <v>144</v>
      </c>
      <c r="B143" s="636" t="s">
        <v>66</v>
      </c>
      <c r="C143" s="742"/>
      <c r="D143" s="742"/>
      <c r="E143" s="742"/>
      <c r="F143" s="300">
        <f t="shared" ref="F143:K143" si="19">F64</f>
        <v>15017</v>
      </c>
      <c r="G143" s="300">
        <f t="shared" si="19"/>
        <v>1616</v>
      </c>
      <c r="H143" s="300">
        <f t="shared" si="19"/>
        <v>11991375</v>
      </c>
      <c r="I143" s="300">
        <f t="shared" si="19"/>
        <v>7061720.7374999998</v>
      </c>
      <c r="J143" s="300">
        <f t="shared" si="19"/>
        <v>526103</v>
      </c>
      <c r="K143" s="300">
        <f t="shared" si="19"/>
        <v>18526992.737500001</v>
      </c>
    </row>
    <row r="144" spans="1:11" ht="18" customHeight="1" x14ac:dyDescent="0.3">
      <c r="A144" s="733" t="s">
        <v>146</v>
      </c>
      <c r="B144" s="636" t="s">
        <v>67</v>
      </c>
      <c r="C144" s="742"/>
      <c r="D144" s="742"/>
      <c r="E144" s="742"/>
      <c r="F144" s="300">
        <f t="shared" ref="F144:K144" si="20">F74</f>
        <v>1565</v>
      </c>
      <c r="G144" s="300">
        <f t="shared" si="20"/>
        <v>0</v>
      </c>
      <c r="H144" s="300">
        <f t="shared" si="20"/>
        <v>419420</v>
      </c>
      <c r="I144" s="300">
        <f t="shared" si="20"/>
        <v>246996.43799999999</v>
      </c>
      <c r="J144" s="300">
        <f t="shared" si="20"/>
        <v>331105</v>
      </c>
      <c r="K144" s="300">
        <f t="shared" si="20"/>
        <v>335311.43799999997</v>
      </c>
    </row>
    <row r="145" spans="1:11" ht="18" customHeight="1" x14ac:dyDescent="0.3">
      <c r="A145" s="733" t="s">
        <v>148</v>
      </c>
      <c r="B145" s="636" t="s">
        <v>68</v>
      </c>
      <c r="C145" s="742"/>
      <c r="D145" s="742"/>
      <c r="E145" s="742"/>
      <c r="F145" s="300">
        <f t="shared" ref="F145:K145" si="21">F82</f>
        <v>0</v>
      </c>
      <c r="G145" s="300">
        <f t="shared" si="21"/>
        <v>0</v>
      </c>
      <c r="H145" s="300">
        <f t="shared" si="21"/>
        <v>716404</v>
      </c>
      <c r="I145" s="300">
        <f t="shared" si="21"/>
        <v>0</v>
      </c>
      <c r="J145" s="300">
        <f t="shared" si="21"/>
        <v>0</v>
      </c>
      <c r="K145" s="300">
        <f t="shared" si="21"/>
        <v>716404</v>
      </c>
    </row>
    <row r="146" spans="1:11" ht="18" customHeight="1" x14ac:dyDescent="0.3">
      <c r="A146" s="733" t="s">
        <v>150</v>
      </c>
      <c r="B146" s="636" t="s">
        <v>69</v>
      </c>
      <c r="C146" s="742"/>
      <c r="D146" s="742"/>
      <c r="E146" s="742"/>
      <c r="F146" s="300">
        <f t="shared" ref="F146:K146" si="22">F98</f>
        <v>9252</v>
      </c>
      <c r="G146" s="300">
        <f t="shared" si="22"/>
        <v>28</v>
      </c>
      <c r="H146" s="300">
        <f t="shared" si="22"/>
        <v>675382</v>
      </c>
      <c r="I146" s="300">
        <f t="shared" si="22"/>
        <v>397732.45979999995</v>
      </c>
      <c r="J146" s="300">
        <f t="shared" si="22"/>
        <v>568904</v>
      </c>
      <c r="K146" s="300">
        <f t="shared" si="22"/>
        <v>504210.45979999995</v>
      </c>
    </row>
    <row r="147" spans="1:11" ht="18" customHeight="1" x14ac:dyDescent="0.3">
      <c r="A147" s="733" t="s">
        <v>153</v>
      </c>
      <c r="B147" s="636" t="s">
        <v>61</v>
      </c>
      <c r="C147" s="742"/>
      <c r="D147" s="742"/>
      <c r="E147" s="742"/>
      <c r="F147" s="286">
        <f t="shared" ref="F147:K147" si="23">F108</f>
        <v>6720</v>
      </c>
      <c r="G147" s="286">
        <f t="shared" si="23"/>
        <v>0</v>
      </c>
      <c r="H147" s="286">
        <f t="shared" si="23"/>
        <v>334514</v>
      </c>
      <c r="I147" s="286">
        <f t="shared" si="23"/>
        <v>196995.29459999999</v>
      </c>
      <c r="J147" s="286">
        <f t="shared" si="23"/>
        <v>0</v>
      </c>
      <c r="K147" s="286">
        <f t="shared" si="23"/>
        <v>531509.29459999991</v>
      </c>
    </row>
    <row r="148" spans="1:11" ht="18" customHeight="1" x14ac:dyDescent="0.3">
      <c r="A148" s="733" t="s">
        <v>155</v>
      </c>
      <c r="B148" s="636" t="s">
        <v>70</v>
      </c>
      <c r="C148" s="742"/>
      <c r="D148" s="742"/>
      <c r="E148" s="742"/>
      <c r="F148" s="301" t="s">
        <v>73</v>
      </c>
      <c r="G148" s="301" t="s">
        <v>73</v>
      </c>
      <c r="H148" s="302" t="s">
        <v>73</v>
      </c>
      <c r="I148" s="302" t="s">
        <v>73</v>
      </c>
      <c r="J148" s="302" t="s">
        <v>73</v>
      </c>
      <c r="K148" s="296">
        <f>F111</f>
        <v>6526756</v>
      </c>
    </row>
    <row r="149" spans="1:11" ht="18" customHeight="1" x14ac:dyDescent="0.3">
      <c r="A149" s="733" t="s">
        <v>163</v>
      </c>
      <c r="B149" s="636" t="s">
        <v>71</v>
      </c>
      <c r="C149" s="742"/>
      <c r="D149" s="742"/>
      <c r="E149" s="742"/>
      <c r="F149" s="286">
        <f t="shared" ref="F149:K149" si="24">F137</f>
        <v>0</v>
      </c>
      <c r="G149" s="286">
        <f t="shared" si="24"/>
        <v>0</v>
      </c>
      <c r="H149" s="286">
        <f t="shared" si="24"/>
        <v>0</v>
      </c>
      <c r="I149" s="286">
        <f t="shared" si="24"/>
        <v>0</v>
      </c>
      <c r="J149" s="286">
        <f t="shared" si="24"/>
        <v>0</v>
      </c>
      <c r="K149" s="286">
        <f t="shared" si="24"/>
        <v>0</v>
      </c>
    </row>
    <row r="150" spans="1:11" ht="18" customHeight="1" x14ac:dyDescent="0.3">
      <c r="A150" s="733" t="s">
        <v>185</v>
      </c>
      <c r="B150" s="636" t="s">
        <v>186</v>
      </c>
      <c r="C150" s="742"/>
      <c r="D150" s="742"/>
      <c r="E150" s="742"/>
      <c r="F150" s="301" t="s">
        <v>73</v>
      </c>
      <c r="G150" s="301" t="s">
        <v>73</v>
      </c>
      <c r="H150" s="286">
        <f>H18</f>
        <v>16156310</v>
      </c>
      <c r="I150" s="286">
        <f>I18</f>
        <v>0</v>
      </c>
      <c r="J150" s="286">
        <f>J18</f>
        <v>13655270</v>
      </c>
      <c r="K150" s="286">
        <f>K18</f>
        <v>2501040</v>
      </c>
    </row>
    <row r="151" spans="1:11" ht="18" customHeight="1" x14ac:dyDescent="0.3">
      <c r="A151" s="742"/>
      <c r="B151" s="636"/>
      <c r="C151" s="742"/>
      <c r="D151" s="742"/>
      <c r="E151" s="742"/>
      <c r="F151" s="304"/>
      <c r="G151" s="304"/>
      <c r="H151" s="304"/>
      <c r="I151" s="304"/>
      <c r="J151" s="304"/>
      <c r="K151" s="304"/>
    </row>
    <row r="152" spans="1:11" ht="18" customHeight="1" x14ac:dyDescent="0.3">
      <c r="A152" s="639" t="s">
        <v>165</v>
      </c>
      <c r="B152" s="636" t="s">
        <v>26</v>
      </c>
      <c r="C152" s="742"/>
      <c r="D152" s="742"/>
      <c r="E152" s="742"/>
      <c r="F152" s="305">
        <f t="shared" ref="F152:K152" si="25">SUM(F141:F150)</f>
        <v>457641</v>
      </c>
      <c r="G152" s="305">
        <f t="shared" si="25"/>
        <v>11172</v>
      </c>
      <c r="H152" s="305">
        <f t="shared" si="25"/>
        <v>47913642</v>
      </c>
      <c r="I152" s="305">
        <f t="shared" si="25"/>
        <v>18280002.499200001</v>
      </c>
      <c r="J152" s="305">
        <f t="shared" si="25"/>
        <v>16869214</v>
      </c>
      <c r="K152" s="305">
        <f t="shared" si="25"/>
        <v>55851186.499199994</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310">
        <f>K152/F121</f>
        <v>7.6732575823088789E-2</v>
      </c>
      <c r="G154" s="742"/>
      <c r="H154" s="742"/>
      <c r="I154" s="742"/>
      <c r="J154" s="742"/>
      <c r="K154" s="742"/>
    </row>
    <row r="155" spans="1:11" ht="18" customHeight="1" x14ac:dyDescent="0.3">
      <c r="A155" s="639" t="s">
        <v>169</v>
      </c>
      <c r="B155" s="636" t="s">
        <v>72</v>
      </c>
      <c r="C155" s="742"/>
      <c r="D155" s="742"/>
      <c r="E155" s="742"/>
      <c r="F155" s="310">
        <f>K152/F127</f>
        <v>0.88543052251498133</v>
      </c>
      <c r="G155" s="636"/>
      <c r="H155" s="742"/>
      <c r="I155" s="742"/>
      <c r="J155" s="742"/>
      <c r="K155" s="742"/>
    </row>
    <row r="156" spans="1:11" ht="18" customHeight="1" x14ac:dyDescent="0.3">
      <c r="A156" s="262"/>
      <c r="B156" s="262"/>
      <c r="C156" s="262"/>
      <c r="D156" s="262"/>
      <c r="E156" s="262"/>
      <c r="F156" s="262"/>
      <c r="G156" s="263"/>
      <c r="H156" s="262"/>
      <c r="I156" s="262"/>
      <c r="J156" s="262"/>
      <c r="K156" s="262"/>
    </row>
  </sheetData>
  <sheetProtection sheet="1" objects="1" scenarios="1"/>
  <mergeCells count="34">
    <mergeCell ref="C5:G5"/>
    <mergeCell ref="C6:G6"/>
    <mergeCell ref="C7:G7"/>
    <mergeCell ref="C9:G9"/>
    <mergeCell ref="C10:G10"/>
    <mergeCell ref="B34:D34"/>
    <mergeCell ref="C11:G11"/>
    <mergeCell ref="B41:C41"/>
    <mergeCell ref="B44:D44"/>
    <mergeCell ref="B13:H13"/>
    <mergeCell ref="B30:D30"/>
    <mergeCell ref="B31:D31"/>
    <mergeCell ref="B134:D134"/>
    <mergeCell ref="B135:D135"/>
    <mergeCell ref="B133:D133"/>
    <mergeCell ref="B104:D104"/>
    <mergeCell ref="B105:D105"/>
    <mergeCell ref="B106:D106"/>
    <mergeCell ref="D2:H2"/>
    <mergeCell ref="B103:C103"/>
    <mergeCell ref="B96:D96"/>
    <mergeCell ref="B95:D95"/>
    <mergeCell ref="B57:D57"/>
    <mergeCell ref="B94:D94"/>
    <mergeCell ref="B52:C52"/>
    <mergeCell ref="B90:C90"/>
    <mergeCell ref="B53:D53"/>
    <mergeCell ref="B55:D55"/>
    <mergeCell ref="B56:D56"/>
    <mergeCell ref="B59:D59"/>
    <mergeCell ref="B62:D62"/>
    <mergeCell ref="B45:D45"/>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156"/>
  <sheetViews>
    <sheetView showGridLines="0" zoomScale="85" zoomScaleNormal="85" zoomScaleSheetLayoutView="70" workbookViewId="0"/>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61" t="s">
        <v>740</v>
      </c>
      <c r="D5" s="1362"/>
      <c r="E5" s="1362"/>
      <c r="F5" s="1362"/>
      <c r="G5" s="1364"/>
      <c r="H5" s="742"/>
      <c r="I5" s="742"/>
      <c r="J5" s="742"/>
      <c r="K5" s="742"/>
    </row>
    <row r="6" spans="1:11" ht="18" customHeight="1" x14ac:dyDescent="0.3">
      <c r="A6" s="742"/>
      <c r="B6" s="733" t="s">
        <v>3</v>
      </c>
      <c r="C6" s="1365">
        <v>210013</v>
      </c>
      <c r="D6" s="1366"/>
      <c r="E6" s="1366"/>
      <c r="F6" s="1366"/>
      <c r="G6" s="1367"/>
      <c r="H6" s="742"/>
      <c r="I6" s="742"/>
      <c r="J6" s="742"/>
      <c r="K6" s="742"/>
    </row>
    <row r="7" spans="1:11" ht="18" customHeight="1" x14ac:dyDescent="0.3">
      <c r="A7" s="742"/>
      <c r="B7" s="733" t="s">
        <v>4</v>
      </c>
      <c r="C7" s="1368">
        <v>641</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61" t="s">
        <v>544</v>
      </c>
      <c r="D9" s="1362"/>
      <c r="E9" s="1362"/>
      <c r="F9" s="1362"/>
      <c r="G9" s="1364"/>
      <c r="H9" s="742"/>
      <c r="I9" s="742"/>
      <c r="J9" s="742"/>
      <c r="K9" s="742"/>
    </row>
    <row r="10" spans="1:11" ht="18" customHeight="1" x14ac:dyDescent="0.3">
      <c r="A10" s="742"/>
      <c r="B10" s="733" t="s">
        <v>2</v>
      </c>
      <c r="C10" s="1371" t="s">
        <v>296</v>
      </c>
      <c r="D10" s="1372"/>
      <c r="E10" s="1372"/>
      <c r="F10" s="1372"/>
      <c r="G10" s="1373"/>
      <c r="H10" s="742"/>
      <c r="I10" s="742"/>
      <c r="J10" s="742"/>
      <c r="K10" s="742"/>
    </row>
    <row r="11" spans="1:11" ht="18" customHeight="1" x14ac:dyDescent="0.3">
      <c r="A11" s="742"/>
      <c r="B11" s="733" t="s">
        <v>32</v>
      </c>
      <c r="C11" s="1361" t="s">
        <v>741</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282" t="s">
        <v>73</v>
      </c>
      <c r="G18" s="282" t="s">
        <v>73</v>
      </c>
      <c r="H18" s="283">
        <v>2665171</v>
      </c>
      <c r="I18" s="306">
        <v>0</v>
      </c>
      <c r="J18" s="283">
        <v>2252596</v>
      </c>
      <c r="K18" s="284">
        <f>(H18+I18)-J18</f>
        <v>412575</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282">
        <v>2086</v>
      </c>
      <c r="G21" s="282">
        <v>6053</v>
      </c>
      <c r="H21" s="283">
        <v>110359</v>
      </c>
      <c r="I21" s="306">
        <f t="shared" ref="I21:I34" si="0">H21*F$114</f>
        <v>105679.7784</v>
      </c>
      <c r="J21" s="283">
        <v>0</v>
      </c>
      <c r="K21" s="284">
        <f t="shared" ref="K21:K34" si="1">(H21+I21)-J21</f>
        <v>216038.77840000001</v>
      </c>
    </row>
    <row r="22" spans="1:11" ht="18" customHeight="1" x14ac:dyDescent="0.3">
      <c r="A22" s="733" t="s">
        <v>76</v>
      </c>
      <c r="B22" s="742" t="s">
        <v>6</v>
      </c>
      <c r="C22" s="742"/>
      <c r="D22" s="742"/>
      <c r="E22" s="742"/>
      <c r="F22" s="282"/>
      <c r="G22" s="282"/>
      <c r="H22" s="283"/>
      <c r="I22" s="306">
        <f t="shared" si="0"/>
        <v>0</v>
      </c>
      <c r="J22" s="283"/>
      <c r="K22" s="284">
        <f t="shared" si="1"/>
        <v>0</v>
      </c>
    </row>
    <row r="23" spans="1:11" ht="18" customHeight="1" x14ac:dyDescent="0.3">
      <c r="A23" s="733" t="s">
        <v>77</v>
      </c>
      <c r="B23" s="742" t="s">
        <v>43</v>
      </c>
      <c r="C23" s="742"/>
      <c r="D23" s="742"/>
      <c r="E23" s="742"/>
      <c r="F23" s="282"/>
      <c r="G23" s="282"/>
      <c r="H23" s="283"/>
      <c r="I23" s="306">
        <f t="shared" si="0"/>
        <v>0</v>
      </c>
      <c r="J23" s="283"/>
      <c r="K23" s="284">
        <f t="shared" si="1"/>
        <v>0</v>
      </c>
    </row>
    <row r="24" spans="1:11" ht="18" customHeight="1" x14ac:dyDescent="0.3">
      <c r="A24" s="733" t="s">
        <v>78</v>
      </c>
      <c r="B24" s="742" t="s">
        <v>44</v>
      </c>
      <c r="C24" s="742"/>
      <c r="D24" s="742"/>
      <c r="E24" s="742"/>
      <c r="F24" s="282">
        <v>254493</v>
      </c>
      <c r="G24" s="282">
        <v>381593</v>
      </c>
      <c r="H24" s="283">
        <v>8245400</v>
      </c>
      <c r="I24" s="306">
        <f t="shared" si="0"/>
        <v>7895795.04</v>
      </c>
      <c r="J24" s="283">
        <v>7946774</v>
      </c>
      <c r="K24" s="284">
        <f t="shared" si="1"/>
        <v>8194421.0399999991</v>
      </c>
    </row>
    <row r="25" spans="1:11" ht="18" customHeight="1" x14ac:dyDescent="0.3">
      <c r="A25" s="733" t="s">
        <v>79</v>
      </c>
      <c r="B25" s="742" t="s">
        <v>5</v>
      </c>
      <c r="C25" s="742"/>
      <c r="D25" s="742"/>
      <c r="E25" s="742"/>
      <c r="F25" s="282"/>
      <c r="G25" s="282"/>
      <c r="H25" s="283"/>
      <c r="I25" s="306">
        <f t="shared" si="0"/>
        <v>0</v>
      </c>
      <c r="J25" s="283"/>
      <c r="K25" s="284">
        <f t="shared" si="1"/>
        <v>0</v>
      </c>
    </row>
    <row r="26" spans="1:11" ht="18" customHeight="1" x14ac:dyDescent="0.3">
      <c r="A26" s="733" t="s">
        <v>80</v>
      </c>
      <c r="B26" s="742" t="s">
        <v>45</v>
      </c>
      <c r="C26" s="742"/>
      <c r="D26" s="742"/>
      <c r="E26" s="742"/>
      <c r="F26" s="282"/>
      <c r="G26" s="282"/>
      <c r="H26" s="283"/>
      <c r="I26" s="306">
        <f t="shared" si="0"/>
        <v>0</v>
      </c>
      <c r="J26" s="283"/>
      <c r="K26" s="284">
        <f t="shared" si="1"/>
        <v>0</v>
      </c>
    </row>
    <row r="27" spans="1:11" ht="18" customHeight="1" x14ac:dyDescent="0.3">
      <c r="A27" s="733" t="s">
        <v>81</v>
      </c>
      <c r="B27" s="742" t="s">
        <v>46</v>
      </c>
      <c r="C27" s="742"/>
      <c r="D27" s="742"/>
      <c r="E27" s="742"/>
      <c r="F27" s="282"/>
      <c r="G27" s="282"/>
      <c r="H27" s="283"/>
      <c r="I27" s="306">
        <f t="shared" si="0"/>
        <v>0</v>
      </c>
      <c r="J27" s="283"/>
      <c r="K27" s="284">
        <f t="shared" si="1"/>
        <v>0</v>
      </c>
    </row>
    <row r="28" spans="1:11" ht="18" customHeight="1" x14ac:dyDescent="0.3">
      <c r="A28" s="733" t="s">
        <v>82</v>
      </c>
      <c r="B28" s="742" t="s">
        <v>47</v>
      </c>
      <c r="C28" s="742"/>
      <c r="D28" s="742"/>
      <c r="E28" s="742"/>
      <c r="F28" s="282"/>
      <c r="G28" s="282"/>
      <c r="H28" s="283"/>
      <c r="I28" s="306">
        <f t="shared" si="0"/>
        <v>0</v>
      </c>
      <c r="J28" s="283"/>
      <c r="K28" s="284">
        <f t="shared" si="1"/>
        <v>0</v>
      </c>
    </row>
    <row r="29" spans="1:11" ht="18" customHeight="1" x14ac:dyDescent="0.3">
      <c r="A29" s="733" t="s">
        <v>83</v>
      </c>
      <c r="B29" s="742" t="s">
        <v>48</v>
      </c>
      <c r="C29" s="742"/>
      <c r="D29" s="742"/>
      <c r="E29" s="742"/>
      <c r="F29" s="282"/>
      <c r="G29" s="282"/>
      <c r="H29" s="283"/>
      <c r="I29" s="306">
        <f t="shared" si="0"/>
        <v>0</v>
      </c>
      <c r="J29" s="283"/>
      <c r="K29" s="284">
        <f t="shared" si="1"/>
        <v>0</v>
      </c>
    </row>
    <row r="30" spans="1:11" ht="18" customHeight="1" x14ac:dyDescent="0.3">
      <c r="A30" s="733" t="s">
        <v>84</v>
      </c>
      <c r="B30" s="1351" t="s">
        <v>297</v>
      </c>
      <c r="C30" s="1352"/>
      <c r="D30" s="1353"/>
      <c r="E30" s="742"/>
      <c r="F30" s="282">
        <v>4394</v>
      </c>
      <c r="G30" s="282">
        <v>0</v>
      </c>
      <c r="H30" s="283">
        <v>762199</v>
      </c>
      <c r="I30" s="306">
        <f t="shared" si="0"/>
        <v>729881.76240000001</v>
      </c>
      <c r="J30" s="283">
        <v>761481</v>
      </c>
      <c r="K30" s="284">
        <f t="shared" si="1"/>
        <v>730599.76239999989</v>
      </c>
    </row>
    <row r="31" spans="1:11" ht="18" customHeight="1" x14ac:dyDescent="0.3">
      <c r="A31" s="733" t="s">
        <v>133</v>
      </c>
      <c r="B31" s="1351"/>
      <c r="C31" s="1352"/>
      <c r="D31" s="1353"/>
      <c r="E31" s="742"/>
      <c r="F31" s="282"/>
      <c r="G31" s="282"/>
      <c r="H31" s="283"/>
      <c r="I31" s="306">
        <f t="shared" si="0"/>
        <v>0</v>
      </c>
      <c r="J31" s="283"/>
      <c r="K31" s="284">
        <f t="shared" si="1"/>
        <v>0</v>
      </c>
    </row>
    <row r="32" spans="1:11" ht="18" customHeight="1" x14ac:dyDescent="0.3">
      <c r="A32" s="733" t="s">
        <v>134</v>
      </c>
      <c r="B32" s="853"/>
      <c r="C32" s="854"/>
      <c r="D32" s="855"/>
      <c r="E32" s="742"/>
      <c r="F32" s="282"/>
      <c r="G32" s="308"/>
      <c r="H32" s="283"/>
      <c r="I32" s="306">
        <f t="shared" si="0"/>
        <v>0</v>
      </c>
      <c r="J32" s="283"/>
      <c r="K32" s="284">
        <f t="shared" si="1"/>
        <v>0</v>
      </c>
    </row>
    <row r="33" spans="1:11" ht="18" customHeight="1" x14ac:dyDescent="0.3">
      <c r="A33" s="733" t="s">
        <v>135</v>
      </c>
      <c r="B33" s="853"/>
      <c r="C33" s="854"/>
      <c r="D33" s="855"/>
      <c r="E33" s="742"/>
      <c r="F33" s="282"/>
      <c r="G33" s="308"/>
      <c r="H33" s="283"/>
      <c r="I33" s="306">
        <f t="shared" si="0"/>
        <v>0</v>
      </c>
      <c r="J33" s="283"/>
      <c r="K33" s="284">
        <f t="shared" si="1"/>
        <v>0</v>
      </c>
    </row>
    <row r="34" spans="1:11" ht="18" customHeight="1" x14ac:dyDescent="0.3">
      <c r="A34" s="733" t="s">
        <v>136</v>
      </c>
      <c r="B34" s="1351"/>
      <c r="C34" s="1352"/>
      <c r="D34" s="1353"/>
      <c r="E34" s="742"/>
      <c r="F34" s="282"/>
      <c r="G34" s="308"/>
      <c r="H34" s="283"/>
      <c r="I34" s="306">
        <f t="shared" si="0"/>
        <v>0</v>
      </c>
      <c r="J34" s="283"/>
      <c r="K34" s="284">
        <f t="shared" si="1"/>
        <v>0</v>
      </c>
    </row>
    <row r="35" spans="1:11" ht="18" customHeight="1" x14ac:dyDescent="0.25">
      <c r="A35" s="742"/>
      <c r="B35" s="742"/>
      <c r="C35" s="742"/>
      <c r="D35" s="742"/>
      <c r="E35" s="742"/>
      <c r="F35" s="742"/>
      <c r="G35" s="742"/>
      <c r="H35" s="742"/>
      <c r="I35" s="742"/>
      <c r="J35" s="742"/>
      <c r="K35" s="315"/>
    </row>
    <row r="36" spans="1:11" ht="18" customHeight="1" x14ac:dyDescent="0.3">
      <c r="A36" s="639" t="s">
        <v>137</v>
      </c>
      <c r="B36" s="636" t="s">
        <v>138</v>
      </c>
      <c r="C36" s="742"/>
      <c r="D36" s="742"/>
      <c r="E36" s="636" t="s">
        <v>7</v>
      </c>
      <c r="F36" s="286">
        <f t="shared" ref="F36:K36" si="2">SUM(F21:F34)</f>
        <v>260973</v>
      </c>
      <c r="G36" s="286">
        <f t="shared" si="2"/>
        <v>387646</v>
      </c>
      <c r="H36" s="286">
        <f t="shared" si="2"/>
        <v>9117958</v>
      </c>
      <c r="I36" s="284">
        <f t="shared" si="2"/>
        <v>8731356.5808000006</v>
      </c>
      <c r="J36" s="284">
        <f t="shared" si="2"/>
        <v>8708255</v>
      </c>
      <c r="K36" s="284">
        <f t="shared" si="2"/>
        <v>9141059.5807999987</v>
      </c>
    </row>
    <row r="37" spans="1:11" ht="18" customHeight="1" thickBot="1" x14ac:dyDescent="0.35">
      <c r="A37" s="742"/>
      <c r="B37" s="636"/>
      <c r="C37" s="742"/>
      <c r="D37" s="742"/>
      <c r="E37" s="742"/>
      <c r="F37" s="287"/>
      <c r="G37" s="287"/>
      <c r="H37" s="288"/>
      <c r="I37" s="288"/>
      <c r="J37" s="288"/>
      <c r="K37" s="303"/>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282"/>
      <c r="G40" s="282"/>
      <c r="H40" s="283"/>
      <c r="I40" s="306">
        <v>0</v>
      </c>
      <c r="J40" s="283"/>
      <c r="K40" s="284">
        <f t="shared" ref="K40:K47" si="3">(H40+I40)-J40</f>
        <v>0</v>
      </c>
    </row>
    <row r="41" spans="1:11" ht="18" customHeight="1" x14ac:dyDescent="0.3">
      <c r="A41" s="733" t="s">
        <v>88</v>
      </c>
      <c r="B41" s="1359" t="s">
        <v>50</v>
      </c>
      <c r="C41" s="1359"/>
      <c r="D41" s="742"/>
      <c r="E41" s="742"/>
      <c r="F41" s="282"/>
      <c r="G41" s="282"/>
      <c r="H41" s="283"/>
      <c r="I41" s="306">
        <v>0</v>
      </c>
      <c r="J41" s="283"/>
      <c r="K41" s="284">
        <f t="shared" si="3"/>
        <v>0</v>
      </c>
    </row>
    <row r="42" spans="1:11" ht="18" customHeight="1" x14ac:dyDescent="0.3">
      <c r="A42" s="733" t="s">
        <v>89</v>
      </c>
      <c r="B42" s="635" t="s">
        <v>11</v>
      </c>
      <c r="C42" s="742"/>
      <c r="D42" s="742"/>
      <c r="E42" s="742"/>
      <c r="F42" s="282">
        <v>0</v>
      </c>
      <c r="G42" s="282">
        <v>0</v>
      </c>
      <c r="H42" s="283">
        <v>80707</v>
      </c>
      <c r="I42" s="306">
        <v>0</v>
      </c>
      <c r="J42" s="283">
        <v>0</v>
      </c>
      <c r="K42" s="284">
        <f t="shared" si="3"/>
        <v>80707</v>
      </c>
    </row>
    <row r="43" spans="1:11" ht="18" customHeight="1" x14ac:dyDescent="0.3">
      <c r="A43" s="733" t="s">
        <v>90</v>
      </c>
      <c r="B43" s="670" t="s">
        <v>10</v>
      </c>
      <c r="C43" s="642"/>
      <c r="D43" s="642"/>
      <c r="E43" s="742"/>
      <c r="F43" s="282"/>
      <c r="G43" s="282"/>
      <c r="H43" s="283"/>
      <c r="I43" s="306">
        <v>0</v>
      </c>
      <c r="J43" s="283"/>
      <c r="K43" s="284">
        <f t="shared" si="3"/>
        <v>0</v>
      </c>
    </row>
    <row r="44" spans="1:11" ht="18" customHeight="1" x14ac:dyDescent="0.3">
      <c r="A44" s="733" t="s">
        <v>91</v>
      </c>
      <c r="B44" s="1351"/>
      <c r="C44" s="1352"/>
      <c r="D44" s="1353"/>
      <c r="E44" s="742"/>
      <c r="F44" s="324"/>
      <c r="G44" s="324"/>
      <c r="H44" s="324"/>
      <c r="I44" s="325">
        <v>0</v>
      </c>
      <c r="J44" s="324"/>
      <c r="K44" s="326">
        <f t="shared" si="3"/>
        <v>0</v>
      </c>
    </row>
    <row r="45" spans="1:11" ht="18" customHeight="1" x14ac:dyDescent="0.3">
      <c r="A45" s="733" t="s">
        <v>139</v>
      </c>
      <c r="B45" s="1351"/>
      <c r="C45" s="1352"/>
      <c r="D45" s="1353"/>
      <c r="E45" s="742"/>
      <c r="F45" s="282"/>
      <c r="G45" s="282"/>
      <c r="H45" s="283"/>
      <c r="I45" s="306">
        <v>0</v>
      </c>
      <c r="J45" s="283"/>
      <c r="K45" s="284">
        <f t="shared" si="3"/>
        <v>0</v>
      </c>
    </row>
    <row r="46" spans="1:11" ht="18" customHeight="1" x14ac:dyDescent="0.3">
      <c r="A46" s="733" t="s">
        <v>140</v>
      </c>
      <c r="B46" s="1351"/>
      <c r="C46" s="1352"/>
      <c r="D46" s="1353"/>
      <c r="E46" s="742"/>
      <c r="F46" s="282"/>
      <c r="G46" s="282"/>
      <c r="H46" s="283"/>
      <c r="I46" s="306">
        <v>0</v>
      </c>
      <c r="J46" s="283"/>
      <c r="K46" s="284">
        <f t="shared" si="3"/>
        <v>0</v>
      </c>
    </row>
    <row r="47" spans="1:11" ht="18" customHeight="1" x14ac:dyDescent="0.3">
      <c r="A47" s="733" t="s">
        <v>141</v>
      </c>
      <c r="B47" s="1351"/>
      <c r="C47" s="1352"/>
      <c r="D47" s="1353"/>
      <c r="E47" s="742"/>
      <c r="F47" s="282"/>
      <c r="G47" s="282"/>
      <c r="H47" s="283"/>
      <c r="I47" s="306">
        <v>0</v>
      </c>
      <c r="J47" s="283"/>
      <c r="K47" s="284">
        <f t="shared" si="3"/>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290">
        <f t="shared" ref="F49:K49" si="4">SUM(F40:F47)</f>
        <v>0</v>
      </c>
      <c r="G49" s="290">
        <f t="shared" si="4"/>
        <v>0</v>
      </c>
      <c r="H49" s="284">
        <f t="shared" si="4"/>
        <v>80707</v>
      </c>
      <c r="I49" s="284">
        <f t="shared" si="4"/>
        <v>0</v>
      </c>
      <c r="J49" s="284">
        <f t="shared" si="4"/>
        <v>0</v>
      </c>
      <c r="K49" s="284">
        <f t="shared" si="4"/>
        <v>80707</v>
      </c>
    </row>
    <row r="50" spans="1:11" ht="18" customHeight="1" thickBot="1" x14ac:dyDescent="0.3">
      <c r="A50" s="742"/>
      <c r="B50" s="742"/>
      <c r="C50" s="742"/>
      <c r="D50" s="742"/>
      <c r="E50" s="742"/>
      <c r="F50" s="742"/>
      <c r="G50" s="291"/>
      <c r="H50" s="291"/>
      <c r="I50" s="291"/>
      <c r="J50" s="291"/>
      <c r="K50" s="291"/>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302</v>
      </c>
      <c r="C53" s="1355"/>
      <c r="D53" s="1356"/>
      <c r="E53" s="742"/>
      <c r="F53" s="282">
        <v>12417</v>
      </c>
      <c r="G53" s="282">
        <v>2382</v>
      </c>
      <c r="H53" s="283">
        <v>344565</v>
      </c>
      <c r="I53" s="306">
        <v>0</v>
      </c>
      <c r="J53" s="283">
        <v>0</v>
      </c>
      <c r="K53" s="284">
        <f t="shared" ref="K53:K62" si="5">(H53+I53)-J53</f>
        <v>344565</v>
      </c>
    </row>
    <row r="54" spans="1:11" ht="18" customHeight="1" x14ac:dyDescent="0.3">
      <c r="A54" s="733" t="s">
        <v>93</v>
      </c>
      <c r="B54" s="856"/>
      <c r="C54" s="857"/>
      <c r="D54" s="858"/>
      <c r="E54" s="742"/>
      <c r="F54" s="282"/>
      <c r="G54" s="282"/>
      <c r="H54" s="283"/>
      <c r="I54" s="306">
        <v>0</v>
      </c>
      <c r="J54" s="283"/>
      <c r="K54" s="284">
        <f t="shared" si="5"/>
        <v>0</v>
      </c>
    </row>
    <row r="55" spans="1:11" ht="18" customHeight="1" x14ac:dyDescent="0.3">
      <c r="A55" s="733" t="s">
        <v>94</v>
      </c>
      <c r="B55" s="1354"/>
      <c r="C55" s="1355"/>
      <c r="D55" s="1356"/>
      <c r="E55" s="742"/>
      <c r="F55" s="282"/>
      <c r="G55" s="282"/>
      <c r="H55" s="283"/>
      <c r="I55" s="306">
        <v>0</v>
      </c>
      <c r="J55" s="283"/>
      <c r="K55" s="284">
        <f t="shared" si="5"/>
        <v>0</v>
      </c>
    </row>
    <row r="56" spans="1:11" ht="18" customHeight="1" x14ac:dyDescent="0.3">
      <c r="A56" s="733" t="s">
        <v>95</v>
      </c>
      <c r="B56" s="1354"/>
      <c r="C56" s="1355"/>
      <c r="D56" s="1356"/>
      <c r="E56" s="742"/>
      <c r="F56" s="282"/>
      <c r="G56" s="282"/>
      <c r="H56" s="283"/>
      <c r="I56" s="306">
        <v>0</v>
      </c>
      <c r="J56" s="283"/>
      <c r="K56" s="284">
        <f t="shared" si="5"/>
        <v>0</v>
      </c>
    </row>
    <row r="57" spans="1:11" ht="18" customHeight="1" x14ac:dyDescent="0.3">
      <c r="A57" s="733" t="s">
        <v>96</v>
      </c>
      <c r="B57" s="1354"/>
      <c r="C57" s="1355"/>
      <c r="D57" s="1356"/>
      <c r="E57" s="742"/>
      <c r="F57" s="282"/>
      <c r="G57" s="282"/>
      <c r="H57" s="283"/>
      <c r="I57" s="306">
        <v>0</v>
      </c>
      <c r="J57" s="283"/>
      <c r="K57" s="284">
        <f t="shared" si="5"/>
        <v>0</v>
      </c>
    </row>
    <row r="58" spans="1:11" ht="18" customHeight="1" x14ac:dyDescent="0.3">
      <c r="A58" s="733" t="s">
        <v>97</v>
      </c>
      <c r="B58" s="856"/>
      <c r="C58" s="857"/>
      <c r="D58" s="858"/>
      <c r="E58" s="742"/>
      <c r="F58" s="282"/>
      <c r="G58" s="282"/>
      <c r="H58" s="283"/>
      <c r="I58" s="306">
        <v>0</v>
      </c>
      <c r="J58" s="283"/>
      <c r="K58" s="284">
        <f t="shared" si="5"/>
        <v>0</v>
      </c>
    </row>
    <row r="59" spans="1:11" ht="18" customHeight="1" x14ac:dyDescent="0.3">
      <c r="A59" s="733" t="s">
        <v>98</v>
      </c>
      <c r="B59" s="1354"/>
      <c r="C59" s="1355"/>
      <c r="D59" s="1356"/>
      <c r="E59" s="742"/>
      <c r="F59" s="282"/>
      <c r="G59" s="282"/>
      <c r="H59" s="283"/>
      <c r="I59" s="306">
        <v>0</v>
      </c>
      <c r="J59" s="283"/>
      <c r="K59" s="284">
        <f t="shared" si="5"/>
        <v>0</v>
      </c>
    </row>
    <row r="60" spans="1:11" ht="18" customHeight="1" x14ac:dyDescent="0.3">
      <c r="A60" s="733" t="s">
        <v>99</v>
      </c>
      <c r="B60" s="856"/>
      <c r="C60" s="857"/>
      <c r="D60" s="858"/>
      <c r="E60" s="742"/>
      <c r="F60" s="282"/>
      <c r="G60" s="282"/>
      <c r="H60" s="283"/>
      <c r="I60" s="306">
        <v>0</v>
      </c>
      <c r="J60" s="283"/>
      <c r="K60" s="284">
        <f t="shared" si="5"/>
        <v>0</v>
      </c>
    </row>
    <row r="61" spans="1:11" ht="18" customHeight="1" x14ac:dyDescent="0.3">
      <c r="A61" s="733" t="s">
        <v>100</v>
      </c>
      <c r="B61" s="856"/>
      <c r="C61" s="857"/>
      <c r="D61" s="858"/>
      <c r="E61" s="742"/>
      <c r="F61" s="282"/>
      <c r="G61" s="282"/>
      <c r="H61" s="283"/>
      <c r="I61" s="306">
        <v>0</v>
      </c>
      <c r="J61" s="283"/>
      <c r="K61" s="284">
        <f t="shared" si="5"/>
        <v>0</v>
      </c>
    </row>
    <row r="62" spans="1:11" ht="18" customHeight="1" x14ac:dyDescent="0.3">
      <c r="A62" s="733" t="s">
        <v>101</v>
      </c>
      <c r="B62" s="1354"/>
      <c r="C62" s="1355"/>
      <c r="D62" s="1356"/>
      <c r="E62" s="742"/>
      <c r="F62" s="282"/>
      <c r="G62" s="282"/>
      <c r="H62" s="283"/>
      <c r="I62" s="306">
        <v>0</v>
      </c>
      <c r="J62" s="283"/>
      <c r="K62" s="284">
        <f t="shared" si="5"/>
        <v>0</v>
      </c>
    </row>
    <row r="63" spans="1:11" ht="18" customHeight="1" x14ac:dyDescent="0.3">
      <c r="A63" s="733"/>
      <c r="B63" s="742"/>
      <c r="C63" s="742"/>
      <c r="D63" s="742"/>
      <c r="E63" s="742"/>
      <c r="F63" s="742"/>
      <c r="G63" s="742"/>
      <c r="H63" s="742"/>
      <c r="I63" s="276"/>
      <c r="J63" s="742"/>
      <c r="K63" s="742"/>
    </row>
    <row r="64" spans="1:11" ht="18" customHeight="1" x14ac:dyDescent="0.3">
      <c r="A64" s="733" t="s">
        <v>144</v>
      </c>
      <c r="B64" s="636" t="s">
        <v>145</v>
      </c>
      <c r="C64" s="742"/>
      <c r="D64" s="742"/>
      <c r="E64" s="636" t="s">
        <v>7</v>
      </c>
      <c r="F64" s="286">
        <f t="shared" ref="F64:K64" si="6">SUM(F53:F62)</f>
        <v>12417</v>
      </c>
      <c r="G64" s="286">
        <f t="shared" si="6"/>
        <v>2382</v>
      </c>
      <c r="H64" s="284">
        <f t="shared" si="6"/>
        <v>344565</v>
      </c>
      <c r="I64" s="284">
        <f t="shared" si="6"/>
        <v>0</v>
      </c>
      <c r="J64" s="284">
        <f t="shared" si="6"/>
        <v>0</v>
      </c>
      <c r="K64" s="284">
        <f t="shared" si="6"/>
        <v>344565</v>
      </c>
    </row>
    <row r="65" spans="1:11" ht="18" customHeight="1" x14ac:dyDescent="0.25">
      <c r="A65" s="742"/>
      <c r="B65" s="742"/>
      <c r="C65" s="742"/>
      <c r="D65" s="742"/>
      <c r="E65" s="742"/>
      <c r="F65" s="304"/>
      <c r="G65" s="304"/>
      <c r="H65" s="304"/>
      <c r="I65" s="304"/>
      <c r="J65" s="304"/>
      <c r="K65" s="304"/>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307">
        <v>1706</v>
      </c>
      <c r="G68" s="307">
        <v>0</v>
      </c>
      <c r="H68" s="307">
        <v>119042</v>
      </c>
      <c r="I68" s="306">
        <v>0</v>
      </c>
      <c r="J68" s="307">
        <v>119042</v>
      </c>
      <c r="K68" s="284">
        <f>(H68+I68)-J68</f>
        <v>0</v>
      </c>
    </row>
    <row r="69" spans="1:11" ht="18" customHeight="1" x14ac:dyDescent="0.3">
      <c r="A69" s="733" t="s">
        <v>104</v>
      </c>
      <c r="B69" s="635" t="s">
        <v>53</v>
      </c>
      <c r="C69" s="742"/>
      <c r="D69" s="742"/>
      <c r="E69" s="742"/>
      <c r="F69" s="307"/>
      <c r="G69" s="307"/>
      <c r="H69" s="307"/>
      <c r="I69" s="306">
        <v>0</v>
      </c>
      <c r="J69" s="307"/>
      <c r="K69" s="284">
        <f>(H69+I69)-J69</f>
        <v>0</v>
      </c>
    </row>
    <row r="70" spans="1:11" ht="18" customHeight="1" x14ac:dyDescent="0.3">
      <c r="A70" s="733" t="s">
        <v>178</v>
      </c>
      <c r="B70" s="856"/>
      <c r="C70" s="857"/>
      <c r="D70" s="858"/>
      <c r="E70" s="636"/>
      <c r="F70" s="294"/>
      <c r="G70" s="294"/>
      <c r="H70" s="295"/>
      <c r="I70" s="306">
        <v>0</v>
      </c>
      <c r="J70" s="295"/>
      <c r="K70" s="284">
        <f>(H70+I70)-J70</f>
        <v>0</v>
      </c>
    </row>
    <row r="71" spans="1:11" ht="18" customHeight="1" x14ac:dyDescent="0.3">
      <c r="A71" s="733" t="s">
        <v>179</v>
      </c>
      <c r="B71" s="856"/>
      <c r="C71" s="857"/>
      <c r="D71" s="858"/>
      <c r="E71" s="636"/>
      <c r="F71" s="294"/>
      <c r="G71" s="294"/>
      <c r="H71" s="295"/>
      <c r="I71" s="306">
        <v>0</v>
      </c>
      <c r="J71" s="295"/>
      <c r="K71" s="284">
        <f>(H71+I71)-J71</f>
        <v>0</v>
      </c>
    </row>
    <row r="72" spans="1:11" ht="18" customHeight="1" x14ac:dyDescent="0.3">
      <c r="A72" s="733" t="s">
        <v>180</v>
      </c>
      <c r="B72" s="859"/>
      <c r="C72" s="860"/>
      <c r="D72" s="293"/>
      <c r="E72" s="636"/>
      <c r="F72" s="282"/>
      <c r="G72" s="282"/>
      <c r="H72" s="283"/>
      <c r="I72" s="306">
        <v>0</v>
      </c>
      <c r="J72" s="283"/>
      <c r="K72" s="284">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289">
        <f t="shared" ref="F74:K74" si="7">SUM(F68:F72)</f>
        <v>1706</v>
      </c>
      <c r="G74" s="289">
        <f t="shared" si="7"/>
        <v>0</v>
      </c>
      <c r="H74" s="289">
        <f t="shared" si="7"/>
        <v>119042</v>
      </c>
      <c r="I74" s="309">
        <f t="shared" si="7"/>
        <v>0</v>
      </c>
      <c r="J74" s="289">
        <f t="shared" si="7"/>
        <v>119042</v>
      </c>
      <c r="K74" s="285">
        <f t="shared" si="7"/>
        <v>0</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282"/>
      <c r="G77" s="282"/>
      <c r="H77" s="283"/>
      <c r="I77" s="306">
        <v>0</v>
      </c>
      <c r="J77" s="283"/>
      <c r="K77" s="284">
        <f>(H77+I77)-J77</f>
        <v>0</v>
      </c>
    </row>
    <row r="78" spans="1:11" ht="18" customHeight="1" x14ac:dyDescent="0.3">
      <c r="A78" s="733" t="s">
        <v>108</v>
      </c>
      <c r="B78" s="635" t="s">
        <v>55</v>
      </c>
      <c r="C78" s="742"/>
      <c r="D78" s="742"/>
      <c r="E78" s="742"/>
      <c r="F78" s="282"/>
      <c r="G78" s="282"/>
      <c r="H78" s="283"/>
      <c r="I78" s="306">
        <v>0</v>
      </c>
      <c r="J78" s="283"/>
      <c r="K78" s="284">
        <f>(H78+I78)-J78</f>
        <v>0</v>
      </c>
    </row>
    <row r="79" spans="1:11" ht="18" customHeight="1" x14ac:dyDescent="0.3">
      <c r="A79" s="733" t="s">
        <v>109</v>
      </c>
      <c r="B79" s="635" t="s">
        <v>13</v>
      </c>
      <c r="C79" s="742"/>
      <c r="D79" s="742"/>
      <c r="E79" s="742"/>
      <c r="F79" s="282"/>
      <c r="G79" s="282"/>
      <c r="H79" s="283"/>
      <c r="I79" s="306">
        <v>0</v>
      </c>
      <c r="J79" s="283"/>
      <c r="K79" s="284">
        <f>(H79+I79)-J79</f>
        <v>0</v>
      </c>
    </row>
    <row r="80" spans="1:11" ht="18" customHeight="1" x14ac:dyDescent="0.3">
      <c r="A80" s="733" t="s">
        <v>110</v>
      </c>
      <c r="B80" s="635" t="s">
        <v>56</v>
      </c>
      <c r="C80" s="742"/>
      <c r="D80" s="742"/>
      <c r="E80" s="742"/>
      <c r="F80" s="282"/>
      <c r="G80" s="282"/>
      <c r="H80" s="283"/>
      <c r="I80" s="306">
        <v>0</v>
      </c>
      <c r="J80" s="283"/>
      <c r="K80" s="284">
        <f>(H80+I80)-J80</f>
        <v>0</v>
      </c>
    </row>
    <row r="81" spans="1:11" ht="18" customHeight="1" x14ac:dyDescent="0.3">
      <c r="A81" s="733"/>
      <c r="B81" s="742"/>
      <c r="C81" s="742"/>
      <c r="D81" s="742"/>
      <c r="E81" s="742"/>
      <c r="F81" s="742"/>
      <c r="G81" s="742"/>
      <c r="H81" s="742"/>
      <c r="I81" s="742"/>
      <c r="J81" s="742"/>
      <c r="K81" s="299"/>
    </row>
    <row r="82" spans="1:11" ht="18" customHeight="1" x14ac:dyDescent="0.3">
      <c r="A82" s="733" t="s">
        <v>148</v>
      </c>
      <c r="B82" s="636" t="s">
        <v>149</v>
      </c>
      <c r="C82" s="742"/>
      <c r="D82" s="742"/>
      <c r="E82" s="636" t="s">
        <v>7</v>
      </c>
      <c r="F82" s="289">
        <f t="shared" ref="F82:K82" si="8">SUM(F77:F80)</f>
        <v>0</v>
      </c>
      <c r="G82" s="289">
        <f t="shared" si="8"/>
        <v>0</v>
      </c>
      <c r="H82" s="285">
        <f t="shared" si="8"/>
        <v>0</v>
      </c>
      <c r="I82" s="285">
        <f t="shared" si="8"/>
        <v>0</v>
      </c>
      <c r="J82" s="285">
        <f t="shared" si="8"/>
        <v>0</v>
      </c>
      <c r="K82" s="285">
        <f t="shared" si="8"/>
        <v>0</v>
      </c>
    </row>
    <row r="83" spans="1:11" ht="18" customHeight="1" thickBot="1" x14ac:dyDescent="0.35">
      <c r="A83" s="733"/>
      <c r="B83" s="742"/>
      <c r="C83" s="742"/>
      <c r="D83" s="742"/>
      <c r="E83" s="742"/>
      <c r="F83" s="291"/>
      <c r="G83" s="291"/>
      <c r="H83" s="291"/>
      <c r="I83" s="291"/>
      <c r="J83" s="291"/>
      <c r="K83" s="291"/>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282">
        <v>13015</v>
      </c>
      <c r="G86" s="282">
        <v>0</v>
      </c>
      <c r="H86" s="283">
        <v>3474890</v>
      </c>
      <c r="I86" s="306">
        <f t="shared" ref="I86:I96" si="9">H86*F$114</f>
        <v>3327554.6639999999</v>
      </c>
      <c r="J86" s="283">
        <v>2894278</v>
      </c>
      <c r="K86" s="284">
        <f t="shared" ref="K86:K96" si="10">(H86+I86)-J86</f>
        <v>3908166.6639999999</v>
      </c>
    </row>
    <row r="87" spans="1:11" ht="18" customHeight="1" x14ac:dyDescent="0.3">
      <c r="A87" s="733" t="s">
        <v>114</v>
      </c>
      <c r="B87" s="635" t="s">
        <v>14</v>
      </c>
      <c r="C87" s="742"/>
      <c r="D87" s="742"/>
      <c r="E87" s="742"/>
      <c r="F87" s="282"/>
      <c r="G87" s="282"/>
      <c r="H87" s="283"/>
      <c r="I87" s="306">
        <f t="shared" si="9"/>
        <v>0</v>
      </c>
      <c r="J87" s="283"/>
      <c r="K87" s="284">
        <f t="shared" si="10"/>
        <v>0</v>
      </c>
    </row>
    <row r="88" spans="1:11" ht="18" customHeight="1" x14ac:dyDescent="0.3">
      <c r="A88" s="733" t="s">
        <v>115</v>
      </c>
      <c r="B88" s="635" t="s">
        <v>116</v>
      </c>
      <c r="C88" s="742"/>
      <c r="D88" s="742"/>
      <c r="E88" s="742"/>
      <c r="F88" s="282"/>
      <c r="G88" s="282"/>
      <c r="H88" s="283"/>
      <c r="I88" s="306">
        <f t="shared" si="9"/>
        <v>0</v>
      </c>
      <c r="J88" s="283"/>
      <c r="K88" s="284">
        <f t="shared" si="10"/>
        <v>0</v>
      </c>
    </row>
    <row r="89" spans="1:11" ht="18" customHeight="1" x14ac:dyDescent="0.3">
      <c r="A89" s="733" t="s">
        <v>117</v>
      </c>
      <c r="B89" s="635" t="s">
        <v>58</v>
      </c>
      <c r="C89" s="742"/>
      <c r="D89" s="742"/>
      <c r="E89" s="742"/>
      <c r="F89" s="282"/>
      <c r="G89" s="282"/>
      <c r="H89" s="283"/>
      <c r="I89" s="306">
        <f t="shared" si="9"/>
        <v>0</v>
      </c>
      <c r="J89" s="283"/>
      <c r="K89" s="284">
        <f t="shared" si="10"/>
        <v>0</v>
      </c>
    </row>
    <row r="90" spans="1:11" ht="18" customHeight="1" x14ac:dyDescent="0.3">
      <c r="A90" s="733" t="s">
        <v>118</v>
      </c>
      <c r="B90" s="1359" t="s">
        <v>59</v>
      </c>
      <c r="C90" s="1359"/>
      <c r="D90" s="742"/>
      <c r="E90" s="742"/>
      <c r="F90" s="282"/>
      <c r="G90" s="282"/>
      <c r="H90" s="283"/>
      <c r="I90" s="306">
        <f t="shared" si="9"/>
        <v>0</v>
      </c>
      <c r="J90" s="283"/>
      <c r="K90" s="284">
        <f t="shared" si="10"/>
        <v>0</v>
      </c>
    </row>
    <row r="91" spans="1:11" ht="18" customHeight="1" x14ac:dyDescent="0.3">
      <c r="A91" s="733" t="s">
        <v>119</v>
      </c>
      <c r="B91" s="635" t="s">
        <v>60</v>
      </c>
      <c r="C91" s="742"/>
      <c r="D91" s="742"/>
      <c r="E91" s="742"/>
      <c r="F91" s="282"/>
      <c r="G91" s="282"/>
      <c r="H91" s="283"/>
      <c r="I91" s="306">
        <f t="shared" si="9"/>
        <v>0</v>
      </c>
      <c r="J91" s="283"/>
      <c r="K91" s="284">
        <f t="shared" si="10"/>
        <v>0</v>
      </c>
    </row>
    <row r="92" spans="1:11" ht="18" customHeight="1" x14ac:dyDescent="0.3">
      <c r="A92" s="733" t="s">
        <v>120</v>
      </c>
      <c r="B92" s="635" t="s">
        <v>121</v>
      </c>
      <c r="C92" s="742"/>
      <c r="D92" s="742"/>
      <c r="E92" s="742"/>
      <c r="F92" s="297"/>
      <c r="G92" s="297"/>
      <c r="H92" s="298"/>
      <c r="I92" s="306">
        <f t="shared" si="9"/>
        <v>0</v>
      </c>
      <c r="J92" s="298"/>
      <c r="K92" s="284">
        <f t="shared" si="10"/>
        <v>0</v>
      </c>
    </row>
    <row r="93" spans="1:11" ht="18" customHeight="1" x14ac:dyDescent="0.3">
      <c r="A93" s="733" t="s">
        <v>122</v>
      </c>
      <c r="B93" s="635" t="s">
        <v>123</v>
      </c>
      <c r="C93" s="742"/>
      <c r="D93" s="742"/>
      <c r="E93" s="742"/>
      <c r="F93" s="282"/>
      <c r="G93" s="282"/>
      <c r="H93" s="283"/>
      <c r="I93" s="306">
        <f t="shared" si="9"/>
        <v>0</v>
      </c>
      <c r="J93" s="283"/>
      <c r="K93" s="284">
        <f t="shared" si="10"/>
        <v>0</v>
      </c>
    </row>
    <row r="94" spans="1:11" ht="18" customHeight="1" x14ac:dyDescent="0.3">
      <c r="A94" s="733" t="s">
        <v>124</v>
      </c>
      <c r="B94" s="1354"/>
      <c r="C94" s="1355"/>
      <c r="D94" s="1356"/>
      <c r="E94" s="742"/>
      <c r="F94" s="282"/>
      <c r="G94" s="282"/>
      <c r="H94" s="283"/>
      <c r="I94" s="306">
        <f t="shared" si="9"/>
        <v>0</v>
      </c>
      <c r="J94" s="283"/>
      <c r="K94" s="284">
        <f t="shared" si="10"/>
        <v>0</v>
      </c>
    </row>
    <row r="95" spans="1:11" ht="18" customHeight="1" x14ac:dyDescent="0.3">
      <c r="A95" s="733" t="s">
        <v>125</v>
      </c>
      <c r="B95" s="1354"/>
      <c r="C95" s="1355"/>
      <c r="D95" s="1356"/>
      <c r="E95" s="742"/>
      <c r="F95" s="282"/>
      <c r="G95" s="282"/>
      <c r="H95" s="283"/>
      <c r="I95" s="306">
        <f t="shared" si="9"/>
        <v>0</v>
      </c>
      <c r="J95" s="283"/>
      <c r="K95" s="284">
        <f t="shared" si="10"/>
        <v>0</v>
      </c>
    </row>
    <row r="96" spans="1:11" ht="18" customHeight="1" x14ac:dyDescent="0.3">
      <c r="A96" s="733" t="s">
        <v>126</v>
      </c>
      <c r="B96" s="1354"/>
      <c r="C96" s="1355"/>
      <c r="D96" s="1356"/>
      <c r="E96" s="742"/>
      <c r="F96" s="282"/>
      <c r="G96" s="282"/>
      <c r="H96" s="283"/>
      <c r="I96" s="306">
        <f t="shared" si="9"/>
        <v>0</v>
      </c>
      <c r="J96" s="283"/>
      <c r="K96" s="284">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286">
        <f t="shared" ref="F98:K98" si="11">SUM(F86:F96)</f>
        <v>13015</v>
      </c>
      <c r="G98" s="286">
        <f t="shared" si="11"/>
        <v>0</v>
      </c>
      <c r="H98" s="286">
        <f t="shared" si="11"/>
        <v>3474890</v>
      </c>
      <c r="I98" s="286">
        <f t="shared" si="11"/>
        <v>3327554.6639999999</v>
      </c>
      <c r="J98" s="286">
        <f t="shared" si="11"/>
        <v>2894278</v>
      </c>
      <c r="K98" s="286">
        <f t="shared" si="11"/>
        <v>3908166.6639999999</v>
      </c>
    </row>
    <row r="99" spans="1:11" ht="18" customHeight="1" thickBot="1" x14ac:dyDescent="0.35">
      <c r="A99" s="742"/>
      <c r="B99" s="636"/>
      <c r="C99" s="742"/>
      <c r="D99" s="742"/>
      <c r="E99" s="742"/>
      <c r="F99" s="291"/>
      <c r="G99" s="291"/>
      <c r="H99" s="291"/>
      <c r="I99" s="291"/>
      <c r="J99" s="291"/>
      <c r="K99" s="291"/>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282">
        <v>17964</v>
      </c>
      <c r="G102" s="282">
        <v>1251</v>
      </c>
      <c r="H102" s="283">
        <v>1200575</v>
      </c>
      <c r="I102" s="306">
        <f>H102*F$114</f>
        <v>1149670.6200000001</v>
      </c>
      <c r="J102" s="283">
        <v>17917</v>
      </c>
      <c r="K102" s="284">
        <f>(H102+I102)-J102</f>
        <v>2332328.62</v>
      </c>
    </row>
    <row r="103" spans="1:11" ht="18" customHeight="1" x14ac:dyDescent="0.3">
      <c r="A103" s="733" t="s">
        <v>132</v>
      </c>
      <c r="B103" s="1357" t="s">
        <v>62</v>
      </c>
      <c r="C103" s="1357"/>
      <c r="D103" s="742"/>
      <c r="E103" s="742"/>
      <c r="F103" s="282"/>
      <c r="G103" s="282"/>
      <c r="H103" s="283"/>
      <c r="I103" s="306">
        <f>H103*F$114</f>
        <v>0</v>
      </c>
      <c r="J103" s="283"/>
      <c r="K103" s="284">
        <f>(H103+I103)-J103</f>
        <v>0</v>
      </c>
    </row>
    <row r="104" spans="1:11" ht="18" customHeight="1" x14ac:dyDescent="0.3">
      <c r="A104" s="733" t="s">
        <v>128</v>
      </c>
      <c r="B104" s="1354"/>
      <c r="C104" s="1355"/>
      <c r="D104" s="1356"/>
      <c r="E104" s="742"/>
      <c r="F104" s="282"/>
      <c r="G104" s="282"/>
      <c r="H104" s="283"/>
      <c r="I104" s="306">
        <f>H104*F$114</f>
        <v>0</v>
      </c>
      <c r="J104" s="283"/>
      <c r="K104" s="284">
        <f>(H104+I104)-J104</f>
        <v>0</v>
      </c>
    </row>
    <row r="105" spans="1:11" ht="18" customHeight="1" x14ac:dyDescent="0.3">
      <c r="A105" s="733" t="s">
        <v>127</v>
      </c>
      <c r="B105" s="1354"/>
      <c r="C105" s="1355"/>
      <c r="D105" s="1356"/>
      <c r="E105" s="742"/>
      <c r="F105" s="282"/>
      <c r="G105" s="282"/>
      <c r="H105" s="283"/>
      <c r="I105" s="306">
        <f>H105*F$114</f>
        <v>0</v>
      </c>
      <c r="J105" s="283"/>
      <c r="K105" s="284">
        <f>(H105+I105)-J105</f>
        <v>0</v>
      </c>
    </row>
    <row r="106" spans="1:11" ht="18" customHeight="1" x14ac:dyDescent="0.3">
      <c r="A106" s="733" t="s">
        <v>129</v>
      </c>
      <c r="B106" s="1354"/>
      <c r="C106" s="1355"/>
      <c r="D106" s="1356"/>
      <c r="E106" s="742"/>
      <c r="F106" s="282"/>
      <c r="G106" s="282"/>
      <c r="H106" s="283"/>
      <c r="I106" s="306">
        <f>H106*F$114</f>
        <v>0</v>
      </c>
      <c r="J106" s="283"/>
      <c r="K106" s="284">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286">
        <f t="shared" ref="F108:K108" si="12">SUM(F102:F106)</f>
        <v>17964</v>
      </c>
      <c r="G108" s="286">
        <f t="shared" si="12"/>
        <v>1251</v>
      </c>
      <c r="H108" s="284">
        <f t="shared" si="12"/>
        <v>1200575</v>
      </c>
      <c r="I108" s="284">
        <f t="shared" si="12"/>
        <v>1149670.6200000001</v>
      </c>
      <c r="J108" s="284">
        <f t="shared" si="12"/>
        <v>17917</v>
      </c>
      <c r="K108" s="284">
        <f t="shared" si="12"/>
        <v>2332328.62</v>
      </c>
    </row>
    <row r="109" spans="1:11" s="29" customFormat="1" ht="18" customHeight="1" thickBot="1" x14ac:dyDescent="0.35">
      <c r="A109" s="279"/>
      <c r="B109" s="280"/>
      <c r="C109" s="281"/>
      <c r="D109" s="281"/>
      <c r="E109" s="281"/>
      <c r="F109" s="291"/>
      <c r="G109" s="291"/>
      <c r="H109" s="291"/>
      <c r="I109" s="291"/>
      <c r="J109" s="291"/>
      <c r="K109" s="291"/>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283">
        <v>675245</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292">
        <v>0.95760000000000001</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283">
        <v>107188170</v>
      </c>
      <c r="G117" s="740"/>
      <c r="H117" s="740"/>
      <c r="I117" s="740"/>
      <c r="J117" s="740"/>
      <c r="K117" s="740"/>
    </row>
    <row r="118" spans="1:11" ht="18" customHeight="1" x14ac:dyDescent="0.3">
      <c r="A118" s="733" t="s">
        <v>173</v>
      </c>
      <c r="B118" s="742" t="s">
        <v>18</v>
      </c>
      <c r="C118" s="742"/>
      <c r="D118" s="742"/>
      <c r="E118" s="742"/>
      <c r="F118" s="283">
        <v>3819904</v>
      </c>
      <c r="G118" s="740"/>
      <c r="H118" s="740"/>
      <c r="I118" s="740"/>
      <c r="J118" s="740"/>
      <c r="K118" s="740"/>
    </row>
    <row r="119" spans="1:11" ht="18" customHeight="1" x14ac:dyDescent="0.3">
      <c r="A119" s="733" t="s">
        <v>174</v>
      </c>
      <c r="B119" s="636" t="s">
        <v>19</v>
      </c>
      <c r="C119" s="742"/>
      <c r="D119" s="742"/>
      <c r="E119" s="742"/>
      <c r="F119" s="285">
        <f>SUM(F117:F118)</f>
        <v>111008074</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283">
        <v>113068120</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283">
        <v>-2060046</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283">
        <v>-351069</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283">
        <v>-2411115</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282">
        <v>7387</v>
      </c>
      <c r="G131" s="282">
        <v>3181</v>
      </c>
      <c r="H131" s="283">
        <v>105640</v>
      </c>
      <c r="I131" s="306">
        <v>0</v>
      </c>
      <c r="J131" s="283">
        <v>4466</v>
      </c>
      <c r="K131" s="284">
        <f>(H131+I131)-J131</f>
        <v>101174</v>
      </c>
    </row>
    <row r="132" spans="1:11" ht="18" customHeight="1" x14ac:dyDescent="0.3">
      <c r="A132" s="733" t="s">
        <v>159</v>
      </c>
      <c r="B132" s="742" t="s">
        <v>25</v>
      </c>
      <c r="C132" s="742"/>
      <c r="D132" s="742"/>
      <c r="E132" s="742"/>
      <c r="F132" s="282">
        <v>65109</v>
      </c>
      <c r="G132" s="282">
        <v>11940</v>
      </c>
      <c r="H132" s="283">
        <v>2517176</v>
      </c>
      <c r="I132" s="306">
        <v>0</v>
      </c>
      <c r="J132" s="283">
        <v>1959463</v>
      </c>
      <c r="K132" s="284">
        <f>(H132+I132)-J132</f>
        <v>557713</v>
      </c>
    </row>
    <row r="133" spans="1:11" ht="18" customHeight="1" x14ac:dyDescent="0.3">
      <c r="A133" s="733" t="s">
        <v>160</v>
      </c>
      <c r="B133" s="1351"/>
      <c r="C133" s="1352"/>
      <c r="D133" s="1353"/>
      <c r="E133" s="742"/>
      <c r="F133" s="282"/>
      <c r="G133" s="282"/>
      <c r="H133" s="283"/>
      <c r="I133" s="306">
        <v>0</v>
      </c>
      <c r="J133" s="283"/>
      <c r="K133" s="284">
        <f>(H133+I133)-J133</f>
        <v>0</v>
      </c>
    </row>
    <row r="134" spans="1:11" ht="18" customHeight="1" x14ac:dyDescent="0.3">
      <c r="A134" s="733" t="s">
        <v>161</v>
      </c>
      <c r="B134" s="1351"/>
      <c r="C134" s="1352"/>
      <c r="D134" s="1353"/>
      <c r="E134" s="742"/>
      <c r="F134" s="282"/>
      <c r="G134" s="282"/>
      <c r="H134" s="283"/>
      <c r="I134" s="306">
        <v>0</v>
      </c>
      <c r="J134" s="283"/>
      <c r="K134" s="284">
        <f>(H134+I134)-J134</f>
        <v>0</v>
      </c>
    </row>
    <row r="135" spans="1:11" ht="18" customHeight="1" x14ac:dyDescent="0.3">
      <c r="A135" s="733" t="s">
        <v>162</v>
      </c>
      <c r="B135" s="1351"/>
      <c r="C135" s="1352"/>
      <c r="D135" s="1353"/>
      <c r="E135" s="742"/>
      <c r="F135" s="282"/>
      <c r="G135" s="282"/>
      <c r="H135" s="283"/>
      <c r="I135" s="306">
        <v>0</v>
      </c>
      <c r="J135" s="283"/>
      <c r="K135" s="284">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286">
        <f t="shared" ref="F137:K137" si="13">SUM(F131:F135)</f>
        <v>72496</v>
      </c>
      <c r="G137" s="286">
        <f t="shared" si="13"/>
        <v>15121</v>
      </c>
      <c r="H137" s="284">
        <f t="shared" si="13"/>
        <v>2622816</v>
      </c>
      <c r="I137" s="284">
        <f t="shared" si="13"/>
        <v>0</v>
      </c>
      <c r="J137" s="284">
        <f t="shared" si="13"/>
        <v>1963929</v>
      </c>
      <c r="K137" s="284">
        <f t="shared" si="13"/>
        <v>658887</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300">
        <f t="shared" ref="F141:K141" si="14">F36</f>
        <v>260973</v>
      </c>
      <c r="G141" s="300">
        <f t="shared" si="14"/>
        <v>387646</v>
      </c>
      <c r="H141" s="300">
        <f t="shared" si="14"/>
        <v>9117958</v>
      </c>
      <c r="I141" s="300">
        <f t="shared" si="14"/>
        <v>8731356.5808000006</v>
      </c>
      <c r="J141" s="300">
        <f t="shared" si="14"/>
        <v>8708255</v>
      </c>
      <c r="K141" s="300">
        <f t="shared" si="14"/>
        <v>9141059.5807999987</v>
      </c>
    </row>
    <row r="142" spans="1:11" ht="18" customHeight="1" x14ac:dyDescent="0.3">
      <c r="A142" s="733" t="s">
        <v>142</v>
      </c>
      <c r="B142" s="636" t="s">
        <v>65</v>
      </c>
      <c r="C142" s="742"/>
      <c r="D142" s="742"/>
      <c r="E142" s="742"/>
      <c r="F142" s="300">
        <f t="shared" ref="F142:K142" si="15">F49</f>
        <v>0</v>
      </c>
      <c r="G142" s="300">
        <f t="shared" si="15"/>
        <v>0</v>
      </c>
      <c r="H142" s="300">
        <f t="shared" si="15"/>
        <v>80707</v>
      </c>
      <c r="I142" s="300">
        <f t="shared" si="15"/>
        <v>0</v>
      </c>
      <c r="J142" s="300">
        <f t="shared" si="15"/>
        <v>0</v>
      </c>
      <c r="K142" s="300">
        <f t="shared" si="15"/>
        <v>80707</v>
      </c>
    </row>
    <row r="143" spans="1:11" ht="18" customHeight="1" x14ac:dyDescent="0.3">
      <c r="A143" s="733" t="s">
        <v>144</v>
      </c>
      <c r="B143" s="636" t="s">
        <v>66</v>
      </c>
      <c r="C143" s="742"/>
      <c r="D143" s="742"/>
      <c r="E143" s="742"/>
      <c r="F143" s="300">
        <f t="shared" ref="F143:K143" si="16">F64</f>
        <v>12417</v>
      </c>
      <c r="G143" s="300">
        <f t="shared" si="16"/>
        <v>2382</v>
      </c>
      <c r="H143" s="300">
        <f t="shared" si="16"/>
        <v>344565</v>
      </c>
      <c r="I143" s="300">
        <f t="shared" si="16"/>
        <v>0</v>
      </c>
      <c r="J143" s="300">
        <f t="shared" si="16"/>
        <v>0</v>
      </c>
      <c r="K143" s="300">
        <f t="shared" si="16"/>
        <v>344565</v>
      </c>
    </row>
    <row r="144" spans="1:11" ht="18" customHeight="1" x14ac:dyDescent="0.3">
      <c r="A144" s="733" t="s">
        <v>146</v>
      </c>
      <c r="B144" s="636" t="s">
        <v>67</v>
      </c>
      <c r="C144" s="742"/>
      <c r="D144" s="742"/>
      <c r="E144" s="742"/>
      <c r="F144" s="300">
        <f t="shared" ref="F144:K144" si="17">F74</f>
        <v>1706</v>
      </c>
      <c r="G144" s="300">
        <f t="shared" si="17"/>
        <v>0</v>
      </c>
      <c r="H144" s="300">
        <f t="shared" si="17"/>
        <v>119042</v>
      </c>
      <c r="I144" s="300">
        <f t="shared" si="17"/>
        <v>0</v>
      </c>
      <c r="J144" s="300">
        <f t="shared" si="17"/>
        <v>119042</v>
      </c>
      <c r="K144" s="300">
        <f t="shared" si="17"/>
        <v>0</v>
      </c>
    </row>
    <row r="145" spans="1:11" ht="18" customHeight="1" x14ac:dyDescent="0.3">
      <c r="A145" s="733" t="s">
        <v>148</v>
      </c>
      <c r="B145" s="636" t="s">
        <v>68</v>
      </c>
      <c r="C145" s="742"/>
      <c r="D145" s="742"/>
      <c r="E145" s="742"/>
      <c r="F145" s="300">
        <f t="shared" ref="F145:K145" si="18">F82</f>
        <v>0</v>
      </c>
      <c r="G145" s="300">
        <f t="shared" si="18"/>
        <v>0</v>
      </c>
      <c r="H145" s="300">
        <f t="shared" si="18"/>
        <v>0</v>
      </c>
      <c r="I145" s="300">
        <f t="shared" si="18"/>
        <v>0</v>
      </c>
      <c r="J145" s="300">
        <f t="shared" si="18"/>
        <v>0</v>
      </c>
      <c r="K145" s="300">
        <f t="shared" si="18"/>
        <v>0</v>
      </c>
    </row>
    <row r="146" spans="1:11" ht="18" customHeight="1" x14ac:dyDescent="0.3">
      <c r="A146" s="733" t="s">
        <v>150</v>
      </c>
      <c r="B146" s="636" t="s">
        <v>69</v>
      </c>
      <c r="C146" s="742"/>
      <c r="D146" s="742"/>
      <c r="E146" s="742"/>
      <c r="F146" s="300">
        <f t="shared" ref="F146:K146" si="19">F98</f>
        <v>13015</v>
      </c>
      <c r="G146" s="300">
        <f t="shared" si="19"/>
        <v>0</v>
      </c>
      <c r="H146" s="300">
        <f t="shared" si="19"/>
        <v>3474890</v>
      </c>
      <c r="I146" s="300">
        <f t="shared" si="19"/>
        <v>3327554.6639999999</v>
      </c>
      <c r="J146" s="300">
        <f t="shared" si="19"/>
        <v>2894278</v>
      </c>
      <c r="K146" s="300">
        <f t="shared" si="19"/>
        <v>3908166.6639999999</v>
      </c>
    </row>
    <row r="147" spans="1:11" ht="18" customHeight="1" x14ac:dyDescent="0.3">
      <c r="A147" s="733" t="s">
        <v>153</v>
      </c>
      <c r="B147" s="636" t="s">
        <v>61</v>
      </c>
      <c r="C147" s="742"/>
      <c r="D147" s="742"/>
      <c r="E147" s="742"/>
      <c r="F147" s="286">
        <f t="shared" ref="F147:K147" si="20">F108</f>
        <v>17964</v>
      </c>
      <c r="G147" s="286">
        <f t="shared" si="20"/>
        <v>1251</v>
      </c>
      <c r="H147" s="286">
        <f t="shared" si="20"/>
        <v>1200575</v>
      </c>
      <c r="I147" s="286">
        <f t="shared" si="20"/>
        <v>1149670.6200000001</v>
      </c>
      <c r="J147" s="286">
        <f t="shared" si="20"/>
        <v>17917</v>
      </c>
      <c r="K147" s="286">
        <f t="shared" si="20"/>
        <v>2332328.62</v>
      </c>
    </row>
    <row r="148" spans="1:11" ht="18" customHeight="1" x14ac:dyDescent="0.3">
      <c r="A148" s="733" t="s">
        <v>155</v>
      </c>
      <c r="B148" s="636" t="s">
        <v>70</v>
      </c>
      <c r="C148" s="742"/>
      <c r="D148" s="742"/>
      <c r="E148" s="742"/>
      <c r="F148" s="301" t="s">
        <v>73</v>
      </c>
      <c r="G148" s="301" t="s">
        <v>73</v>
      </c>
      <c r="H148" s="302" t="s">
        <v>73</v>
      </c>
      <c r="I148" s="302" t="s">
        <v>73</v>
      </c>
      <c r="J148" s="302" t="s">
        <v>73</v>
      </c>
      <c r="K148" s="296">
        <f>F111</f>
        <v>675245</v>
      </c>
    </row>
    <row r="149" spans="1:11" ht="18" customHeight="1" x14ac:dyDescent="0.3">
      <c r="A149" s="733" t="s">
        <v>163</v>
      </c>
      <c r="B149" s="636" t="s">
        <v>71</v>
      </c>
      <c r="C149" s="742"/>
      <c r="D149" s="742"/>
      <c r="E149" s="742"/>
      <c r="F149" s="286">
        <f t="shared" ref="F149:K149" si="21">F137</f>
        <v>72496</v>
      </c>
      <c r="G149" s="286">
        <f t="shared" si="21"/>
        <v>15121</v>
      </c>
      <c r="H149" s="286">
        <f t="shared" si="21"/>
        <v>2622816</v>
      </c>
      <c r="I149" s="286">
        <f t="shared" si="21"/>
        <v>0</v>
      </c>
      <c r="J149" s="286">
        <f t="shared" si="21"/>
        <v>1963929</v>
      </c>
      <c r="K149" s="286">
        <f t="shared" si="21"/>
        <v>658887</v>
      </c>
    </row>
    <row r="150" spans="1:11" ht="18" customHeight="1" x14ac:dyDescent="0.3">
      <c r="A150" s="733" t="s">
        <v>185</v>
      </c>
      <c r="B150" s="636" t="s">
        <v>186</v>
      </c>
      <c r="C150" s="742"/>
      <c r="D150" s="742"/>
      <c r="E150" s="742"/>
      <c r="F150" s="301" t="s">
        <v>73</v>
      </c>
      <c r="G150" s="301" t="s">
        <v>73</v>
      </c>
      <c r="H150" s="286">
        <f>H18</f>
        <v>2665171</v>
      </c>
      <c r="I150" s="286">
        <f>I18</f>
        <v>0</v>
      </c>
      <c r="J150" s="286">
        <f>J18</f>
        <v>2252596</v>
      </c>
      <c r="K150" s="286">
        <f>K18</f>
        <v>412575</v>
      </c>
    </row>
    <row r="151" spans="1:11" ht="18" customHeight="1" x14ac:dyDescent="0.3">
      <c r="A151" s="742"/>
      <c r="B151" s="636"/>
      <c r="C151" s="742"/>
      <c r="D151" s="742"/>
      <c r="E151" s="742"/>
      <c r="F151" s="304"/>
      <c r="G151" s="304"/>
      <c r="H151" s="304"/>
      <c r="I151" s="304"/>
      <c r="J151" s="304"/>
      <c r="K151" s="304"/>
    </row>
    <row r="152" spans="1:11" ht="18" customHeight="1" x14ac:dyDescent="0.3">
      <c r="A152" s="639" t="s">
        <v>165</v>
      </c>
      <c r="B152" s="636" t="s">
        <v>26</v>
      </c>
      <c r="C152" s="742"/>
      <c r="D152" s="742"/>
      <c r="E152" s="742"/>
      <c r="F152" s="305">
        <f t="shared" ref="F152:K152" si="22">SUM(F141:F150)</f>
        <v>378571</v>
      </c>
      <c r="G152" s="305">
        <f t="shared" si="22"/>
        <v>406400</v>
      </c>
      <c r="H152" s="305">
        <f t="shared" si="22"/>
        <v>19625724</v>
      </c>
      <c r="I152" s="305">
        <f t="shared" si="22"/>
        <v>13208581.864800002</v>
      </c>
      <c r="J152" s="305">
        <f t="shared" si="22"/>
        <v>15956017</v>
      </c>
      <c r="K152" s="305">
        <f t="shared" si="22"/>
        <v>17553533.864799999</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310">
        <f>K152/F121</f>
        <v>0.15524741956264948</v>
      </c>
      <c r="G154" s="742"/>
      <c r="H154" s="742"/>
      <c r="I154" s="742"/>
      <c r="J154" s="742"/>
      <c r="K154" s="742"/>
    </row>
    <row r="155" spans="1:11" ht="18" customHeight="1" x14ac:dyDescent="0.3">
      <c r="A155" s="639" t="s">
        <v>169</v>
      </c>
      <c r="B155" s="636" t="s">
        <v>72</v>
      </c>
      <c r="C155" s="742"/>
      <c r="D155" s="742"/>
      <c r="E155" s="742"/>
      <c r="F155" s="310">
        <f>K152/F127</f>
        <v>-7.280255759181955</v>
      </c>
      <c r="G155" s="636"/>
      <c r="H155" s="742"/>
      <c r="I155" s="742"/>
      <c r="J155" s="742"/>
      <c r="K155" s="742"/>
    </row>
    <row r="156" spans="1:11" ht="18" customHeight="1" x14ac:dyDescent="0.3">
      <c r="A156" s="264"/>
      <c r="B156" s="264"/>
      <c r="C156" s="264"/>
      <c r="D156" s="264"/>
      <c r="E156" s="264"/>
      <c r="F156" s="264"/>
      <c r="G156" s="265"/>
      <c r="H156" s="264"/>
      <c r="I156" s="264"/>
      <c r="J156" s="264"/>
      <c r="K156" s="264"/>
    </row>
  </sheetData>
  <sheetProtection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paperSize="5" scale="75" fitToHeight="0"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16" workbookViewId="0"/>
  </sheetViews>
  <sheetFormatPr defaultRowHeight="12.5" x14ac:dyDescent="0.25"/>
  <cols>
    <col min="1" max="1" width="11.7265625" bestFit="1" customWidth="1"/>
    <col min="2" max="2" width="32.81640625" customWidth="1"/>
    <col min="3" max="3" width="14.453125" customWidth="1"/>
  </cols>
  <sheetData>
    <row r="1" spans="1:3" s="742" customFormat="1" ht="14.5" x14ac:dyDescent="0.35">
      <c r="A1" s="1301" t="s">
        <v>895</v>
      </c>
    </row>
    <row r="2" spans="1:3" ht="14.5" x14ac:dyDescent="0.35">
      <c r="A2" s="1291" t="s">
        <v>889</v>
      </c>
      <c r="B2" s="1291" t="s">
        <v>206</v>
      </c>
      <c r="C2" s="1291" t="s">
        <v>70</v>
      </c>
    </row>
    <row r="3" spans="1:3" ht="14.5" x14ac:dyDescent="0.35">
      <c r="A3" s="1250">
        <v>1</v>
      </c>
      <c r="B3" s="1250" t="s">
        <v>659</v>
      </c>
      <c r="C3" s="1251">
        <v>5542695.8495827625</v>
      </c>
    </row>
    <row r="4" spans="1:3" ht="14.5" x14ac:dyDescent="0.35">
      <c r="A4" s="1250" t="s">
        <v>882</v>
      </c>
      <c r="B4" s="1250" t="s">
        <v>883</v>
      </c>
      <c r="C4" s="1251">
        <v>13493926.50710593</v>
      </c>
    </row>
    <row r="5" spans="1:3" ht="14.5" x14ac:dyDescent="0.35">
      <c r="A5" s="1250">
        <v>3</v>
      </c>
      <c r="B5" s="1250" t="s">
        <v>660</v>
      </c>
      <c r="C5" s="1251">
        <v>10629273.472930619</v>
      </c>
    </row>
    <row r="6" spans="1:3" ht="14.5" x14ac:dyDescent="0.35">
      <c r="A6" s="1250">
        <v>4</v>
      </c>
      <c r="B6" s="1250" t="s">
        <v>661</v>
      </c>
      <c r="C6" s="1251">
        <v>27292402.81466544</v>
      </c>
    </row>
    <row r="7" spans="1:3" ht="14.5" x14ac:dyDescent="0.35">
      <c r="A7" s="1250">
        <v>5</v>
      </c>
      <c r="B7" s="1250" t="s">
        <v>662</v>
      </c>
      <c r="C7" s="1251">
        <v>6904878.6822715523</v>
      </c>
    </row>
    <row r="8" spans="1:3" ht="14.5" x14ac:dyDescent="0.35">
      <c r="A8" s="1250">
        <v>6</v>
      </c>
      <c r="B8" s="1250" t="s">
        <v>663</v>
      </c>
      <c r="C8" s="1251">
        <v>2096121.0420276222</v>
      </c>
    </row>
    <row r="9" spans="1:3" ht="14.5" x14ac:dyDescent="0.35">
      <c r="A9" s="1250">
        <v>8</v>
      </c>
      <c r="B9" s="1250" t="s">
        <v>664</v>
      </c>
      <c r="C9" s="1251">
        <v>18749304.886954721</v>
      </c>
    </row>
    <row r="10" spans="1:3" ht="14.5" x14ac:dyDescent="0.35">
      <c r="A10" s="1250">
        <v>9</v>
      </c>
      <c r="B10" s="1250" t="s">
        <v>665</v>
      </c>
      <c r="C10" s="1251">
        <v>24954380.842761423</v>
      </c>
    </row>
    <row r="11" spans="1:3" ht="14.5" x14ac:dyDescent="0.35">
      <c r="A11" s="1250">
        <v>10</v>
      </c>
      <c r="B11" s="1250" t="s">
        <v>666</v>
      </c>
      <c r="C11" s="1251">
        <v>783716.15090987051</v>
      </c>
    </row>
    <row r="12" spans="1:3" ht="14.5" x14ac:dyDescent="0.35">
      <c r="A12" s="1250">
        <v>11</v>
      </c>
      <c r="B12" s="1250" t="s">
        <v>667</v>
      </c>
      <c r="C12" s="1251">
        <v>27150173.158867747</v>
      </c>
    </row>
    <row r="13" spans="1:3" ht="14.5" x14ac:dyDescent="0.35">
      <c r="A13" s="1252">
        <v>12</v>
      </c>
      <c r="B13" s="1252" t="s">
        <v>668</v>
      </c>
      <c r="C13" s="1251">
        <v>8472594.4311740473</v>
      </c>
    </row>
    <row r="14" spans="1:3" ht="14.5" x14ac:dyDescent="0.35">
      <c r="A14" s="1250">
        <v>13</v>
      </c>
      <c r="B14" s="1250" t="s">
        <v>200</v>
      </c>
      <c r="C14" s="1251">
        <v>899677.67436526262</v>
      </c>
    </row>
    <row r="15" spans="1:3" ht="14.5" x14ac:dyDescent="0.35">
      <c r="A15" s="1250">
        <v>15</v>
      </c>
      <c r="B15" s="1250" t="s">
        <v>669</v>
      </c>
      <c r="C15" s="1251">
        <v>6811737.4396060817</v>
      </c>
    </row>
    <row r="16" spans="1:3" ht="14.5" x14ac:dyDescent="0.35">
      <c r="A16" s="1253" t="s">
        <v>670</v>
      </c>
      <c r="B16" s="1252" t="s">
        <v>671</v>
      </c>
      <c r="C16" s="1251">
        <v>8684110.9670214318</v>
      </c>
    </row>
    <row r="17" spans="1:3" ht="14.5" x14ac:dyDescent="0.35">
      <c r="A17" s="1250">
        <v>17</v>
      </c>
      <c r="B17" s="1250" t="s">
        <v>672</v>
      </c>
      <c r="C17" s="1251">
        <v>1546472.6635383181</v>
      </c>
    </row>
    <row r="18" spans="1:3" ht="14.5" x14ac:dyDescent="0.35">
      <c r="A18" s="1250">
        <v>18</v>
      </c>
      <c r="B18" s="1250" t="s">
        <v>673</v>
      </c>
      <c r="C18" s="1251">
        <v>1992944.4859633246</v>
      </c>
    </row>
    <row r="19" spans="1:3" ht="14.5" x14ac:dyDescent="0.35">
      <c r="A19" s="1250">
        <v>19</v>
      </c>
      <c r="B19" s="1250" t="s">
        <v>674</v>
      </c>
      <c r="C19" s="1251">
        <v>6620688.7725204509</v>
      </c>
    </row>
    <row r="20" spans="1:3" ht="14.5" x14ac:dyDescent="0.35">
      <c r="A20" s="1250">
        <v>22</v>
      </c>
      <c r="B20" s="1250" t="s">
        <v>675</v>
      </c>
      <c r="C20" s="1251">
        <v>3502959.7919147336</v>
      </c>
    </row>
    <row r="21" spans="1:3" ht="14.5" x14ac:dyDescent="0.35">
      <c r="A21" s="1250">
        <v>23</v>
      </c>
      <c r="B21" s="1250" t="s">
        <v>676</v>
      </c>
      <c r="C21" s="1251">
        <v>6335939.2152677672</v>
      </c>
    </row>
    <row r="22" spans="1:3" ht="14.5" x14ac:dyDescent="0.35">
      <c r="A22" s="1250">
        <v>24</v>
      </c>
      <c r="B22" s="1250" t="s">
        <v>677</v>
      </c>
      <c r="C22" s="1251">
        <v>6771319.7197030867</v>
      </c>
    </row>
    <row r="23" spans="1:3" ht="14.5" x14ac:dyDescent="0.35">
      <c r="A23" s="1250">
        <v>27</v>
      </c>
      <c r="B23" s="1250" t="s">
        <v>678</v>
      </c>
      <c r="C23" s="1251">
        <v>10457098.625142777</v>
      </c>
    </row>
    <row r="24" spans="1:3" ht="14.5" x14ac:dyDescent="0.35">
      <c r="A24" s="1250">
        <v>28</v>
      </c>
      <c r="B24" s="1250" t="s">
        <v>679</v>
      </c>
      <c r="C24" s="1251">
        <v>3683181.212102381</v>
      </c>
    </row>
    <row r="25" spans="1:3" ht="14.5" x14ac:dyDescent="0.35">
      <c r="A25" s="1250">
        <v>29</v>
      </c>
      <c r="B25" s="1250" t="s">
        <v>680</v>
      </c>
      <c r="C25" s="1251">
        <v>26088029.075192656</v>
      </c>
    </row>
    <row r="26" spans="1:3" ht="14.5" x14ac:dyDescent="0.35">
      <c r="A26" s="1250">
        <v>30</v>
      </c>
      <c r="B26" s="1250" t="s">
        <v>681</v>
      </c>
      <c r="C26" s="1251">
        <v>426072.81436703552</v>
      </c>
    </row>
    <row r="27" spans="1:3" ht="14.5" x14ac:dyDescent="0.35">
      <c r="A27" s="1250">
        <v>32</v>
      </c>
      <c r="B27" s="1250" t="s">
        <v>682</v>
      </c>
      <c r="C27" s="1251">
        <v>1727205.6131240712</v>
      </c>
    </row>
    <row r="28" spans="1:3" ht="14.5" x14ac:dyDescent="0.35">
      <c r="A28" s="1250">
        <v>33</v>
      </c>
      <c r="B28" s="1250" t="s">
        <v>557</v>
      </c>
      <c r="C28" s="1251">
        <v>1221585.5947425624</v>
      </c>
    </row>
    <row r="29" spans="1:3" ht="14.5" x14ac:dyDescent="0.35">
      <c r="A29" s="1250">
        <v>34</v>
      </c>
      <c r="B29" s="1250" t="s">
        <v>683</v>
      </c>
      <c r="C29" s="1251">
        <v>3417876.3852448049</v>
      </c>
    </row>
    <row r="30" spans="1:3" ht="14.5" x14ac:dyDescent="0.35">
      <c r="A30" s="1250">
        <v>35</v>
      </c>
      <c r="B30" s="1250" t="s">
        <v>684</v>
      </c>
      <c r="C30" s="1251">
        <v>1706659.2956248899</v>
      </c>
    </row>
    <row r="31" spans="1:3" ht="14.5" x14ac:dyDescent="0.35">
      <c r="A31" s="1250">
        <v>37</v>
      </c>
      <c r="B31" s="1250" t="s">
        <v>685</v>
      </c>
      <c r="C31" s="1251">
        <v>3734948.6340692933</v>
      </c>
    </row>
    <row r="32" spans="1:3" ht="14.5" x14ac:dyDescent="0.35">
      <c r="A32" s="1250">
        <v>38</v>
      </c>
      <c r="B32" s="1250" t="s">
        <v>686</v>
      </c>
      <c r="C32" s="1251">
        <v>5629152.9945777021</v>
      </c>
    </row>
    <row r="33" spans="1:3" ht="14.5" x14ac:dyDescent="0.35">
      <c r="A33" s="1250">
        <v>39</v>
      </c>
      <c r="B33" s="1250" t="s">
        <v>687</v>
      </c>
      <c r="C33" s="1251">
        <v>2176000.3293265798</v>
      </c>
    </row>
    <row r="34" spans="1:3" ht="14.5" x14ac:dyDescent="0.35">
      <c r="A34" s="1250">
        <v>40</v>
      </c>
      <c r="B34" s="1250" t="s">
        <v>688</v>
      </c>
      <c r="C34" s="1251">
        <v>3595002.9296501488</v>
      </c>
    </row>
    <row r="35" spans="1:3" ht="14.5" x14ac:dyDescent="0.35">
      <c r="A35" s="1254">
        <v>43</v>
      </c>
      <c r="B35" s="1255" t="s">
        <v>689</v>
      </c>
      <c r="C35" s="1251">
        <v>5938598.2923664059</v>
      </c>
    </row>
    <row r="36" spans="1:3" ht="14.5" x14ac:dyDescent="0.35">
      <c r="A36" s="1250">
        <v>44</v>
      </c>
      <c r="B36" s="1250" t="s">
        <v>201</v>
      </c>
      <c r="C36" s="1251">
        <v>1604159.2999321388</v>
      </c>
    </row>
    <row r="37" spans="1:3" ht="14.5" x14ac:dyDescent="0.35">
      <c r="A37" s="1250">
        <v>45</v>
      </c>
      <c r="B37" s="1250" t="s">
        <v>202</v>
      </c>
      <c r="C37" s="1251">
        <v>367193.8637096085</v>
      </c>
    </row>
    <row r="38" spans="1:3" ht="14.5" x14ac:dyDescent="0.35">
      <c r="A38" s="1250">
        <v>48</v>
      </c>
      <c r="B38" s="1250" t="s">
        <v>690</v>
      </c>
      <c r="C38" s="1251">
        <v>5158529.8507885169</v>
      </c>
    </row>
    <row r="39" spans="1:3" ht="14.5" x14ac:dyDescent="0.35">
      <c r="A39" s="1250">
        <v>49</v>
      </c>
      <c r="B39" s="1250" t="s">
        <v>691</v>
      </c>
      <c r="C39" s="1251">
        <v>3839873.4652191037</v>
      </c>
    </row>
    <row r="40" spans="1:3" ht="14.5" x14ac:dyDescent="0.35">
      <c r="A40" s="1250">
        <v>51</v>
      </c>
      <c r="B40" s="1250" t="s">
        <v>267</v>
      </c>
      <c r="C40" s="1251">
        <v>9468194.4903888032</v>
      </c>
    </row>
    <row r="41" spans="1:3" ht="14.5" x14ac:dyDescent="0.35">
      <c r="A41" s="1250">
        <v>55</v>
      </c>
      <c r="B41" s="1250" t="s">
        <v>692</v>
      </c>
      <c r="C41" s="1251">
        <v>2371907.1430248367</v>
      </c>
    </row>
    <row r="42" spans="1:3" ht="14.5" x14ac:dyDescent="0.35">
      <c r="A42" s="1256" t="s">
        <v>693</v>
      </c>
      <c r="B42" s="1250" t="s">
        <v>694</v>
      </c>
      <c r="C42" s="1251">
        <v>768541.8120830484</v>
      </c>
    </row>
    <row r="43" spans="1:3" ht="14.5" x14ac:dyDescent="0.35">
      <c r="A43" s="1252">
        <v>61</v>
      </c>
      <c r="B43" s="1252" t="s">
        <v>203</v>
      </c>
      <c r="C43" s="1251">
        <v>2316358.6923045204</v>
      </c>
    </row>
    <row r="44" spans="1:3" ht="14.5" x14ac:dyDescent="0.35">
      <c r="A44" s="1250">
        <v>62</v>
      </c>
      <c r="B44" s="1250" t="s">
        <v>695</v>
      </c>
      <c r="C44" s="1251">
        <v>4022183.8521267506</v>
      </c>
    </row>
    <row r="45" spans="1:3" ht="14.5" x14ac:dyDescent="0.35">
      <c r="A45" s="1250">
        <v>63</v>
      </c>
      <c r="B45" s="1250" t="s">
        <v>271</v>
      </c>
      <c r="C45" s="1251">
        <v>6174750.3150373138</v>
      </c>
    </row>
    <row r="46" spans="1:3" ht="14.5" x14ac:dyDescent="0.35">
      <c r="A46" s="1250">
        <v>64</v>
      </c>
      <c r="B46" s="1250" t="s">
        <v>207</v>
      </c>
      <c r="C46" s="1251">
        <v>0</v>
      </c>
    </row>
    <row r="47" spans="1:3" s="742" customFormat="1" ht="14.5" x14ac:dyDescent="0.35">
      <c r="A47" s="1250">
        <v>65</v>
      </c>
      <c r="B47" s="1250" t="s">
        <v>880</v>
      </c>
      <c r="C47" s="1251">
        <v>3092349.2001632857</v>
      </c>
    </row>
    <row r="48" spans="1:3" ht="14.5" x14ac:dyDescent="0.35">
      <c r="A48" s="1250">
        <v>2001</v>
      </c>
      <c r="B48" s="1250" t="s">
        <v>696</v>
      </c>
      <c r="C48" s="1251">
        <v>0</v>
      </c>
    </row>
    <row r="49" spans="1:3" ht="14.5" x14ac:dyDescent="0.35">
      <c r="A49" s="1250">
        <v>2004</v>
      </c>
      <c r="B49" s="1250" t="s">
        <v>274</v>
      </c>
      <c r="C49" s="1251">
        <v>4560785.4201419884</v>
      </c>
    </row>
    <row r="50" spans="1:3" ht="14.5" x14ac:dyDescent="0.35">
      <c r="A50" s="1253" t="s">
        <v>697</v>
      </c>
      <c r="B50" s="1252" t="s">
        <v>698</v>
      </c>
      <c r="C50" s="1251">
        <v>4797542.3124583112</v>
      </c>
    </row>
    <row r="51" spans="1:3" x14ac:dyDescent="0.25">
      <c r="A51" s="1257"/>
      <c r="B51" s="1257"/>
      <c r="C51" s="1258">
        <f>SUM(C3:C50)</f>
        <v>307579100.08206183</v>
      </c>
    </row>
  </sheetData>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158"/>
  <sheetViews>
    <sheetView zoomScale="85" zoomScaleNormal="85" workbookViewId="0">
      <selection activeCell="B25" sqref="B25"/>
    </sheetView>
  </sheetViews>
  <sheetFormatPr defaultColWidth="9.26953125" defaultRowHeight="18" customHeight="1" x14ac:dyDescent="0.3"/>
  <cols>
    <col min="1" max="1" width="8.26953125" style="103" customWidth="1"/>
    <col min="2" max="2" width="55.453125" style="104" bestFit="1" customWidth="1"/>
    <col min="3" max="3" width="9.54296875" style="104" customWidth="1"/>
    <col min="4" max="4" width="9.26953125" style="104"/>
    <col min="5" max="5" width="12.453125" style="104" customWidth="1"/>
    <col min="6" max="6" width="18.54296875" style="104" customWidth="1"/>
    <col min="7" max="7" width="23.54296875" style="104" customWidth="1"/>
    <col min="8" max="8" width="17.26953125" style="104" customWidth="1"/>
    <col min="9" max="9" width="21.26953125" style="104" customWidth="1"/>
    <col min="10" max="10" width="19.7265625" style="104" customWidth="1"/>
    <col min="11" max="11" width="17.54296875" style="104" customWidth="1"/>
    <col min="12" max="12" width="9.26953125" style="104"/>
    <col min="13" max="13" width="10.7265625" style="104" bestFit="1" customWidth="1"/>
    <col min="14" max="16384" width="9.26953125" style="104"/>
  </cols>
  <sheetData>
    <row r="1" spans="1:11" ht="18" customHeight="1" x14ac:dyDescent="0.3">
      <c r="A1" s="633"/>
      <c r="B1" s="742"/>
      <c r="C1" s="638"/>
      <c r="D1" s="637"/>
      <c r="E1" s="638"/>
      <c r="F1" s="638"/>
      <c r="G1" s="638"/>
      <c r="H1" s="638"/>
      <c r="I1" s="638"/>
      <c r="J1" s="638"/>
      <c r="K1" s="638"/>
    </row>
    <row r="2" spans="1:11" ht="18" customHeight="1" x14ac:dyDescent="0.35">
      <c r="A2" s="633"/>
      <c r="B2" s="742"/>
      <c r="C2" s="742"/>
      <c r="D2" s="1360" t="s">
        <v>700</v>
      </c>
      <c r="E2" s="1462"/>
      <c r="F2" s="1462"/>
      <c r="G2" s="1462"/>
      <c r="H2" s="1462"/>
      <c r="I2" s="742"/>
      <c r="J2" s="742"/>
      <c r="K2" s="742"/>
    </row>
    <row r="3" spans="1:11" ht="18" customHeight="1" x14ac:dyDescent="0.3">
      <c r="A3" s="633"/>
      <c r="B3" s="636" t="s">
        <v>0</v>
      </c>
      <c r="C3" s="742"/>
      <c r="D3" s="742"/>
      <c r="E3" s="742"/>
      <c r="F3" s="742"/>
      <c r="G3" s="742"/>
      <c r="H3" s="742"/>
      <c r="I3" s="742"/>
      <c r="J3" s="742"/>
      <c r="K3" s="742"/>
    </row>
    <row r="4" spans="1:11" ht="18" customHeight="1" x14ac:dyDescent="0.3">
      <c r="A4" s="633"/>
      <c r="B4" s="742"/>
      <c r="C4" s="742"/>
      <c r="D4" s="742"/>
      <c r="E4" s="742"/>
      <c r="F4" s="742"/>
      <c r="G4" s="742"/>
      <c r="H4" s="742"/>
      <c r="I4" s="742"/>
      <c r="J4" s="742"/>
      <c r="K4" s="742"/>
    </row>
    <row r="5" spans="1:11" ht="18" customHeight="1" x14ac:dyDescent="0.3">
      <c r="A5" s="633"/>
      <c r="B5" s="733" t="s">
        <v>40</v>
      </c>
      <c r="C5" s="1361" t="s">
        <v>545</v>
      </c>
      <c r="D5" s="1463"/>
      <c r="E5" s="1463"/>
      <c r="F5" s="1463"/>
      <c r="G5" s="1464"/>
      <c r="H5" s="742"/>
      <c r="I5" s="742"/>
      <c r="J5" s="742"/>
      <c r="K5" s="742"/>
    </row>
    <row r="6" spans="1:11" ht="18" customHeight="1" x14ac:dyDescent="0.3">
      <c r="A6" s="633"/>
      <c r="B6" s="733" t="s">
        <v>3</v>
      </c>
      <c r="C6" s="1365">
        <v>210015</v>
      </c>
      <c r="D6" s="1465"/>
      <c r="E6" s="1465"/>
      <c r="F6" s="1465"/>
      <c r="G6" s="1466"/>
      <c r="H6" s="742"/>
      <c r="I6" s="742"/>
      <c r="J6" s="742"/>
      <c r="K6" s="742"/>
    </row>
    <row r="7" spans="1:11" ht="18" customHeight="1" x14ac:dyDescent="0.3">
      <c r="A7" s="633"/>
      <c r="B7" s="733" t="s">
        <v>4</v>
      </c>
      <c r="C7" s="1368">
        <v>3225</v>
      </c>
      <c r="D7" s="1467"/>
      <c r="E7" s="1467"/>
      <c r="F7" s="1467"/>
      <c r="G7" s="1468"/>
      <c r="H7" s="742"/>
      <c r="I7" s="742"/>
      <c r="J7" s="742"/>
      <c r="K7" s="742"/>
    </row>
    <row r="8" spans="1:11" ht="18" customHeight="1" x14ac:dyDescent="0.3">
      <c r="A8" s="633"/>
      <c r="B8" s="742"/>
      <c r="C8" s="742"/>
      <c r="D8" s="742"/>
      <c r="E8" s="742"/>
      <c r="F8" s="742"/>
      <c r="G8" s="742"/>
      <c r="H8" s="742"/>
      <c r="I8" s="742"/>
      <c r="J8" s="742"/>
      <c r="K8" s="742"/>
    </row>
    <row r="9" spans="1:11" ht="18" customHeight="1" x14ac:dyDescent="0.3">
      <c r="A9" s="633"/>
      <c r="B9" s="733" t="s">
        <v>1</v>
      </c>
      <c r="C9" s="1361" t="s">
        <v>614</v>
      </c>
      <c r="D9" s="1362"/>
      <c r="E9" s="1362"/>
      <c r="F9" s="1362"/>
      <c r="G9" s="1364"/>
      <c r="H9" s="742"/>
      <c r="I9" s="742"/>
      <c r="J9" s="742"/>
      <c r="K9" s="742"/>
    </row>
    <row r="10" spans="1:11" ht="18" customHeight="1" x14ac:dyDescent="0.3">
      <c r="A10" s="633"/>
      <c r="B10" s="733" t="s">
        <v>2</v>
      </c>
      <c r="C10" s="1371" t="s">
        <v>615</v>
      </c>
      <c r="D10" s="1372"/>
      <c r="E10" s="1372"/>
      <c r="F10" s="1372"/>
      <c r="G10" s="1373"/>
      <c r="H10" s="742"/>
      <c r="I10" s="742"/>
      <c r="J10" s="742"/>
      <c r="K10" s="742"/>
    </row>
    <row r="11" spans="1:11" ht="18" customHeight="1" x14ac:dyDescent="0.3">
      <c r="A11" s="633"/>
      <c r="B11" s="733" t="s">
        <v>32</v>
      </c>
      <c r="C11" s="1361" t="s">
        <v>616</v>
      </c>
      <c r="D11" s="1362"/>
      <c r="E11" s="1362"/>
      <c r="F11" s="1362"/>
      <c r="G11" s="1362"/>
      <c r="H11" s="742"/>
      <c r="I11" s="742"/>
      <c r="J11" s="742"/>
      <c r="K11" s="742"/>
    </row>
    <row r="12" spans="1:11" ht="18" customHeight="1" x14ac:dyDescent="0.3">
      <c r="A12" s="633"/>
      <c r="B12" s="733"/>
      <c r="C12" s="733"/>
      <c r="D12" s="733"/>
      <c r="E12" s="733"/>
      <c r="F12" s="733"/>
      <c r="G12" s="733"/>
      <c r="H12" s="742"/>
      <c r="I12" s="742"/>
      <c r="J12" s="742"/>
      <c r="K12" s="742"/>
    </row>
    <row r="13" spans="1:11" ht="18" customHeight="1" x14ac:dyDescent="0.3">
      <c r="A13" s="633"/>
      <c r="B13" s="1363"/>
      <c r="C13" s="1469"/>
      <c r="D13" s="1469"/>
      <c r="E13" s="1469"/>
      <c r="F13" s="1469"/>
      <c r="G13" s="1469"/>
      <c r="H13" s="1470"/>
      <c r="I13" s="638"/>
      <c r="J13" s="742"/>
      <c r="K13" s="742"/>
    </row>
    <row r="14" spans="1:11" ht="18" customHeight="1" x14ac:dyDescent="0.3">
      <c r="A14" s="633"/>
      <c r="B14" s="640"/>
      <c r="C14" s="742"/>
      <c r="D14" s="742"/>
      <c r="E14" s="742"/>
      <c r="F14" s="742"/>
      <c r="G14" s="742"/>
      <c r="H14" s="742"/>
      <c r="I14" s="742"/>
      <c r="J14" s="742"/>
      <c r="K14" s="742"/>
    </row>
    <row r="15" spans="1:11" ht="9.75" customHeight="1" x14ac:dyDescent="0.3">
      <c r="A15" s="633"/>
      <c r="B15" s="640"/>
      <c r="C15" s="742"/>
      <c r="D15" s="742"/>
      <c r="E15" s="742"/>
      <c r="F15" s="742"/>
      <c r="G15" s="742"/>
      <c r="H15" s="742"/>
      <c r="I15" s="742"/>
      <c r="J15" s="742"/>
      <c r="K15" s="742"/>
    </row>
    <row r="16" spans="1:11" ht="34.5" customHeight="1" x14ac:dyDescent="0.3">
      <c r="A16" s="637" t="s">
        <v>181</v>
      </c>
      <c r="B16" s="638"/>
      <c r="C16" s="638"/>
      <c r="D16" s="638"/>
      <c r="E16" s="63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45" customHeight="1" x14ac:dyDescent="0.3">
      <c r="A18" s="733" t="s">
        <v>185</v>
      </c>
      <c r="B18" s="635" t="s">
        <v>183</v>
      </c>
      <c r="C18" s="742"/>
      <c r="D18" s="742"/>
      <c r="E18" s="742"/>
      <c r="F18" s="646" t="s">
        <v>73</v>
      </c>
      <c r="G18" s="646" t="s">
        <v>73</v>
      </c>
      <c r="H18" s="647">
        <v>11468053</v>
      </c>
      <c r="I18" s="673">
        <v>0</v>
      </c>
      <c r="J18" s="647">
        <v>9692768</v>
      </c>
      <c r="K18" s="648">
        <f>(H18+I18)-J18</f>
        <v>1775285</v>
      </c>
    </row>
    <row r="19" spans="1:11" ht="18" customHeight="1" x14ac:dyDescent="0.3">
      <c r="A19" s="637" t="s">
        <v>8</v>
      </c>
      <c r="B19" s="638"/>
      <c r="C19" s="638"/>
      <c r="D19" s="638"/>
      <c r="E19" s="63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45" customHeight="1" x14ac:dyDescent="0.3">
      <c r="A21" s="733" t="s">
        <v>75</v>
      </c>
      <c r="B21" s="635" t="s">
        <v>42</v>
      </c>
      <c r="C21" s="742"/>
      <c r="D21" s="742"/>
      <c r="E21" s="742"/>
      <c r="F21" s="646">
        <v>5003</v>
      </c>
      <c r="G21" s="646">
        <v>2749</v>
      </c>
      <c r="H21" s="647">
        <v>243637</v>
      </c>
      <c r="I21" s="673">
        <v>164184</v>
      </c>
      <c r="J21" s="647">
        <v>128337</v>
      </c>
      <c r="K21" s="648">
        <f t="shared" ref="K21:K34" si="0">(H21+I21)-J21</f>
        <v>279484</v>
      </c>
    </row>
    <row r="22" spans="1:11" ht="18" customHeight="1" x14ac:dyDescent="0.3">
      <c r="A22" s="733" t="s">
        <v>76</v>
      </c>
      <c r="B22" s="742" t="s">
        <v>6</v>
      </c>
      <c r="C22" s="742"/>
      <c r="D22" s="742"/>
      <c r="E22" s="742"/>
      <c r="F22" s="646">
        <v>262</v>
      </c>
      <c r="G22" s="646">
        <v>861</v>
      </c>
      <c r="H22" s="647">
        <v>21511</v>
      </c>
      <c r="I22" s="673">
        <v>15079</v>
      </c>
      <c r="J22" s="647">
        <v>0</v>
      </c>
      <c r="K22" s="648">
        <f t="shared" si="0"/>
        <v>36590</v>
      </c>
    </row>
    <row r="23" spans="1:11" ht="18" customHeight="1" x14ac:dyDescent="0.3">
      <c r="A23" s="733" t="s">
        <v>77</v>
      </c>
      <c r="B23" s="742" t="s">
        <v>43</v>
      </c>
      <c r="C23" s="742"/>
      <c r="D23" s="742"/>
      <c r="E23" s="742"/>
      <c r="F23" s="646"/>
      <c r="G23" s="646"/>
      <c r="H23" s="647"/>
      <c r="I23" s="673">
        <f t="shared" ref="I23:I34" si="1">H23*F$114</f>
        <v>0</v>
      </c>
      <c r="J23" s="647"/>
      <c r="K23" s="648">
        <f t="shared" si="0"/>
        <v>0</v>
      </c>
    </row>
    <row r="24" spans="1:11" ht="18" customHeight="1" x14ac:dyDescent="0.3">
      <c r="A24" s="733" t="s">
        <v>78</v>
      </c>
      <c r="B24" s="742" t="s">
        <v>44</v>
      </c>
      <c r="C24" s="742"/>
      <c r="D24" s="742"/>
      <c r="E24" s="742"/>
      <c r="F24" s="646"/>
      <c r="G24" s="646"/>
      <c r="H24" s="647"/>
      <c r="I24" s="673"/>
      <c r="J24" s="647">
        <v>0</v>
      </c>
      <c r="K24" s="648">
        <f t="shared" si="0"/>
        <v>0</v>
      </c>
    </row>
    <row r="25" spans="1:11" ht="18" customHeight="1" x14ac:dyDescent="0.3">
      <c r="A25" s="733" t="s">
        <v>79</v>
      </c>
      <c r="B25" s="742" t="s">
        <v>5</v>
      </c>
      <c r="C25" s="742"/>
      <c r="D25" s="742"/>
      <c r="E25" s="742"/>
      <c r="F25" s="646">
        <v>6695.5</v>
      </c>
      <c r="G25" s="646">
        <v>80346</v>
      </c>
      <c r="H25" s="647">
        <v>290555</v>
      </c>
      <c r="I25" s="673">
        <v>203679</v>
      </c>
      <c r="J25" s="647">
        <v>0</v>
      </c>
      <c r="K25" s="648">
        <f t="shared" si="0"/>
        <v>494234</v>
      </c>
    </row>
    <row r="26" spans="1:11" ht="18" customHeight="1" x14ac:dyDescent="0.3">
      <c r="A26" s="733" t="s">
        <v>80</v>
      </c>
      <c r="B26" s="742" t="s">
        <v>45</v>
      </c>
      <c r="C26" s="742"/>
      <c r="D26" s="742"/>
      <c r="E26" s="742"/>
      <c r="F26" s="646">
        <v>0</v>
      </c>
      <c r="G26" s="646">
        <v>1109</v>
      </c>
      <c r="H26" s="647">
        <v>21835</v>
      </c>
      <c r="I26" s="673">
        <v>0</v>
      </c>
      <c r="J26" s="647">
        <v>0</v>
      </c>
      <c r="K26" s="648">
        <f t="shared" si="0"/>
        <v>21835</v>
      </c>
    </row>
    <row r="27" spans="1:11" ht="18" customHeight="1" x14ac:dyDescent="0.3">
      <c r="A27" s="733" t="s">
        <v>81</v>
      </c>
      <c r="B27" s="742" t="s">
        <v>46</v>
      </c>
      <c r="C27" s="742"/>
      <c r="D27" s="742"/>
      <c r="E27" s="742"/>
      <c r="F27" s="646"/>
      <c r="G27" s="646"/>
      <c r="H27" s="647"/>
      <c r="I27" s="673">
        <f t="shared" si="1"/>
        <v>0</v>
      </c>
      <c r="J27" s="647"/>
      <c r="K27" s="648">
        <f t="shared" si="0"/>
        <v>0</v>
      </c>
    </row>
    <row r="28" spans="1:11" ht="18" customHeight="1" x14ac:dyDescent="0.3">
      <c r="A28" s="733" t="s">
        <v>82</v>
      </c>
      <c r="B28" s="742" t="s">
        <v>47</v>
      </c>
      <c r="C28" s="742"/>
      <c r="D28" s="742"/>
      <c r="E28" s="742"/>
      <c r="F28" s="646"/>
      <c r="G28" s="646"/>
      <c r="H28" s="647"/>
      <c r="I28" s="673">
        <f t="shared" si="1"/>
        <v>0</v>
      </c>
      <c r="J28" s="647"/>
      <c r="K28" s="648">
        <f t="shared" si="0"/>
        <v>0</v>
      </c>
    </row>
    <row r="29" spans="1:11" ht="18" customHeight="1" x14ac:dyDescent="0.3">
      <c r="A29" s="733" t="s">
        <v>83</v>
      </c>
      <c r="B29" s="742" t="s">
        <v>48</v>
      </c>
      <c r="C29" s="742"/>
      <c r="D29" s="742"/>
      <c r="E29" s="742"/>
      <c r="F29" s="646">
        <v>0</v>
      </c>
      <c r="G29" s="646">
        <v>0</v>
      </c>
      <c r="H29" s="647">
        <v>276254</v>
      </c>
      <c r="I29" s="673">
        <v>0</v>
      </c>
      <c r="J29" s="647">
        <v>0</v>
      </c>
      <c r="K29" s="648">
        <f t="shared" si="0"/>
        <v>276254</v>
      </c>
    </row>
    <row r="30" spans="1:11" ht="18" customHeight="1" x14ac:dyDescent="0.3">
      <c r="A30" s="733" t="s">
        <v>84</v>
      </c>
      <c r="B30" s="1351" t="s">
        <v>742</v>
      </c>
      <c r="C30" s="1352"/>
      <c r="D30" s="1353"/>
      <c r="E30" s="742"/>
      <c r="F30" s="646">
        <v>10</v>
      </c>
      <c r="G30" s="646">
        <v>60</v>
      </c>
      <c r="H30" s="647">
        <v>662</v>
      </c>
      <c r="I30" s="673">
        <v>464</v>
      </c>
      <c r="J30" s="647"/>
      <c r="K30" s="648">
        <f t="shared" si="0"/>
        <v>1126</v>
      </c>
    </row>
    <row r="31" spans="1:11" ht="18" customHeight="1" x14ac:dyDescent="0.3">
      <c r="A31" s="733" t="s">
        <v>133</v>
      </c>
      <c r="B31" s="1351"/>
      <c r="C31" s="1352"/>
      <c r="D31" s="1353"/>
      <c r="E31" s="742"/>
      <c r="F31" s="646"/>
      <c r="G31" s="646"/>
      <c r="H31" s="647"/>
      <c r="I31" s="673">
        <f t="shared" si="1"/>
        <v>0</v>
      </c>
      <c r="J31" s="647"/>
      <c r="K31" s="648">
        <f t="shared" si="0"/>
        <v>0</v>
      </c>
    </row>
    <row r="32" spans="1:11" ht="18" customHeight="1" x14ac:dyDescent="0.3">
      <c r="A32" s="733" t="s">
        <v>134</v>
      </c>
      <c r="B32" s="879"/>
      <c r="C32" s="880"/>
      <c r="D32" s="881"/>
      <c r="E32" s="742"/>
      <c r="F32" s="646"/>
      <c r="G32" s="675"/>
      <c r="H32" s="647"/>
      <c r="I32" s="673">
        <f t="shared" si="1"/>
        <v>0</v>
      </c>
      <c r="J32" s="647"/>
      <c r="K32" s="648">
        <f t="shared" si="0"/>
        <v>0</v>
      </c>
    </row>
    <row r="33" spans="1:11" ht="18" customHeight="1" x14ac:dyDescent="0.3">
      <c r="A33" s="733" t="s">
        <v>135</v>
      </c>
      <c r="B33" s="879"/>
      <c r="C33" s="880"/>
      <c r="D33" s="881"/>
      <c r="E33" s="742"/>
      <c r="F33" s="646"/>
      <c r="G33" s="675"/>
      <c r="H33" s="647"/>
      <c r="I33" s="673">
        <f t="shared" si="1"/>
        <v>0</v>
      </c>
      <c r="J33" s="647"/>
      <c r="K33" s="648">
        <f t="shared" si="0"/>
        <v>0</v>
      </c>
    </row>
    <row r="34" spans="1:11" ht="18" customHeight="1" x14ac:dyDescent="0.3">
      <c r="A34" s="733" t="s">
        <v>136</v>
      </c>
      <c r="B34" s="1351"/>
      <c r="C34" s="1352"/>
      <c r="D34" s="1353"/>
      <c r="E34" s="742"/>
      <c r="F34" s="646"/>
      <c r="G34" s="675"/>
      <c r="H34" s="647"/>
      <c r="I34" s="673">
        <f t="shared" si="1"/>
        <v>0</v>
      </c>
      <c r="J34" s="647"/>
      <c r="K34" s="648">
        <f t="shared" si="0"/>
        <v>0</v>
      </c>
    </row>
    <row r="35" spans="1:11" ht="18" customHeight="1" x14ac:dyDescent="0.3">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11970.5</v>
      </c>
      <c r="G36" s="650">
        <f t="shared" si="2"/>
        <v>85125</v>
      </c>
      <c r="H36" s="650">
        <f t="shared" si="2"/>
        <v>854454</v>
      </c>
      <c r="I36" s="648">
        <f t="shared" si="2"/>
        <v>383406</v>
      </c>
      <c r="J36" s="648">
        <f t="shared" si="2"/>
        <v>128337</v>
      </c>
      <c r="K36" s="648">
        <f t="shared" si="2"/>
        <v>1109523</v>
      </c>
    </row>
    <row r="37" spans="1:11" ht="18" customHeight="1" thickBot="1" x14ac:dyDescent="0.35">
      <c r="A37" s="633"/>
      <c r="B37" s="636"/>
      <c r="C37" s="742"/>
      <c r="D37" s="742"/>
      <c r="E37" s="742"/>
      <c r="F37" s="651"/>
      <c r="G37" s="651"/>
      <c r="H37" s="652"/>
      <c r="I37" s="652"/>
      <c r="J37" s="652"/>
      <c r="K37" s="668"/>
    </row>
    <row r="38" spans="1:11" ht="18" customHeight="1" x14ac:dyDescent="0.3">
      <c r="A38" s="633"/>
      <c r="B38" s="742"/>
      <c r="C38" s="742"/>
      <c r="D38" s="742"/>
      <c r="E38" s="742"/>
      <c r="F38" s="641" t="s">
        <v>9</v>
      </c>
      <c r="G38" s="641" t="s">
        <v>37</v>
      </c>
      <c r="H38" s="641" t="s">
        <v>29</v>
      </c>
      <c r="I38" s="641" t="s">
        <v>30</v>
      </c>
      <c r="J38" s="641" t="s">
        <v>33</v>
      </c>
      <c r="K38" s="641" t="s">
        <v>34</v>
      </c>
    </row>
    <row r="39" spans="1:11" ht="18" customHeight="1" x14ac:dyDescent="0.3">
      <c r="A39" s="639" t="s">
        <v>86</v>
      </c>
      <c r="B39" s="636" t="s">
        <v>49</v>
      </c>
      <c r="C39" s="742"/>
      <c r="D39" s="742"/>
      <c r="E39" s="742"/>
      <c r="F39" s="742"/>
      <c r="G39" s="742"/>
      <c r="H39" s="742"/>
      <c r="I39" s="742"/>
      <c r="J39" s="742"/>
      <c r="K39" s="742"/>
    </row>
    <row r="40" spans="1:11" ht="42.75" customHeight="1" x14ac:dyDescent="0.3">
      <c r="A40" s="733" t="s">
        <v>87</v>
      </c>
      <c r="B40" s="742" t="s">
        <v>31</v>
      </c>
      <c r="C40" s="742"/>
      <c r="D40" s="742"/>
      <c r="E40" s="742"/>
      <c r="F40" s="646">
        <v>195947.6</v>
      </c>
      <c r="G40" s="646">
        <v>0</v>
      </c>
      <c r="H40" s="647">
        <v>12197747</v>
      </c>
      <c r="I40" s="673">
        <v>8325340</v>
      </c>
      <c r="J40" s="647">
        <v>0</v>
      </c>
      <c r="K40" s="648">
        <f t="shared" ref="K40:K47" si="3">(H40+I40)-J40</f>
        <v>20523087</v>
      </c>
    </row>
    <row r="41" spans="1:11" ht="18.75" customHeight="1" x14ac:dyDescent="0.3">
      <c r="A41" s="733" t="s">
        <v>88</v>
      </c>
      <c r="B41" s="1359" t="s">
        <v>50</v>
      </c>
      <c r="C41" s="1458"/>
      <c r="D41" s="742"/>
      <c r="E41" s="742"/>
      <c r="F41" s="646">
        <v>2981</v>
      </c>
      <c r="G41" s="646">
        <v>479</v>
      </c>
      <c r="H41" s="647">
        <v>166020</v>
      </c>
      <c r="I41" s="673">
        <v>114741</v>
      </c>
      <c r="J41" s="647">
        <v>0</v>
      </c>
      <c r="K41" s="648">
        <f t="shared" si="3"/>
        <v>280761</v>
      </c>
    </row>
    <row r="42" spans="1:11" ht="18" customHeight="1" x14ac:dyDescent="0.3">
      <c r="A42" s="733" t="s">
        <v>89</v>
      </c>
      <c r="B42" s="635" t="s">
        <v>11</v>
      </c>
      <c r="C42" s="742"/>
      <c r="D42" s="742"/>
      <c r="E42" s="742"/>
      <c r="F42" s="646">
        <v>1796.4</v>
      </c>
      <c r="G42" s="646">
        <v>644</v>
      </c>
      <c r="H42" s="647">
        <v>54730</v>
      </c>
      <c r="I42" s="673">
        <v>35648</v>
      </c>
      <c r="J42" s="647">
        <v>0</v>
      </c>
      <c r="K42" s="648">
        <f t="shared" si="3"/>
        <v>90378</v>
      </c>
    </row>
    <row r="43" spans="1:11" ht="18" customHeight="1" x14ac:dyDescent="0.3">
      <c r="A43" s="733" t="s">
        <v>90</v>
      </c>
      <c r="B43" s="670" t="s">
        <v>10</v>
      </c>
      <c r="C43" s="642"/>
      <c r="D43" s="642"/>
      <c r="E43" s="742"/>
      <c r="F43" s="646"/>
      <c r="G43" s="646"/>
      <c r="H43" s="647"/>
      <c r="I43" s="673">
        <v>0</v>
      </c>
      <c r="J43" s="647"/>
      <c r="K43" s="648">
        <f t="shared" si="3"/>
        <v>0</v>
      </c>
    </row>
    <row r="44" spans="1:11" ht="18" customHeight="1" x14ac:dyDescent="0.3">
      <c r="A44" s="733" t="s">
        <v>91</v>
      </c>
      <c r="B44" s="1351"/>
      <c r="C44" s="1352"/>
      <c r="D44" s="1353"/>
      <c r="E44" s="742"/>
      <c r="F44" s="677"/>
      <c r="G44" s="677"/>
      <c r="H44" s="677"/>
      <c r="I44" s="678">
        <v>0</v>
      </c>
      <c r="J44" s="677"/>
      <c r="K44" s="679">
        <f t="shared" si="3"/>
        <v>0</v>
      </c>
    </row>
    <row r="45" spans="1:11" ht="18" customHeight="1" x14ac:dyDescent="0.3">
      <c r="A45" s="733" t="s">
        <v>139</v>
      </c>
      <c r="B45" s="1351"/>
      <c r="C45" s="1352"/>
      <c r="D45" s="1353"/>
      <c r="E45" s="742"/>
      <c r="F45" s="646"/>
      <c r="G45" s="646"/>
      <c r="H45" s="647"/>
      <c r="I45" s="673">
        <v>0</v>
      </c>
      <c r="J45" s="647"/>
      <c r="K45" s="648">
        <f t="shared" si="3"/>
        <v>0</v>
      </c>
    </row>
    <row r="46" spans="1:11" ht="18" customHeight="1" x14ac:dyDescent="0.3">
      <c r="A46" s="733" t="s">
        <v>140</v>
      </c>
      <c r="B46" s="1351"/>
      <c r="C46" s="1352"/>
      <c r="D46" s="1353"/>
      <c r="E46" s="742"/>
      <c r="F46" s="646"/>
      <c r="G46" s="646"/>
      <c r="H46" s="647"/>
      <c r="I46" s="673">
        <v>0</v>
      </c>
      <c r="J46" s="647"/>
      <c r="K46" s="648">
        <f t="shared" si="3"/>
        <v>0</v>
      </c>
    </row>
    <row r="47" spans="1:11" ht="18" customHeight="1" x14ac:dyDescent="0.3">
      <c r="A47" s="733" t="s">
        <v>141</v>
      </c>
      <c r="B47" s="1351"/>
      <c r="C47" s="1352"/>
      <c r="D47" s="1353"/>
      <c r="E47" s="742"/>
      <c r="F47" s="646"/>
      <c r="G47" s="646"/>
      <c r="H47" s="647"/>
      <c r="I47" s="673">
        <v>0</v>
      </c>
      <c r="J47" s="647"/>
      <c r="K47" s="648">
        <f t="shared" si="3"/>
        <v>0</v>
      </c>
    </row>
    <row r="48" spans="1:11" ht="18" customHeight="1" x14ac:dyDescent="0.3">
      <c r="A48" s="633"/>
      <c r="B48" s="742"/>
      <c r="C48" s="742"/>
      <c r="D48" s="742"/>
      <c r="E48" s="742"/>
      <c r="F48" s="742"/>
      <c r="G48" s="742"/>
      <c r="H48" s="742"/>
      <c r="I48" s="742"/>
      <c r="J48" s="742"/>
      <c r="K48" s="742"/>
    </row>
    <row r="49" spans="1:11" ht="18" customHeight="1" x14ac:dyDescent="0.3">
      <c r="A49" s="639" t="s">
        <v>142</v>
      </c>
      <c r="B49" s="636" t="s">
        <v>143</v>
      </c>
      <c r="C49" s="742"/>
      <c r="D49" s="742"/>
      <c r="E49" s="636" t="s">
        <v>7</v>
      </c>
      <c r="F49" s="654">
        <f t="shared" ref="F49:K49" si="4">SUM(F40:F47)</f>
        <v>200725</v>
      </c>
      <c r="G49" s="654">
        <f t="shared" si="4"/>
        <v>1123</v>
      </c>
      <c r="H49" s="648">
        <f t="shared" si="4"/>
        <v>12418497</v>
      </c>
      <c r="I49" s="648">
        <f t="shared" si="4"/>
        <v>8475729</v>
      </c>
      <c r="J49" s="648">
        <f t="shared" si="4"/>
        <v>0</v>
      </c>
      <c r="K49" s="648">
        <f t="shared" si="4"/>
        <v>20894226</v>
      </c>
    </row>
    <row r="50" spans="1:11" ht="18" customHeight="1" thickBot="1" x14ac:dyDescent="0.35">
      <c r="A50" s="633"/>
      <c r="B50" s="742"/>
      <c r="C50" s="742"/>
      <c r="D50" s="742"/>
      <c r="E50" s="742"/>
      <c r="F50" s="742"/>
      <c r="G50" s="655"/>
      <c r="H50" s="655"/>
      <c r="I50" s="655"/>
      <c r="J50" s="655"/>
      <c r="K50" s="655"/>
    </row>
    <row r="51" spans="1:11" ht="18"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461"/>
      <c r="D52" s="742"/>
      <c r="E52" s="742"/>
      <c r="F52" s="742"/>
      <c r="G52" s="742"/>
      <c r="H52" s="742"/>
      <c r="I52" s="742"/>
      <c r="J52" s="742"/>
      <c r="K52" s="742"/>
    </row>
    <row r="53" spans="1:11" ht="42.75" customHeight="1" x14ac:dyDescent="0.3">
      <c r="A53" s="733" t="s">
        <v>51</v>
      </c>
      <c r="B53" s="1459" t="s">
        <v>743</v>
      </c>
      <c r="C53" s="1460"/>
      <c r="D53" s="1356"/>
      <c r="E53" s="742"/>
      <c r="F53" s="646">
        <v>0</v>
      </c>
      <c r="G53" s="646">
        <v>0</v>
      </c>
      <c r="H53" s="647">
        <v>11074591</v>
      </c>
      <c r="I53" s="673">
        <v>0</v>
      </c>
      <c r="J53" s="647">
        <v>6675259</v>
      </c>
      <c r="K53" s="648">
        <f t="shared" ref="K53:K62" si="5">(H53+I53)-J53</f>
        <v>4399332</v>
      </c>
    </row>
    <row r="54" spans="1:11" ht="18" customHeight="1" x14ac:dyDescent="0.3">
      <c r="A54" s="733" t="s">
        <v>93</v>
      </c>
      <c r="B54" s="882"/>
      <c r="C54" s="883"/>
      <c r="D54" s="884"/>
      <c r="E54" s="742"/>
      <c r="F54" s="646"/>
      <c r="G54" s="646"/>
      <c r="H54" s="647"/>
      <c r="I54" s="673">
        <v>0</v>
      </c>
      <c r="J54" s="647"/>
      <c r="K54" s="648">
        <f t="shared" si="5"/>
        <v>0</v>
      </c>
    </row>
    <row r="55" spans="1:11" ht="18" customHeight="1" x14ac:dyDescent="0.3">
      <c r="A55" s="733" t="s">
        <v>94</v>
      </c>
      <c r="B55" s="1354" t="s">
        <v>744</v>
      </c>
      <c r="C55" s="1355"/>
      <c r="D55" s="1356"/>
      <c r="E55" s="742"/>
      <c r="F55" s="646">
        <v>0</v>
      </c>
      <c r="G55" s="646">
        <v>0</v>
      </c>
      <c r="H55" s="647">
        <v>5218309</v>
      </c>
      <c r="I55" s="673">
        <v>0</v>
      </c>
      <c r="J55" s="647">
        <v>4423447</v>
      </c>
      <c r="K55" s="648">
        <f t="shared" si="5"/>
        <v>794862</v>
      </c>
    </row>
    <row r="56" spans="1:11" ht="18" customHeight="1" x14ac:dyDescent="0.3">
      <c r="A56" s="733" t="s">
        <v>95</v>
      </c>
      <c r="B56" s="1354"/>
      <c r="C56" s="1355"/>
      <c r="D56" s="1356"/>
      <c r="E56" s="742"/>
      <c r="F56" s="646"/>
      <c r="G56" s="646"/>
      <c r="H56" s="647"/>
      <c r="I56" s="673">
        <v>0</v>
      </c>
      <c r="J56" s="647"/>
      <c r="K56" s="648">
        <f t="shared" si="5"/>
        <v>0</v>
      </c>
    </row>
    <row r="57" spans="1:11" ht="18" customHeight="1" x14ac:dyDescent="0.3">
      <c r="A57" s="733" t="s">
        <v>96</v>
      </c>
      <c r="B57" s="1354" t="s">
        <v>388</v>
      </c>
      <c r="C57" s="1355"/>
      <c r="D57" s="1356"/>
      <c r="E57" s="742"/>
      <c r="F57" s="646">
        <v>0</v>
      </c>
      <c r="G57" s="646">
        <v>0</v>
      </c>
      <c r="H57" s="647">
        <v>4203344</v>
      </c>
      <c r="I57" s="673">
        <v>0</v>
      </c>
      <c r="J57" s="647">
        <v>3381340</v>
      </c>
      <c r="K57" s="648">
        <f t="shared" si="5"/>
        <v>822004</v>
      </c>
    </row>
    <row r="58" spans="1:11" ht="18" customHeight="1" x14ac:dyDescent="0.3">
      <c r="A58" s="733" t="s">
        <v>97</v>
      </c>
      <c r="B58" s="882"/>
      <c r="C58" s="883"/>
      <c r="D58" s="884"/>
      <c r="E58" s="742"/>
      <c r="F58" s="646"/>
      <c r="G58" s="646"/>
      <c r="H58" s="647"/>
      <c r="I58" s="673">
        <v>0</v>
      </c>
      <c r="J58" s="647"/>
      <c r="K58" s="648">
        <f t="shared" si="5"/>
        <v>0</v>
      </c>
    </row>
    <row r="59" spans="1:11" ht="18" customHeight="1" x14ac:dyDescent="0.3">
      <c r="A59" s="733" t="s">
        <v>98</v>
      </c>
      <c r="B59" s="1354"/>
      <c r="C59" s="1355"/>
      <c r="D59" s="1356"/>
      <c r="E59" s="742"/>
      <c r="F59" s="646"/>
      <c r="G59" s="646"/>
      <c r="H59" s="647"/>
      <c r="I59" s="673">
        <v>0</v>
      </c>
      <c r="J59" s="647"/>
      <c r="K59" s="648">
        <f t="shared" si="5"/>
        <v>0</v>
      </c>
    </row>
    <row r="60" spans="1:11" ht="18" customHeight="1" x14ac:dyDescent="0.3">
      <c r="A60" s="733" t="s">
        <v>99</v>
      </c>
      <c r="B60" s="882"/>
      <c r="C60" s="883"/>
      <c r="D60" s="884"/>
      <c r="E60" s="742"/>
      <c r="F60" s="646"/>
      <c r="G60" s="646"/>
      <c r="H60" s="647"/>
      <c r="I60" s="673">
        <v>0</v>
      </c>
      <c r="J60" s="647"/>
      <c r="K60" s="648">
        <f t="shared" si="5"/>
        <v>0</v>
      </c>
    </row>
    <row r="61" spans="1:11" ht="18" customHeight="1" x14ac:dyDescent="0.3">
      <c r="A61" s="733" t="s">
        <v>100</v>
      </c>
      <c r="B61" s="882" t="s">
        <v>476</v>
      </c>
      <c r="C61" s="883"/>
      <c r="D61" s="884"/>
      <c r="E61" s="742"/>
      <c r="F61" s="646">
        <v>0</v>
      </c>
      <c r="G61" s="646">
        <v>0</v>
      </c>
      <c r="H61" s="647">
        <v>498644</v>
      </c>
      <c r="I61" s="673">
        <v>0</v>
      </c>
      <c r="J61" s="647">
        <v>159120</v>
      </c>
      <c r="K61" s="648">
        <f t="shared" si="5"/>
        <v>339524</v>
      </c>
    </row>
    <row r="62" spans="1:11" ht="18" customHeight="1" x14ac:dyDescent="0.3">
      <c r="A62" s="733" t="s">
        <v>101</v>
      </c>
      <c r="B62" s="1354"/>
      <c r="C62" s="1355"/>
      <c r="D62" s="1356"/>
      <c r="E62" s="742"/>
      <c r="F62" s="646"/>
      <c r="G62" s="646"/>
      <c r="H62" s="647"/>
      <c r="I62" s="673">
        <v>0</v>
      </c>
      <c r="J62" s="647"/>
      <c r="K62" s="648">
        <f t="shared" si="5"/>
        <v>0</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6">SUM(F53:F62)</f>
        <v>0</v>
      </c>
      <c r="G64" s="650">
        <f t="shared" si="6"/>
        <v>0</v>
      </c>
      <c r="H64" s="648">
        <f t="shared" si="6"/>
        <v>20994888</v>
      </c>
      <c r="I64" s="648">
        <f t="shared" si="6"/>
        <v>0</v>
      </c>
      <c r="J64" s="648">
        <f t="shared" si="6"/>
        <v>14639166</v>
      </c>
      <c r="K64" s="648">
        <f t="shared" si="6"/>
        <v>6355722</v>
      </c>
    </row>
    <row r="65" spans="1:11" ht="18" customHeight="1" x14ac:dyDescent="0.3">
      <c r="A65" s="633"/>
      <c r="B65" s="742"/>
      <c r="C65" s="742"/>
      <c r="D65" s="742"/>
      <c r="E65" s="742"/>
      <c r="F65" s="671"/>
      <c r="G65" s="671"/>
      <c r="H65" s="671"/>
      <c r="I65" s="671"/>
      <c r="J65" s="671"/>
      <c r="K65" s="671"/>
    </row>
    <row r="66" spans="1:11" ht="18"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42.75" customHeight="1" x14ac:dyDescent="0.3">
      <c r="A68" s="733" t="s">
        <v>103</v>
      </c>
      <c r="B68" s="742" t="s">
        <v>52</v>
      </c>
      <c r="C68" s="742"/>
      <c r="D68" s="742"/>
      <c r="E68" s="742"/>
      <c r="F68" s="674"/>
      <c r="G68" s="674"/>
      <c r="H68" s="674"/>
      <c r="I68" s="673">
        <v>0</v>
      </c>
      <c r="J68" s="674"/>
      <c r="K68" s="648">
        <f>(H68+I68)-J68</f>
        <v>0</v>
      </c>
    </row>
    <row r="69" spans="1:11" ht="18" customHeight="1" x14ac:dyDescent="0.3">
      <c r="A69" s="733" t="s">
        <v>104</v>
      </c>
      <c r="B69" s="635" t="s">
        <v>53</v>
      </c>
      <c r="C69" s="742"/>
      <c r="D69" s="742"/>
      <c r="E69" s="742"/>
      <c r="F69" s="674"/>
      <c r="G69" s="674"/>
      <c r="H69" s="674"/>
      <c r="I69" s="673">
        <v>0</v>
      </c>
      <c r="J69" s="674"/>
      <c r="K69" s="648">
        <f>(H69+I69)-J69</f>
        <v>0</v>
      </c>
    </row>
    <row r="70" spans="1:11" ht="18" customHeight="1" x14ac:dyDescent="0.3">
      <c r="A70" s="733" t="s">
        <v>178</v>
      </c>
      <c r="B70" s="882"/>
      <c r="C70" s="883"/>
      <c r="D70" s="884"/>
      <c r="E70" s="636"/>
      <c r="F70" s="658"/>
      <c r="G70" s="658"/>
      <c r="H70" s="659"/>
      <c r="I70" s="673">
        <v>0</v>
      </c>
      <c r="J70" s="659"/>
      <c r="K70" s="648">
        <f>(H70+I70)-J70</f>
        <v>0</v>
      </c>
    </row>
    <row r="71" spans="1:11" ht="18" customHeight="1" x14ac:dyDescent="0.3">
      <c r="A71" s="733" t="s">
        <v>179</v>
      </c>
      <c r="B71" s="882"/>
      <c r="C71" s="883"/>
      <c r="D71" s="884"/>
      <c r="E71" s="636"/>
      <c r="F71" s="658"/>
      <c r="G71" s="658"/>
      <c r="H71" s="659"/>
      <c r="I71" s="673">
        <v>0</v>
      </c>
      <c r="J71" s="659"/>
      <c r="K71" s="648">
        <f>(H71+I71)-J71</f>
        <v>0</v>
      </c>
    </row>
    <row r="72" spans="1:11" ht="18" customHeight="1" x14ac:dyDescent="0.3">
      <c r="A72" s="733" t="s">
        <v>180</v>
      </c>
      <c r="B72" s="890"/>
      <c r="C72" s="885"/>
      <c r="D72" s="657"/>
      <c r="E72" s="636"/>
      <c r="F72" s="646"/>
      <c r="G72" s="646"/>
      <c r="H72" s="647"/>
      <c r="I72" s="673">
        <v>0</v>
      </c>
      <c r="J72" s="647"/>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18"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42.75" customHeight="1" x14ac:dyDescent="0.3">
      <c r="A77" s="733" t="s">
        <v>107</v>
      </c>
      <c r="B77" s="635" t="s">
        <v>54</v>
      </c>
      <c r="C77" s="742"/>
      <c r="D77" s="742"/>
      <c r="E77" s="742"/>
      <c r="F77" s="646">
        <v>8</v>
      </c>
      <c r="G77" s="646">
        <v>30</v>
      </c>
      <c r="H77" s="647">
        <v>29434</v>
      </c>
      <c r="I77" s="673">
        <v>0</v>
      </c>
      <c r="J77" s="647">
        <v>0</v>
      </c>
      <c r="K77" s="648">
        <f>(H77+I77)-J77</f>
        <v>29434</v>
      </c>
    </row>
    <row r="78" spans="1:11" ht="18" customHeight="1" x14ac:dyDescent="0.3">
      <c r="A78" s="733" t="s">
        <v>108</v>
      </c>
      <c r="B78" s="635" t="s">
        <v>55</v>
      </c>
      <c r="C78" s="742"/>
      <c r="D78" s="742"/>
      <c r="E78" s="742"/>
      <c r="F78" s="646"/>
      <c r="G78" s="646"/>
      <c r="H78" s="647"/>
      <c r="I78" s="673">
        <v>0</v>
      </c>
      <c r="J78" s="647"/>
      <c r="K78" s="648">
        <f>(H78+I78)-J78</f>
        <v>0</v>
      </c>
    </row>
    <row r="79" spans="1:11" ht="18" customHeight="1" x14ac:dyDescent="0.3">
      <c r="A79" s="733" t="s">
        <v>109</v>
      </c>
      <c r="B79" s="635" t="s">
        <v>13</v>
      </c>
      <c r="C79" s="742"/>
      <c r="D79" s="742"/>
      <c r="E79" s="742"/>
      <c r="F79" s="646">
        <v>78.5</v>
      </c>
      <c r="G79" s="646">
        <v>819</v>
      </c>
      <c r="H79" s="647">
        <v>14951</v>
      </c>
      <c r="I79" s="673">
        <v>7636</v>
      </c>
      <c r="J79" s="647">
        <v>0</v>
      </c>
      <c r="K79" s="648">
        <f>(H79+I79)-J79</f>
        <v>22587</v>
      </c>
    </row>
    <row r="80" spans="1:11" ht="18" customHeight="1" x14ac:dyDescent="0.3">
      <c r="A80" s="733" t="s">
        <v>110</v>
      </c>
      <c r="B80" s="635" t="s">
        <v>56</v>
      </c>
      <c r="C80" s="742"/>
      <c r="D80" s="742"/>
      <c r="E80" s="742"/>
      <c r="F80" s="646"/>
      <c r="G80" s="646"/>
      <c r="H80" s="647"/>
      <c r="I80" s="673">
        <v>0</v>
      </c>
      <c r="J80" s="647"/>
      <c r="K80" s="648">
        <f>(H80+I80)-J80</f>
        <v>0</v>
      </c>
    </row>
    <row r="81" spans="1:12" ht="18" customHeight="1" x14ac:dyDescent="0.3">
      <c r="A81" s="733"/>
      <c r="B81" s="742"/>
      <c r="C81" s="742"/>
      <c r="D81" s="742"/>
      <c r="E81" s="742"/>
      <c r="F81" s="742"/>
      <c r="G81" s="742"/>
      <c r="H81" s="742"/>
      <c r="I81" s="742"/>
      <c r="J81" s="742"/>
      <c r="K81" s="663"/>
    </row>
    <row r="82" spans="1:12" ht="18" customHeight="1" x14ac:dyDescent="0.3">
      <c r="A82" s="733" t="s">
        <v>148</v>
      </c>
      <c r="B82" s="636" t="s">
        <v>149</v>
      </c>
      <c r="C82" s="742"/>
      <c r="D82" s="742"/>
      <c r="E82" s="636" t="s">
        <v>7</v>
      </c>
      <c r="F82" s="653">
        <f t="shared" ref="F82:K82" si="8">SUM(F77:F80)</f>
        <v>86.5</v>
      </c>
      <c r="G82" s="653">
        <f t="shared" si="8"/>
        <v>849</v>
      </c>
      <c r="H82" s="649">
        <f t="shared" si="8"/>
        <v>44385</v>
      </c>
      <c r="I82" s="649">
        <f t="shared" si="8"/>
        <v>7636</v>
      </c>
      <c r="J82" s="649">
        <f t="shared" si="8"/>
        <v>0</v>
      </c>
      <c r="K82" s="649">
        <f t="shared" si="8"/>
        <v>52021</v>
      </c>
    </row>
    <row r="83" spans="1:12" ht="18" customHeight="1" thickBot="1" x14ac:dyDescent="0.35">
      <c r="A83" s="733"/>
      <c r="B83" s="742"/>
      <c r="C83" s="742"/>
      <c r="D83" s="742"/>
      <c r="E83" s="742"/>
      <c r="F83" s="655"/>
      <c r="G83" s="655"/>
      <c r="H83" s="655"/>
      <c r="I83" s="655"/>
      <c r="J83" s="655"/>
      <c r="K83" s="655"/>
    </row>
    <row r="84" spans="1:12" ht="18" customHeight="1" x14ac:dyDescent="0.3">
      <c r="A84" s="633"/>
      <c r="B84" s="742"/>
      <c r="C84" s="742"/>
      <c r="D84" s="742"/>
      <c r="E84" s="742"/>
      <c r="F84" s="641" t="s">
        <v>9</v>
      </c>
      <c r="G84" s="641" t="s">
        <v>37</v>
      </c>
      <c r="H84" s="641" t="s">
        <v>29</v>
      </c>
      <c r="I84" s="641" t="s">
        <v>30</v>
      </c>
      <c r="J84" s="641" t="s">
        <v>33</v>
      </c>
      <c r="K84" s="641" t="s">
        <v>34</v>
      </c>
    </row>
    <row r="85" spans="1:12" ht="18" customHeight="1" x14ac:dyDescent="0.3">
      <c r="A85" s="639" t="s">
        <v>111</v>
      </c>
      <c r="B85" s="636" t="s">
        <v>57</v>
      </c>
      <c r="C85" s="742"/>
      <c r="D85" s="742"/>
      <c r="E85" s="742"/>
      <c r="F85" s="742"/>
      <c r="G85" s="742"/>
      <c r="H85" s="742"/>
      <c r="I85" s="742"/>
      <c r="J85" s="742"/>
      <c r="K85" s="742"/>
    </row>
    <row r="86" spans="1:12" ht="42.75" customHeight="1" x14ac:dyDescent="0.3">
      <c r="A86" s="733" t="s">
        <v>112</v>
      </c>
      <c r="B86" s="635" t="s">
        <v>113</v>
      </c>
      <c r="C86" s="742"/>
      <c r="D86" s="742"/>
      <c r="E86" s="742"/>
      <c r="F86" s="646"/>
      <c r="G86" s="646"/>
      <c r="H86" s="647"/>
      <c r="I86" s="673">
        <f t="shared" ref="I86:I96" si="9">H86*F$114</f>
        <v>0</v>
      </c>
      <c r="J86" s="647"/>
      <c r="K86" s="648">
        <f t="shared" ref="K86:K96" si="10">(H86+I86)-J86</f>
        <v>0</v>
      </c>
    </row>
    <row r="87" spans="1:12" ht="18" customHeight="1" x14ac:dyDescent="0.3">
      <c r="A87" s="733" t="s">
        <v>114</v>
      </c>
      <c r="B87" s="635" t="s">
        <v>14</v>
      </c>
      <c r="C87" s="742"/>
      <c r="D87" s="742"/>
      <c r="E87" s="742"/>
      <c r="F87" s="646"/>
      <c r="G87" s="646"/>
      <c r="H87" s="647"/>
      <c r="I87" s="673">
        <f t="shared" si="9"/>
        <v>0</v>
      </c>
      <c r="J87" s="647"/>
      <c r="K87" s="648">
        <f t="shared" si="10"/>
        <v>0</v>
      </c>
    </row>
    <row r="88" spans="1:12" ht="18" customHeight="1" x14ac:dyDescent="0.3">
      <c r="A88" s="733" t="s">
        <v>115</v>
      </c>
      <c r="B88" s="635" t="s">
        <v>116</v>
      </c>
      <c r="C88" s="742"/>
      <c r="D88" s="742"/>
      <c r="E88" s="742"/>
      <c r="F88" s="646">
        <v>331</v>
      </c>
      <c r="G88" s="646">
        <v>120</v>
      </c>
      <c r="H88" s="647">
        <v>29745</v>
      </c>
      <c r="I88" s="673">
        <v>20851</v>
      </c>
      <c r="J88" s="647"/>
      <c r="K88" s="648">
        <f t="shared" si="10"/>
        <v>50596</v>
      </c>
    </row>
    <row r="89" spans="1:12" ht="18" customHeight="1" x14ac:dyDescent="0.3">
      <c r="A89" s="733" t="s">
        <v>117</v>
      </c>
      <c r="B89" s="635" t="s">
        <v>58</v>
      </c>
      <c r="C89" s="742"/>
      <c r="D89" s="742"/>
      <c r="E89" s="742"/>
      <c r="F89" s="646"/>
      <c r="G89" s="646"/>
      <c r="H89" s="647"/>
      <c r="I89" s="673">
        <f t="shared" si="9"/>
        <v>0</v>
      </c>
      <c r="J89" s="647"/>
      <c r="K89" s="648">
        <f t="shared" si="10"/>
        <v>0</v>
      </c>
    </row>
    <row r="90" spans="1:12" ht="18" customHeight="1" x14ac:dyDescent="0.3">
      <c r="A90" s="733" t="s">
        <v>118</v>
      </c>
      <c r="B90" s="1359" t="s">
        <v>59</v>
      </c>
      <c r="C90" s="1458"/>
      <c r="D90" s="742"/>
      <c r="E90" s="742"/>
      <c r="F90" s="646"/>
      <c r="G90" s="646"/>
      <c r="H90" s="647"/>
      <c r="I90" s="673">
        <f t="shared" si="9"/>
        <v>0</v>
      </c>
      <c r="J90" s="647"/>
      <c r="K90" s="648">
        <f t="shared" si="10"/>
        <v>0</v>
      </c>
    </row>
    <row r="91" spans="1:12" ht="18" customHeight="1" x14ac:dyDescent="0.3">
      <c r="A91" s="733" t="s">
        <v>119</v>
      </c>
      <c r="B91" s="635" t="s">
        <v>60</v>
      </c>
      <c r="C91" s="742"/>
      <c r="D91" s="742"/>
      <c r="E91" s="742"/>
      <c r="F91" s="646"/>
      <c r="G91" s="646"/>
      <c r="H91" s="647"/>
      <c r="I91" s="673">
        <f t="shared" si="9"/>
        <v>0</v>
      </c>
      <c r="J91" s="647"/>
      <c r="K91" s="648">
        <f t="shared" si="10"/>
        <v>0</v>
      </c>
    </row>
    <row r="92" spans="1:12" ht="18" customHeight="1" x14ac:dyDescent="0.3">
      <c r="A92" s="733" t="s">
        <v>120</v>
      </c>
      <c r="B92" s="635" t="s">
        <v>121</v>
      </c>
      <c r="C92" s="742"/>
      <c r="D92" s="742"/>
      <c r="E92" s="742"/>
      <c r="F92" s="661">
        <v>6</v>
      </c>
      <c r="G92" s="661">
        <v>20</v>
      </c>
      <c r="H92" s="662">
        <v>26784</v>
      </c>
      <c r="I92" s="673">
        <v>0</v>
      </c>
      <c r="J92" s="662">
        <v>0</v>
      </c>
      <c r="K92" s="648">
        <f t="shared" si="10"/>
        <v>26784</v>
      </c>
    </row>
    <row r="93" spans="1:12" ht="18" customHeight="1" x14ac:dyDescent="0.3">
      <c r="A93" s="733" t="s">
        <v>122</v>
      </c>
      <c r="B93" s="635" t="s">
        <v>123</v>
      </c>
      <c r="C93" s="742"/>
      <c r="D93" s="742"/>
      <c r="E93" s="742"/>
      <c r="F93" s="646">
        <v>0</v>
      </c>
      <c r="G93" s="646">
        <v>0</v>
      </c>
      <c r="H93" s="647">
        <v>56536</v>
      </c>
      <c r="I93" s="673">
        <v>0</v>
      </c>
      <c r="J93" s="647"/>
      <c r="K93" s="648">
        <f t="shared" si="10"/>
        <v>56536</v>
      </c>
    </row>
    <row r="94" spans="1:12" ht="18" customHeight="1" x14ac:dyDescent="0.3">
      <c r="A94" s="733" t="s">
        <v>124</v>
      </c>
      <c r="B94" s="1354"/>
      <c r="C94" s="1355"/>
      <c r="D94" s="1356"/>
      <c r="E94" s="742"/>
      <c r="F94" s="646"/>
      <c r="G94" s="646"/>
      <c r="H94" s="647"/>
      <c r="I94" s="673">
        <f t="shared" si="9"/>
        <v>0</v>
      </c>
      <c r="J94" s="647"/>
      <c r="K94" s="648">
        <f t="shared" si="10"/>
        <v>0</v>
      </c>
    </row>
    <row r="95" spans="1:12" ht="18" customHeight="1" x14ac:dyDescent="0.3">
      <c r="A95" s="733" t="s">
        <v>125</v>
      </c>
      <c r="B95" s="1354"/>
      <c r="C95" s="1355"/>
      <c r="D95" s="1356"/>
      <c r="E95" s="742"/>
      <c r="F95" s="646"/>
      <c r="G95" s="646"/>
      <c r="H95" s="647"/>
      <c r="I95" s="673">
        <f t="shared" si="9"/>
        <v>0</v>
      </c>
      <c r="J95" s="647"/>
      <c r="K95" s="648">
        <f t="shared" si="10"/>
        <v>0</v>
      </c>
      <c r="L95" s="105"/>
    </row>
    <row r="96" spans="1:12" ht="18" customHeight="1" x14ac:dyDescent="0.3">
      <c r="A96" s="733" t="s">
        <v>126</v>
      </c>
      <c r="B96" s="1354"/>
      <c r="C96" s="1355"/>
      <c r="D96" s="1356"/>
      <c r="E96" s="742"/>
      <c r="F96" s="646"/>
      <c r="G96" s="646"/>
      <c r="H96" s="647"/>
      <c r="I96" s="673">
        <f t="shared" si="9"/>
        <v>0</v>
      </c>
      <c r="J96" s="647"/>
      <c r="K96" s="648">
        <f t="shared" si="10"/>
        <v>0</v>
      </c>
      <c r="L96" s="105"/>
    </row>
    <row r="97" spans="1:12" ht="18" customHeight="1" x14ac:dyDescent="0.3">
      <c r="A97" s="733"/>
      <c r="B97" s="635"/>
      <c r="C97" s="742"/>
      <c r="D97" s="742"/>
      <c r="E97" s="742"/>
      <c r="F97" s="742"/>
      <c r="G97" s="742"/>
      <c r="H97" s="742"/>
      <c r="I97" s="742"/>
      <c r="J97" s="742"/>
      <c r="K97" s="742"/>
      <c r="L97" s="105"/>
    </row>
    <row r="98" spans="1:12" ht="18" customHeight="1" x14ac:dyDescent="0.3">
      <c r="A98" s="639" t="s">
        <v>150</v>
      </c>
      <c r="B98" s="636" t="s">
        <v>151</v>
      </c>
      <c r="C98" s="742"/>
      <c r="D98" s="742"/>
      <c r="E98" s="636" t="s">
        <v>7</v>
      </c>
      <c r="F98" s="650">
        <f t="shared" ref="F98:K98" si="11">SUM(F86:F96)</f>
        <v>337</v>
      </c>
      <c r="G98" s="650">
        <f t="shared" si="11"/>
        <v>140</v>
      </c>
      <c r="H98" s="650">
        <f t="shared" si="11"/>
        <v>113065</v>
      </c>
      <c r="I98" s="650">
        <f t="shared" si="11"/>
        <v>20851</v>
      </c>
      <c r="J98" s="650">
        <f t="shared" si="11"/>
        <v>0</v>
      </c>
      <c r="K98" s="650">
        <f t="shared" si="11"/>
        <v>133916</v>
      </c>
      <c r="L98" s="105"/>
    </row>
    <row r="99" spans="1:12" ht="18" customHeight="1" thickBot="1" x14ac:dyDescent="0.35">
      <c r="A99" s="633"/>
      <c r="B99" s="636"/>
      <c r="C99" s="742"/>
      <c r="D99" s="742"/>
      <c r="E99" s="742"/>
      <c r="F99" s="655"/>
      <c r="G99" s="655"/>
      <c r="H99" s="655"/>
      <c r="I99" s="655"/>
      <c r="J99" s="655"/>
      <c r="K99" s="655"/>
      <c r="L99" s="105"/>
    </row>
    <row r="100" spans="1:12" ht="18" customHeight="1" x14ac:dyDescent="0.3">
      <c r="A100" s="633"/>
      <c r="B100" s="742"/>
      <c r="C100" s="742"/>
      <c r="D100" s="742"/>
      <c r="E100" s="742"/>
      <c r="F100" s="641" t="s">
        <v>9</v>
      </c>
      <c r="G100" s="641" t="s">
        <v>37</v>
      </c>
      <c r="H100" s="641" t="s">
        <v>29</v>
      </c>
      <c r="I100" s="641" t="s">
        <v>30</v>
      </c>
      <c r="J100" s="641" t="s">
        <v>33</v>
      </c>
      <c r="K100" s="641" t="s">
        <v>34</v>
      </c>
      <c r="L100" s="105"/>
    </row>
    <row r="101" spans="1:12" ht="18" customHeight="1" x14ac:dyDescent="0.3">
      <c r="A101" s="639" t="s">
        <v>130</v>
      </c>
      <c r="B101" s="636" t="s">
        <v>63</v>
      </c>
      <c r="C101" s="742"/>
      <c r="D101" s="742"/>
      <c r="E101" s="742"/>
      <c r="F101" s="742"/>
      <c r="G101" s="742"/>
      <c r="H101" s="742"/>
      <c r="I101" s="742"/>
      <c r="J101" s="742"/>
      <c r="K101" s="742"/>
    </row>
    <row r="102" spans="1:12" ht="42.75" customHeight="1" x14ac:dyDescent="0.3">
      <c r="A102" s="733" t="s">
        <v>131</v>
      </c>
      <c r="B102" s="635" t="s">
        <v>152</v>
      </c>
      <c r="C102" s="742"/>
      <c r="D102" s="742"/>
      <c r="E102" s="742"/>
      <c r="F102" s="646">
        <v>2576</v>
      </c>
      <c r="G102" s="646">
        <v>0</v>
      </c>
      <c r="H102" s="647">
        <v>228294</v>
      </c>
      <c r="I102" s="673">
        <v>104279</v>
      </c>
      <c r="J102" s="647">
        <v>0</v>
      </c>
      <c r="K102" s="648">
        <f>(H102+I102)-J102</f>
        <v>332573</v>
      </c>
    </row>
    <row r="103" spans="1:12" ht="18" customHeight="1" x14ac:dyDescent="0.3">
      <c r="A103" s="733" t="s">
        <v>132</v>
      </c>
      <c r="B103" s="1359" t="s">
        <v>62</v>
      </c>
      <c r="C103" s="1359"/>
      <c r="D103" s="742"/>
      <c r="E103" s="742"/>
      <c r="F103" s="646"/>
      <c r="G103" s="646"/>
      <c r="H103" s="647"/>
      <c r="I103" s="673">
        <f>H103*F$114</f>
        <v>0</v>
      </c>
      <c r="J103" s="647"/>
      <c r="K103" s="648">
        <f>(H103+I103)-J103</f>
        <v>0</v>
      </c>
    </row>
    <row r="104" spans="1:12" ht="18" customHeight="1" x14ac:dyDescent="0.3">
      <c r="A104" s="733" t="s">
        <v>128</v>
      </c>
      <c r="B104" s="1354" t="s">
        <v>389</v>
      </c>
      <c r="C104" s="1355"/>
      <c r="D104" s="1356"/>
      <c r="E104" s="742"/>
      <c r="F104" s="646">
        <v>0</v>
      </c>
      <c r="G104" s="646">
        <v>0</v>
      </c>
      <c r="H104" s="647">
        <v>922</v>
      </c>
      <c r="I104" s="673">
        <v>0</v>
      </c>
      <c r="J104" s="647">
        <v>0</v>
      </c>
      <c r="K104" s="648">
        <f>(H104+I104)-J104</f>
        <v>922</v>
      </c>
    </row>
    <row r="105" spans="1:12" ht="18" customHeight="1" x14ac:dyDescent="0.3">
      <c r="A105" s="733" t="s">
        <v>127</v>
      </c>
      <c r="B105" s="1354"/>
      <c r="C105" s="1355"/>
      <c r="D105" s="1356"/>
      <c r="E105" s="742"/>
      <c r="F105" s="646"/>
      <c r="G105" s="646"/>
      <c r="H105" s="647"/>
      <c r="I105" s="673">
        <f>H105*F$114</f>
        <v>0</v>
      </c>
      <c r="J105" s="647"/>
      <c r="K105" s="648">
        <f>(H105+I105)-J105</f>
        <v>0</v>
      </c>
    </row>
    <row r="106" spans="1:12" ht="18" customHeight="1" x14ac:dyDescent="0.3">
      <c r="A106" s="733" t="s">
        <v>129</v>
      </c>
      <c r="B106" s="1354"/>
      <c r="C106" s="1355"/>
      <c r="D106" s="1356"/>
      <c r="E106" s="742"/>
      <c r="F106" s="646"/>
      <c r="G106" s="646"/>
      <c r="H106" s="647"/>
      <c r="I106" s="673">
        <f>H106*F$114</f>
        <v>0</v>
      </c>
      <c r="J106" s="647"/>
      <c r="K106" s="648">
        <f>(H106+I106)-J106</f>
        <v>0</v>
      </c>
    </row>
    <row r="107" spans="1:12" ht="18" customHeight="1" x14ac:dyDescent="0.3">
      <c r="A107" s="633"/>
      <c r="B107" s="636"/>
      <c r="C107" s="742"/>
      <c r="D107" s="742"/>
      <c r="E107" s="742"/>
      <c r="F107" s="742"/>
      <c r="G107" s="742"/>
      <c r="H107" s="742"/>
      <c r="I107" s="742"/>
      <c r="J107" s="742"/>
      <c r="K107" s="742"/>
    </row>
    <row r="108" spans="1:12" ht="18" customHeight="1" x14ac:dyDescent="0.3">
      <c r="A108" s="639" t="s">
        <v>153</v>
      </c>
      <c r="B108" s="686" t="s">
        <v>154</v>
      </c>
      <c r="C108" s="742"/>
      <c r="D108" s="742"/>
      <c r="E108" s="636" t="s">
        <v>7</v>
      </c>
      <c r="F108" s="650">
        <f t="shared" ref="F108:K108" si="12">SUM(F102:F106)</f>
        <v>2576</v>
      </c>
      <c r="G108" s="650">
        <f t="shared" si="12"/>
        <v>0</v>
      </c>
      <c r="H108" s="648">
        <f t="shared" si="12"/>
        <v>229216</v>
      </c>
      <c r="I108" s="648">
        <f t="shared" si="12"/>
        <v>104279</v>
      </c>
      <c r="J108" s="648">
        <f t="shared" si="12"/>
        <v>0</v>
      </c>
      <c r="K108" s="648">
        <f t="shared" si="12"/>
        <v>333495</v>
      </c>
    </row>
    <row r="109" spans="1:12" ht="18" customHeight="1" thickBot="1" x14ac:dyDescent="0.35">
      <c r="A109" s="643"/>
      <c r="B109" s="644"/>
      <c r="C109" s="645"/>
      <c r="D109" s="645"/>
      <c r="E109" s="645"/>
      <c r="F109" s="655"/>
      <c r="G109" s="655"/>
      <c r="H109" s="655"/>
      <c r="I109" s="655"/>
      <c r="J109" s="655"/>
      <c r="K109" s="655"/>
    </row>
    <row r="110" spans="1:12" s="106" customFormat="1" ht="18" customHeight="1" x14ac:dyDescent="0.3">
      <c r="A110" s="639" t="s">
        <v>156</v>
      </c>
      <c r="B110" s="636" t="s">
        <v>39</v>
      </c>
      <c r="C110" s="742"/>
      <c r="D110" s="742"/>
      <c r="E110" s="742"/>
      <c r="F110" s="742"/>
      <c r="G110" s="742"/>
      <c r="H110" s="742"/>
      <c r="I110" s="742"/>
      <c r="J110" s="742"/>
      <c r="K110" s="742"/>
    </row>
    <row r="111" spans="1:12" s="106" customFormat="1" ht="18" customHeight="1" x14ac:dyDescent="0.3">
      <c r="A111" s="639" t="s">
        <v>155</v>
      </c>
      <c r="B111" s="636" t="s">
        <v>164</v>
      </c>
      <c r="C111" s="742"/>
      <c r="D111" s="742"/>
      <c r="E111" s="636" t="s">
        <v>7</v>
      </c>
      <c r="F111" s="647">
        <v>5147814.05</v>
      </c>
      <c r="G111" s="742"/>
      <c r="H111" s="742"/>
      <c r="I111" s="742"/>
      <c r="J111" s="742"/>
      <c r="K111" s="742"/>
    </row>
    <row r="112" spans="1:12" s="106" customFormat="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733" t="s">
        <v>171</v>
      </c>
      <c r="B114" s="635" t="s">
        <v>35</v>
      </c>
      <c r="C114" s="742"/>
      <c r="D114" s="742"/>
      <c r="E114" s="742"/>
      <c r="F114" s="656">
        <v>0.70130000000000003</v>
      </c>
      <c r="G114" s="742"/>
      <c r="H114" s="742"/>
      <c r="I114" s="742"/>
      <c r="J114" s="742"/>
      <c r="K114" s="742"/>
    </row>
    <row r="115" spans="1:11" ht="13" x14ac:dyDescent="0.3">
      <c r="A115" s="733"/>
      <c r="B115" s="636"/>
      <c r="C115" s="742"/>
      <c r="D115" s="742"/>
      <c r="E115" s="742"/>
      <c r="F115" s="742"/>
      <c r="G115" s="742"/>
      <c r="H115" s="742"/>
      <c r="I115" s="742"/>
      <c r="J115" s="742"/>
      <c r="K115" s="742"/>
    </row>
    <row r="116" spans="1:11" ht="13" x14ac:dyDescent="0.3">
      <c r="A116" s="733" t="s">
        <v>170</v>
      </c>
      <c r="B116" s="636" t="s">
        <v>16</v>
      </c>
      <c r="C116" s="742"/>
      <c r="D116" s="742"/>
      <c r="E116" s="742"/>
      <c r="F116" s="742"/>
      <c r="G116" s="742"/>
      <c r="H116" s="742"/>
      <c r="I116" s="742"/>
      <c r="J116" s="742"/>
      <c r="K116" s="742"/>
    </row>
    <row r="117" spans="1:11" ht="13" x14ac:dyDescent="0.3">
      <c r="A117" s="733" t="s">
        <v>172</v>
      </c>
      <c r="B117" s="635" t="s">
        <v>17</v>
      </c>
      <c r="C117" s="742"/>
      <c r="D117" s="742"/>
      <c r="E117" s="742"/>
      <c r="F117" s="647">
        <v>517220666.80299991</v>
      </c>
      <c r="G117" s="742"/>
      <c r="H117" s="742"/>
      <c r="I117" s="742"/>
      <c r="J117" s="742"/>
      <c r="K117" s="742"/>
    </row>
    <row r="118" spans="1:11" ht="13" x14ac:dyDescent="0.3">
      <c r="A118" s="733" t="s">
        <v>173</v>
      </c>
      <c r="B118" s="742" t="s">
        <v>18</v>
      </c>
      <c r="C118" s="742"/>
      <c r="D118" s="742"/>
      <c r="E118" s="742"/>
      <c r="F118" s="647">
        <v>12485301.049999999</v>
      </c>
      <c r="G118" s="742"/>
      <c r="H118" s="742"/>
      <c r="I118" s="742"/>
      <c r="J118" s="742"/>
      <c r="K118" s="742"/>
    </row>
    <row r="119" spans="1:11" ht="13" x14ac:dyDescent="0.3">
      <c r="A119" s="733" t="s">
        <v>174</v>
      </c>
      <c r="B119" s="636" t="s">
        <v>19</v>
      </c>
      <c r="C119" s="742"/>
      <c r="D119" s="742"/>
      <c r="E119" s="742"/>
      <c r="F119" s="649">
        <f>SUM(F117:F118)</f>
        <v>529705967.85299993</v>
      </c>
      <c r="G119" s="742"/>
      <c r="H119" s="742"/>
      <c r="I119" s="742"/>
      <c r="J119" s="742"/>
      <c r="K119" s="742"/>
    </row>
    <row r="120" spans="1:11" ht="13" x14ac:dyDescent="0.3">
      <c r="A120" s="733"/>
      <c r="B120" s="636"/>
      <c r="C120" s="742"/>
      <c r="D120" s="742"/>
      <c r="E120" s="742"/>
      <c r="F120" s="742"/>
      <c r="G120" s="742"/>
      <c r="H120" s="742"/>
      <c r="I120" s="742"/>
      <c r="J120" s="742"/>
      <c r="K120" s="742"/>
    </row>
    <row r="121" spans="1:11" ht="13" x14ac:dyDescent="0.3">
      <c r="A121" s="733" t="s">
        <v>167</v>
      </c>
      <c r="B121" s="636" t="s">
        <v>36</v>
      </c>
      <c r="C121" s="742"/>
      <c r="D121" s="742"/>
      <c r="E121" s="742"/>
      <c r="F121" s="647">
        <v>508539888.41600001</v>
      </c>
      <c r="G121" s="742"/>
      <c r="H121" s="742"/>
      <c r="I121" s="742"/>
      <c r="J121" s="742"/>
      <c r="K121" s="742"/>
    </row>
    <row r="122" spans="1:11" ht="13" x14ac:dyDescent="0.3">
      <c r="A122" s="733"/>
      <c r="B122" s="742"/>
      <c r="C122" s="742"/>
      <c r="D122" s="742"/>
      <c r="E122" s="742"/>
      <c r="F122" s="742"/>
      <c r="G122" s="742"/>
      <c r="H122" s="742"/>
      <c r="I122" s="742"/>
      <c r="J122" s="742"/>
      <c r="K122" s="742"/>
    </row>
    <row r="123" spans="1:11" ht="13" x14ac:dyDescent="0.3">
      <c r="A123" s="733" t="s">
        <v>175</v>
      </c>
      <c r="B123" s="636" t="s">
        <v>20</v>
      </c>
      <c r="C123" s="742"/>
      <c r="D123" s="742"/>
      <c r="E123" s="742"/>
      <c r="F123" s="647">
        <f>+F119-F121</f>
        <v>21166079.436999917</v>
      </c>
      <c r="G123" s="742"/>
      <c r="H123" s="742"/>
      <c r="I123" s="742"/>
      <c r="J123" s="742"/>
      <c r="K123" s="742"/>
    </row>
    <row r="124" spans="1:11" ht="13" x14ac:dyDescent="0.3">
      <c r="A124" s="733"/>
      <c r="B124" s="742"/>
      <c r="C124" s="742"/>
      <c r="D124" s="742"/>
      <c r="E124" s="742"/>
      <c r="F124" s="742"/>
      <c r="G124" s="742"/>
      <c r="H124" s="742"/>
      <c r="I124" s="742"/>
      <c r="J124" s="742"/>
      <c r="K124" s="742"/>
    </row>
    <row r="125" spans="1:11" ht="13" x14ac:dyDescent="0.3">
      <c r="A125" s="733" t="s">
        <v>176</v>
      </c>
      <c r="B125" s="636" t="s">
        <v>21</v>
      </c>
      <c r="C125" s="742"/>
      <c r="D125" s="742"/>
      <c r="E125" s="742"/>
      <c r="F125" s="647">
        <v>461421.08</v>
      </c>
      <c r="G125" s="742"/>
      <c r="H125" s="742"/>
      <c r="I125" s="742"/>
      <c r="J125" s="742"/>
      <c r="K125" s="742"/>
    </row>
    <row r="126" spans="1:11" ht="13" x14ac:dyDescent="0.3">
      <c r="A126" s="733"/>
      <c r="B126" s="742"/>
      <c r="C126" s="742"/>
      <c r="D126" s="742"/>
      <c r="E126" s="742"/>
      <c r="F126" s="742"/>
      <c r="G126" s="742"/>
      <c r="H126" s="742"/>
      <c r="I126" s="742"/>
      <c r="J126" s="742"/>
      <c r="K126" s="742"/>
    </row>
    <row r="127" spans="1:11" ht="13" x14ac:dyDescent="0.3">
      <c r="A127" s="733" t="s">
        <v>177</v>
      </c>
      <c r="B127" s="636" t="s">
        <v>22</v>
      </c>
      <c r="C127" s="742"/>
      <c r="D127" s="742"/>
      <c r="E127" s="742"/>
      <c r="F127" s="647">
        <v>21627500.5169999</v>
      </c>
      <c r="G127" s="742"/>
      <c r="H127" s="742"/>
      <c r="I127" s="742"/>
      <c r="J127" s="742"/>
      <c r="K127" s="742"/>
    </row>
    <row r="128" spans="1:11" ht="13" x14ac:dyDescent="0.3">
      <c r="A128" s="733"/>
      <c r="B128" s="742"/>
      <c r="C128" s="742"/>
      <c r="D128" s="742"/>
      <c r="E128" s="742"/>
      <c r="F128" s="742"/>
      <c r="G128" s="742"/>
      <c r="H128" s="742"/>
      <c r="I128" s="742"/>
      <c r="J128" s="742"/>
      <c r="K128" s="742"/>
    </row>
    <row r="129" spans="1:11" ht="26" x14ac:dyDescent="0.3">
      <c r="A129" s="633"/>
      <c r="B129" s="742"/>
      <c r="C129" s="742"/>
      <c r="D129" s="742"/>
      <c r="E129" s="742"/>
      <c r="F129" s="641" t="s">
        <v>9</v>
      </c>
      <c r="G129" s="641" t="s">
        <v>37</v>
      </c>
      <c r="H129" s="641" t="s">
        <v>29</v>
      </c>
      <c r="I129" s="641" t="s">
        <v>30</v>
      </c>
      <c r="J129" s="641" t="s">
        <v>33</v>
      </c>
      <c r="K129" s="641" t="s">
        <v>34</v>
      </c>
    </row>
    <row r="130" spans="1:11" ht="13" x14ac:dyDescent="0.3">
      <c r="A130" s="639" t="s">
        <v>157</v>
      </c>
      <c r="B130" s="636" t="s">
        <v>23</v>
      </c>
      <c r="C130" s="742"/>
      <c r="D130" s="742"/>
      <c r="E130" s="742"/>
      <c r="F130" s="742"/>
      <c r="G130" s="742"/>
      <c r="H130" s="742"/>
      <c r="I130" s="742"/>
      <c r="J130" s="742"/>
      <c r="K130" s="742"/>
    </row>
    <row r="131" spans="1:11" ht="42.75" customHeight="1" x14ac:dyDescent="0.3">
      <c r="A131" s="733" t="s">
        <v>158</v>
      </c>
      <c r="B131" s="742" t="s">
        <v>24</v>
      </c>
      <c r="C131" s="742"/>
      <c r="D131" s="742"/>
      <c r="E131" s="742"/>
      <c r="F131" s="646"/>
      <c r="G131" s="646"/>
      <c r="H131" s="647"/>
      <c r="I131" s="673">
        <v>0</v>
      </c>
      <c r="J131" s="647"/>
      <c r="K131" s="648">
        <f>(H131+I131)-J131</f>
        <v>0</v>
      </c>
    </row>
    <row r="132" spans="1:11" ht="18" customHeight="1" x14ac:dyDescent="0.3">
      <c r="A132" s="733" t="s">
        <v>159</v>
      </c>
      <c r="B132" s="742" t="s">
        <v>25</v>
      </c>
      <c r="C132" s="742"/>
      <c r="D132" s="742"/>
      <c r="E132" s="742"/>
      <c r="F132" s="646"/>
      <c r="G132" s="646"/>
      <c r="H132" s="647"/>
      <c r="I132" s="673">
        <v>0</v>
      </c>
      <c r="J132" s="647"/>
      <c r="K132" s="648">
        <f>(H132+I132)-J132</f>
        <v>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3">
      <c r="A138" s="742"/>
      <c r="B138" s="742"/>
      <c r="C138" s="742"/>
      <c r="D138" s="742"/>
      <c r="E138" s="742"/>
      <c r="F138" s="742"/>
      <c r="G138" s="742"/>
      <c r="H138" s="742"/>
      <c r="I138" s="742"/>
      <c r="J138" s="742"/>
      <c r="K138" s="742"/>
    </row>
    <row r="139" spans="1:11" ht="18"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42.75" customHeight="1" x14ac:dyDescent="0.3">
      <c r="A141" s="733" t="s">
        <v>137</v>
      </c>
      <c r="B141" s="636" t="s">
        <v>64</v>
      </c>
      <c r="C141" s="742"/>
      <c r="D141" s="742"/>
      <c r="E141" s="742"/>
      <c r="F141" s="664">
        <f t="shared" ref="F141:K141" si="14">F36</f>
        <v>11970.5</v>
      </c>
      <c r="G141" s="664">
        <f t="shared" si="14"/>
        <v>85125</v>
      </c>
      <c r="H141" s="664">
        <f t="shared" si="14"/>
        <v>854454</v>
      </c>
      <c r="I141" s="664">
        <f t="shared" si="14"/>
        <v>383406</v>
      </c>
      <c r="J141" s="664">
        <f t="shared" si="14"/>
        <v>128337</v>
      </c>
      <c r="K141" s="664">
        <f t="shared" si="14"/>
        <v>1109523</v>
      </c>
    </row>
    <row r="142" spans="1:11" ht="18" customHeight="1" x14ac:dyDescent="0.3">
      <c r="A142" s="733" t="s">
        <v>142</v>
      </c>
      <c r="B142" s="636" t="s">
        <v>65</v>
      </c>
      <c r="C142" s="742"/>
      <c r="D142" s="742"/>
      <c r="E142" s="742"/>
      <c r="F142" s="664">
        <f t="shared" ref="F142:K142" si="15">F49</f>
        <v>200725</v>
      </c>
      <c r="G142" s="664">
        <f t="shared" si="15"/>
        <v>1123</v>
      </c>
      <c r="H142" s="664">
        <f t="shared" si="15"/>
        <v>12418497</v>
      </c>
      <c r="I142" s="664">
        <f t="shared" si="15"/>
        <v>8475729</v>
      </c>
      <c r="J142" s="664">
        <f t="shared" si="15"/>
        <v>0</v>
      </c>
      <c r="K142" s="664">
        <f t="shared" si="15"/>
        <v>20894226</v>
      </c>
    </row>
    <row r="143" spans="1:11" ht="18" customHeight="1" x14ac:dyDescent="0.3">
      <c r="A143" s="733" t="s">
        <v>144</v>
      </c>
      <c r="B143" s="636" t="s">
        <v>66</v>
      </c>
      <c r="C143" s="742"/>
      <c r="D143" s="742"/>
      <c r="E143" s="742"/>
      <c r="F143" s="664">
        <f t="shared" ref="F143:K143" si="16">F64</f>
        <v>0</v>
      </c>
      <c r="G143" s="664">
        <f t="shared" si="16"/>
        <v>0</v>
      </c>
      <c r="H143" s="664">
        <f t="shared" si="16"/>
        <v>20994888</v>
      </c>
      <c r="I143" s="664">
        <f t="shared" si="16"/>
        <v>0</v>
      </c>
      <c r="J143" s="664">
        <f t="shared" si="16"/>
        <v>14639166</v>
      </c>
      <c r="K143" s="664">
        <f t="shared" si="16"/>
        <v>6355722</v>
      </c>
    </row>
    <row r="144" spans="1:11" ht="18" customHeight="1" x14ac:dyDescent="0.3">
      <c r="A144" s="733"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3" ht="18" customHeight="1" x14ac:dyDescent="0.3">
      <c r="A145" s="733" t="s">
        <v>148</v>
      </c>
      <c r="B145" s="636" t="s">
        <v>68</v>
      </c>
      <c r="C145" s="742"/>
      <c r="D145" s="742"/>
      <c r="E145" s="742"/>
      <c r="F145" s="664">
        <f t="shared" ref="F145:K145" si="18">F82</f>
        <v>86.5</v>
      </c>
      <c r="G145" s="664">
        <f t="shared" si="18"/>
        <v>849</v>
      </c>
      <c r="H145" s="664">
        <f t="shared" si="18"/>
        <v>44385</v>
      </c>
      <c r="I145" s="664">
        <f t="shared" si="18"/>
        <v>7636</v>
      </c>
      <c r="J145" s="664">
        <f t="shared" si="18"/>
        <v>0</v>
      </c>
      <c r="K145" s="664">
        <f t="shared" si="18"/>
        <v>52021</v>
      </c>
    </row>
    <row r="146" spans="1:13" ht="18" customHeight="1" x14ac:dyDescent="0.3">
      <c r="A146" s="733" t="s">
        <v>150</v>
      </c>
      <c r="B146" s="636" t="s">
        <v>69</v>
      </c>
      <c r="C146" s="742"/>
      <c r="D146" s="742"/>
      <c r="E146" s="742"/>
      <c r="F146" s="664">
        <f t="shared" ref="F146:K146" si="19">F98</f>
        <v>337</v>
      </c>
      <c r="G146" s="664">
        <f t="shared" si="19"/>
        <v>140</v>
      </c>
      <c r="H146" s="664">
        <f t="shared" si="19"/>
        <v>113065</v>
      </c>
      <c r="I146" s="664">
        <f t="shared" si="19"/>
        <v>20851</v>
      </c>
      <c r="J146" s="664">
        <f t="shared" si="19"/>
        <v>0</v>
      </c>
      <c r="K146" s="664">
        <f t="shared" si="19"/>
        <v>133916</v>
      </c>
    </row>
    <row r="147" spans="1:13" ht="18" customHeight="1" x14ac:dyDescent="0.3">
      <c r="A147" s="733" t="s">
        <v>153</v>
      </c>
      <c r="B147" s="636" t="s">
        <v>61</v>
      </c>
      <c r="C147" s="742"/>
      <c r="D147" s="742"/>
      <c r="E147" s="742"/>
      <c r="F147" s="650">
        <f t="shared" ref="F147:K147" si="20">F108</f>
        <v>2576</v>
      </c>
      <c r="G147" s="650">
        <f t="shared" si="20"/>
        <v>0</v>
      </c>
      <c r="H147" s="650">
        <f t="shared" si="20"/>
        <v>229216</v>
      </c>
      <c r="I147" s="650">
        <f t="shared" si="20"/>
        <v>104279</v>
      </c>
      <c r="J147" s="650">
        <f t="shared" si="20"/>
        <v>0</v>
      </c>
      <c r="K147" s="650">
        <f t="shared" si="20"/>
        <v>333495</v>
      </c>
    </row>
    <row r="148" spans="1:13" ht="18" customHeight="1" x14ac:dyDescent="0.3">
      <c r="A148" s="733" t="s">
        <v>155</v>
      </c>
      <c r="B148" s="636" t="s">
        <v>70</v>
      </c>
      <c r="C148" s="742"/>
      <c r="D148" s="742"/>
      <c r="E148" s="742"/>
      <c r="F148" s="665" t="s">
        <v>73</v>
      </c>
      <c r="G148" s="665" t="s">
        <v>73</v>
      </c>
      <c r="H148" s="666" t="s">
        <v>73</v>
      </c>
      <c r="I148" s="666" t="s">
        <v>73</v>
      </c>
      <c r="J148" s="666" t="s">
        <v>73</v>
      </c>
      <c r="K148" s="660">
        <f>F111</f>
        <v>5147814.05</v>
      </c>
    </row>
    <row r="149" spans="1:13" ht="18" customHeight="1" x14ac:dyDescent="0.3">
      <c r="A149" s="733"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3" ht="18" customHeight="1" x14ac:dyDescent="0.3">
      <c r="A150" s="733" t="s">
        <v>185</v>
      </c>
      <c r="B150" s="636" t="s">
        <v>186</v>
      </c>
      <c r="C150" s="742"/>
      <c r="D150" s="742"/>
      <c r="E150" s="742"/>
      <c r="F150" s="665" t="s">
        <v>73</v>
      </c>
      <c r="G150" s="665" t="s">
        <v>73</v>
      </c>
      <c r="H150" s="650">
        <f>H18</f>
        <v>11468053</v>
      </c>
      <c r="I150" s="650">
        <f>I18</f>
        <v>0</v>
      </c>
      <c r="J150" s="650">
        <f>J18</f>
        <v>9692768</v>
      </c>
      <c r="K150" s="650">
        <f>K18</f>
        <v>1775285</v>
      </c>
      <c r="M150" s="107"/>
    </row>
    <row r="151" spans="1:13" ht="18" customHeight="1" x14ac:dyDescent="0.3">
      <c r="A151" s="633"/>
      <c r="B151" s="636"/>
      <c r="C151" s="742"/>
      <c r="D151" s="742"/>
      <c r="E151" s="742"/>
      <c r="F151" s="671"/>
      <c r="G151" s="671"/>
      <c r="H151" s="671"/>
      <c r="I151" s="671"/>
      <c r="J151" s="671"/>
      <c r="K151" s="671"/>
    </row>
    <row r="152" spans="1:13" ht="18" customHeight="1" x14ac:dyDescent="0.3">
      <c r="A152" s="639" t="s">
        <v>165</v>
      </c>
      <c r="B152" s="636" t="s">
        <v>26</v>
      </c>
      <c r="C152" s="742"/>
      <c r="D152" s="742"/>
      <c r="E152" s="742"/>
      <c r="F152" s="672">
        <f t="shared" ref="F152:K152" si="22">SUM(F141:F150)</f>
        <v>215695</v>
      </c>
      <c r="G152" s="672">
        <f t="shared" si="22"/>
        <v>87237</v>
      </c>
      <c r="H152" s="672">
        <f t="shared" si="22"/>
        <v>46122558</v>
      </c>
      <c r="I152" s="672">
        <f t="shared" si="22"/>
        <v>8991901</v>
      </c>
      <c r="J152" s="672">
        <f t="shared" si="22"/>
        <v>24460271</v>
      </c>
      <c r="K152" s="672">
        <f t="shared" si="22"/>
        <v>35802002.049999997</v>
      </c>
    </row>
    <row r="153" spans="1:13" ht="18" customHeight="1" x14ac:dyDescent="0.3">
      <c r="A153" s="633"/>
      <c r="B153" s="742"/>
      <c r="C153" s="742"/>
      <c r="D153" s="742"/>
      <c r="E153" s="742"/>
      <c r="F153" s="742"/>
      <c r="G153" s="742"/>
      <c r="H153" s="742"/>
      <c r="I153" s="742"/>
      <c r="J153" s="742"/>
      <c r="K153" s="742"/>
    </row>
    <row r="154" spans="1:13" ht="18" customHeight="1" x14ac:dyDescent="0.3">
      <c r="A154" s="639" t="s">
        <v>168</v>
      </c>
      <c r="B154" s="636" t="s">
        <v>28</v>
      </c>
      <c r="C154" s="742"/>
      <c r="D154" s="742"/>
      <c r="E154" s="742"/>
      <c r="F154" s="687">
        <f>K152/F121</f>
        <v>7.0401561146985092E-2</v>
      </c>
      <c r="G154" s="742"/>
      <c r="H154" s="742"/>
      <c r="I154" s="742"/>
      <c r="J154" s="742"/>
      <c r="K154" s="742"/>
    </row>
    <row r="155" spans="1:13" ht="18" customHeight="1" x14ac:dyDescent="0.3">
      <c r="A155" s="639" t="s">
        <v>169</v>
      </c>
      <c r="B155" s="636" t="s">
        <v>72</v>
      </c>
      <c r="C155" s="742"/>
      <c r="D155" s="742"/>
      <c r="E155" s="742"/>
      <c r="F155" s="687">
        <f>K152/F127</f>
        <v>1.6553924953953181</v>
      </c>
      <c r="G155" s="636"/>
      <c r="H155" s="742"/>
      <c r="I155" s="742"/>
      <c r="J155" s="742"/>
      <c r="K155" s="742"/>
    </row>
    <row r="156" spans="1:13" ht="18" customHeight="1" x14ac:dyDescent="0.35">
      <c r="A156" s="266"/>
      <c r="B156" s="266"/>
      <c r="C156" s="266"/>
      <c r="D156" s="266"/>
      <c r="E156" s="266"/>
      <c r="F156" s="266"/>
      <c r="G156" s="267"/>
      <c r="H156" s="266"/>
      <c r="I156" s="266"/>
      <c r="J156" s="266"/>
      <c r="K156" s="266"/>
    </row>
    <row r="157" spans="1:13" ht="18" customHeight="1" x14ac:dyDescent="0.35">
      <c r="A157" s="266"/>
      <c r="B157" s="266"/>
      <c r="C157" s="266"/>
      <c r="D157" s="266"/>
      <c r="E157" s="266"/>
      <c r="F157" s="266"/>
      <c r="G157" s="266"/>
      <c r="H157" s="269"/>
      <c r="I157" s="266"/>
      <c r="J157" s="266"/>
      <c r="K157" s="266"/>
    </row>
    <row r="158" spans="1:13" ht="18" customHeight="1" x14ac:dyDescent="0.3">
      <c r="G158" s="99"/>
    </row>
  </sheetData>
  <sheetProtection sheet="1" objects="1" scenarios="1"/>
  <mergeCells count="34">
    <mergeCell ref="B44:D44"/>
    <mergeCell ref="B45:D45"/>
    <mergeCell ref="B41:C41"/>
    <mergeCell ref="D2:H2"/>
    <mergeCell ref="C5:G5"/>
    <mergeCell ref="C6:G6"/>
    <mergeCell ref="C7:G7"/>
    <mergeCell ref="C9:G9"/>
    <mergeCell ref="C10:G10"/>
    <mergeCell ref="C11:G11"/>
    <mergeCell ref="B30:D30"/>
    <mergeCell ref="B31:D31"/>
    <mergeCell ref="B34:D34"/>
    <mergeCell ref="B13:H13"/>
    <mergeCell ref="B46:D46"/>
    <mergeCell ref="B47:D47"/>
    <mergeCell ref="B52:C52"/>
    <mergeCell ref="B94:D94"/>
    <mergeCell ref="B95:D95"/>
    <mergeCell ref="B57:D57"/>
    <mergeCell ref="B59:D59"/>
    <mergeCell ref="B62:D62"/>
    <mergeCell ref="B96:D96"/>
    <mergeCell ref="B103:C103"/>
    <mergeCell ref="B104:D104"/>
    <mergeCell ref="B90:C90"/>
    <mergeCell ref="B53:D53"/>
    <mergeCell ref="B55:D55"/>
    <mergeCell ref="B56:D56"/>
    <mergeCell ref="B106:D106"/>
    <mergeCell ref="B133:D133"/>
    <mergeCell ref="B134:D134"/>
    <mergeCell ref="B135:D135"/>
    <mergeCell ref="B105:D105"/>
  </mergeCells>
  <hyperlinks>
    <hyperlink ref="C11" r:id="rId1"/>
  </hyperlinks>
  <pageMargins left="0.7" right="0.7" top="0.75" bottom="0.75" header="0.3" footer="0.3"/>
  <pageSetup scale="55" orientation="landscape" r:id="rId2"/>
  <headerFooter>
    <oddFooter>&amp;L&amp;Z&amp;F&amp;A&amp;R&amp;P of &amp;N</oddFooter>
  </headerFooter>
  <rowBreaks count="2" manualBreakCount="2">
    <brk id="85" max="10" man="1"/>
    <brk id="111"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156"/>
  <sheetViews>
    <sheetView showGridLines="0" zoomScale="85" zoomScaleNormal="85" zoomScaleSheetLayoutView="70" workbookViewId="0"/>
  </sheetViews>
  <sheetFormatPr defaultRowHeight="18" customHeight="1" x14ac:dyDescent="0.25"/>
  <cols>
    <col min="1" max="1" width="8.26953125" style="2" customWidth="1"/>
    <col min="2" max="2" width="55.453125" bestFit="1" customWidth="1"/>
    <col min="3" max="3" width="9.54296875" customWidth="1"/>
    <col min="5" max="5" width="12.453125" customWidth="1"/>
    <col min="6" max="6" width="18.54296875" customWidth="1"/>
    <col min="7" max="7" width="23.54296875" customWidth="1"/>
    <col min="8" max="8" width="17.26953125" customWidth="1"/>
    <col min="9" max="9" width="21.26953125" customWidth="1"/>
    <col min="10" max="10" width="19.7265625" customWidth="1"/>
    <col min="11" max="11" width="17.54296875" customWidth="1"/>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633"/>
      <c r="B4" s="742"/>
      <c r="C4" s="742"/>
      <c r="D4" s="742"/>
      <c r="E4" s="742"/>
      <c r="F4" s="742"/>
      <c r="G4" s="742"/>
      <c r="H4" s="742"/>
      <c r="I4" s="742"/>
      <c r="J4" s="742"/>
      <c r="K4" s="742"/>
    </row>
    <row r="5" spans="1:11" ht="18" customHeight="1" x14ac:dyDescent="0.3">
      <c r="A5" s="742"/>
      <c r="B5" s="733" t="s">
        <v>40</v>
      </c>
      <c r="C5" s="1430" t="s">
        <v>280</v>
      </c>
      <c r="D5" s="1431"/>
      <c r="E5" s="1431"/>
      <c r="F5" s="1431"/>
      <c r="G5" s="1432"/>
      <c r="H5" s="742"/>
      <c r="I5" s="742"/>
      <c r="J5" s="742"/>
      <c r="K5" s="742"/>
    </row>
    <row r="6" spans="1:11" ht="18" customHeight="1" x14ac:dyDescent="0.3">
      <c r="A6" s="742"/>
      <c r="B6" s="733" t="s">
        <v>3</v>
      </c>
      <c r="C6" s="1433">
        <v>210016</v>
      </c>
      <c r="D6" s="1434"/>
      <c r="E6" s="1434"/>
      <c r="F6" s="1434"/>
      <c r="G6" s="1435"/>
      <c r="H6" s="742"/>
      <c r="I6" s="742"/>
      <c r="J6" s="742"/>
      <c r="K6" s="742"/>
    </row>
    <row r="7" spans="1:11" ht="18" customHeight="1" x14ac:dyDescent="0.3">
      <c r="A7" s="742"/>
      <c r="B7" s="733" t="s">
        <v>4</v>
      </c>
      <c r="C7" s="1368">
        <v>1342</v>
      </c>
      <c r="D7" s="1369"/>
      <c r="E7" s="1369"/>
      <c r="F7" s="1369"/>
      <c r="G7" s="1370"/>
      <c r="H7" s="742"/>
      <c r="I7" s="742"/>
      <c r="J7" s="742"/>
      <c r="K7" s="742"/>
    </row>
    <row r="8" spans="1:11" ht="18" customHeight="1" x14ac:dyDescent="0.25">
      <c r="A8" s="633"/>
      <c r="B8" s="742"/>
      <c r="C8" s="742"/>
      <c r="D8" s="742"/>
      <c r="E8" s="742"/>
      <c r="F8" s="742"/>
      <c r="G8" s="742"/>
      <c r="H8" s="742"/>
      <c r="I8" s="742"/>
      <c r="J8" s="742"/>
      <c r="K8" s="742"/>
    </row>
    <row r="9" spans="1:11" ht="18" customHeight="1" x14ac:dyDescent="0.3">
      <c r="A9" s="742"/>
      <c r="B9" s="733" t="s">
        <v>1</v>
      </c>
      <c r="C9" s="1446" t="s">
        <v>187</v>
      </c>
      <c r="D9" s="1447"/>
      <c r="E9" s="1447"/>
      <c r="F9" s="1447"/>
      <c r="G9" s="1448"/>
      <c r="H9" s="742"/>
      <c r="I9" s="742"/>
      <c r="J9" s="742"/>
      <c r="K9" s="742"/>
    </row>
    <row r="10" spans="1:11" ht="18" customHeight="1" x14ac:dyDescent="0.3">
      <c r="A10" s="742"/>
      <c r="B10" s="733" t="s">
        <v>2</v>
      </c>
      <c r="C10" s="1471" t="s">
        <v>188</v>
      </c>
      <c r="D10" s="1472"/>
      <c r="E10" s="1472"/>
      <c r="F10" s="1472"/>
      <c r="G10" s="1473"/>
      <c r="H10" s="742"/>
      <c r="I10" s="742"/>
      <c r="J10" s="742"/>
      <c r="K10" s="742"/>
    </row>
    <row r="11" spans="1:11" ht="18" customHeight="1" x14ac:dyDescent="0.3">
      <c r="A11" s="742"/>
      <c r="B11" s="733" t="s">
        <v>32</v>
      </c>
      <c r="C11" s="1471" t="s">
        <v>189</v>
      </c>
      <c r="D11" s="1472"/>
      <c r="E11" s="1472"/>
      <c r="F11" s="1472"/>
      <c r="G11" s="1473"/>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282" t="s">
        <v>73</v>
      </c>
      <c r="G18" s="282" t="s">
        <v>73</v>
      </c>
      <c r="H18" s="283">
        <v>5951275.5798440995</v>
      </c>
      <c r="I18" s="306">
        <v>0</v>
      </c>
      <c r="J18" s="283">
        <f>'[10]CB Master List - FY17 &amp; CY16'!$AF$12</f>
        <v>5094568.7910101097</v>
      </c>
      <c r="K18" s="284">
        <f>(H18+I18)-J18</f>
        <v>856706.78883398976</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282">
        <f>'[10]CB Master List - FY17 &amp; CY16'!$AB$40</f>
        <v>8277.7100546584625</v>
      </c>
      <c r="G21" s="282">
        <f>'[10]CB Master List - FY17 &amp; CY16'!$AC$40</f>
        <v>1785.543749928258</v>
      </c>
      <c r="H21" s="282">
        <f>'[10]CB Master List - FY17 &amp; CY16'!$AD$40</f>
        <v>348789.03449530003</v>
      </c>
      <c r="I21" s="306">
        <f>'[10]CB Master List - FY17 &amp; CY16'!$AE$40</f>
        <v>211614.76460126182</v>
      </c>
      <c r="J21" s="283">
        <f>'[10]CB Master List - FY17 &amp; CY16'!$AF$40</f>
        <v>22158.560410900001</v>
      </c>
      <c r="K21" s="284">
        <f t="shared" ref="K21:K34" si="0">(H21+I21)-J21</f>
        <v>538245.23868566181</v>
      </c>
    </row>
    <row r="22" spans="1:11" ht="18" customHeight="1" x14ac:dyDescent="0.3">
      <c r="A22" s="733" t="s">
        <v>76</v>
      </c>
      <c r="B22" s="742" t="s">
        <v>6</v>
      </c>
      <c r="C22" s="742"/>
      <c r="D22" s="742"/>
      <c r="E22" s="742"/>
      <c r="F22" s="282">
        <f>'[10]CB Master List - FY17 &amp; CY16'!$AB$59</f>
        <v>756.36726930000009</v>
      </c>
      <c r="G22" s="282"/>
      <c r="H22" s="283">
        <f>'[10]CB Master List - FY17 &amp; CY16'!$AD$59</f>
        <v>44776.406152299998</v>
      </c>
      <c r="I22" s="306">
        <f>'[10]CB Master List - FY17 &amp; CY16'!$AE$59</f>
        <v>27166.4178356993</v>
      </c>
      <c r="J22" s="283">
        <f>'[10]CB Master List - FY17 &amp; CY16'!$AF$59</f>
        <v>14421.753616550001</v>
      </c>
      <c r="K22" s="284">
        <f t="shared" si="0"/>
        <v>57521.070371449292</v>
      </c>
    </row>
    <row r="23" spans="1:11" ht="18" customHeight="1" x14ac:dyDescent="0.3">
      <c r="A23" s="733" t="s">
        <v>77</v>
      </c>
      <c r="B23" s="742" t="s">
        <v>43</v>
      </c>
      <c r="C23" s="742"/>
      <c r="D23" s="742"/>
      <c r="E23" s="742"/>
      <c r="F23" s="282">
        <f>'[10]CB Master List - FY17 &amp; CY16'!$AB$63</f>
        <v>1072.7494055999998</v>
      </c>
      <c r="G23" s="282"/>
      <c r="H23" s="283">
        <f>'[10]CB Master List - FY17 &amp; CY16'!$AD$63</f>
        <v>25317.489883799997</v>
      </c>
      <c r="I23" s="306">
        <f>'[10]CB Master List - FY17 &amp; CY16'!$AE$63</f>
        <v>15360.444659069</v>
      </c>
      <c r="J23" s="283"/>
      <c r="K23" s="284">
        <f t="shared" si="0"/>
        <v>40677.934542868999</v>
      </c>
    </row>
    <row r="24" spans="1:11" ht="18" customHeight="1" x14ac:dyDescent="0.3">
      <c r="A24" s="733" t="s">
        <v>78</v>
      </c>
      <c r="B24" s="742" t="s">
        <v>44</v>
      </c>
      <c r="C24" s="742"/>
      <c r="D24" s="742"/>
      <c r="E24" s="742"/>
      <c r="F24" s="282">
        <f>'[10]CB Master List - FY17 &amp; CY16'!$AB$75</f>
        <v>584</v>
      </c>
      <c r="G24" s="282">
        <f>'[10]CB Master List - FY17 &amp; CY16'!$AC$75</f>
        <v>1905</v>
      </c>
      <c r="H24" s="283"/>
      <c r="I24" s="306">
        <f t="shared" ref="I24:I34" si="1">H24*F$114</f>
        <v>0</v>
      </c>
      <c r="J24" s="283"/>
      <c r="K24" s="284">
        <f t="shared" si="0"/>
        <v>0</v>
      </c>
    </row>
    <row r="25" spans="1:11" ht="18" customHeight="1" x14ac:dyDescent="0.3">
      <c r="A25" s="733" t="s">
        <v>79</v>
      </c>
      <c r="B25" s="742" t="s">
        <v>5</v>
      </c>
      <c r="C25" s="742"/>
      <c r="D25" s="742"/>
      <c r="E25" s="742"/>
      <c r="F25" s="282">
        <f>'[10]CB Master List - FY17 &amp; CY16'!$AB$92</f>
        <v>2755.3446805999993</v>
      </c>
      <c r="G25" s="282"/>
      <c r="H25" s="283">
        <f>'[10]CB Master List - FY17 &amp; CY16'!$AD$92</f>
        <v>90319.841040600004</v>
      </c>
      <c r="I25" s="306">
        <f>'[10]CB Master List - FY17 &amp; CY16'!$AE$92</f>
        <v>54798.201807825208</v>
      </c>
      <c r="J25" s="283">
        <f>'[10]CB Master List - FY17 &amp; CY16'!$AF$92</f>
        <v>3259.9231861999997</v>
      </c>
      <c r="K25" s="284">
        <f t="shared" si="0"/>
        <v>141858.11966222522</v>
      </c>
    </row>
    <row r="26" spans="1:11" ht="18" customHeight="1" x14ac:dyDescent="0.3">
      <c r="A26" s="733" t="s">
        <v>80</v>
      </c>
      <c r="B26" s="742" t="s">
        <v>45</v>
      </c>
      <c r="C26" s="742"/>
      <c r="D26" s="742"/>
      <c r="E26" s="742"/>
      <c r="F26" s="282"/>
      <c r="G26" s="282"/>
      <c r="H26" s="283"/>
      <c r="I26" s="306">
        <f t="shared" si="1"/>
        <v>0</v>
      </c>
      <c r="J26" s="283"/>
      <c r="K26" s="284">
        <f t="shared" si="0"/>
        <v>0</v>
      </c>
    </row>
    <row r="27" spans="1:11" ht="18" customHeight="1" x14ac:dyDescent="0.3">
      <c r="A27" s="733" t="s">
        <v>81</v>
      </c>
      <c r="B27" s="742" t="s">
        <v>46</v>
      </c>
      <c r="C27" s="742"/>
      <c r="D27" s="742"/>
      <c r="E27" s="742"/>
      <c r="F27" s="282"/>
      <c r="G27" s="282"/>
      <c r="H27" s="283"/>
      <c r="I27" s="306">
        <f t="shared" si="1"/>
        <v>0</v>
      </c>
      <c r="J27" s="283"/>
      <c r="K27" s="284">
        <f t="shared" si="0"/>
        <v>0</v>
      </c>
    </row>
    <row r="28" spans="1:11" ht="18" customHeight="1" x14ac:dyDescent="0.3">
      <c r="A28" s="733" t="s">
        <v>82</v>
      </c>
      <c r="B28" s="742" t="s">
        <v>47</v>
      </c>
      <c r="C28" s="742"/>
      <c r="D28" s="742"/>
      <c r="E28" s="742"/>
      <c r="F28" s="282"/>
      <c r="G28" s="282"/>
      <c r="H28" s="283"/>
      <c r="I28" s="306">
        <f t="shared" si="1"/>
        <v>0</v>
      </c>
      <c r="J28" s="283"/>
      <c r="K28" s="284">
        <f t="shared" si="0"/>
        <v>0</v>
      </c>
    </row>
    <row r="29" spans="1:11" ht="18" customHeight="1" x14ac:dyDescent="0.3">
      <c r="A29" s="733" t="s">
        <v>83</v>
      </c>
      <c r="B29" s="742" t="s">
        <v>48</v>
      </c>
      <c r="C29" s="742"/>
      <c r="D29" s="742"/>
      <c r="E29" s="742"/>
      <c r="F29" s="282">
        <f>'[10]CB Master List - FY17 &amp; CY16'!$AB$120</f>
        <v>22999.563525799986</v>
      </c>
      <c r="G29" s="282"/>
      <c r="H29" s="283">
        <f>'[10]CB Master List - FY17 &amp; CY16'!$AD$120</f>
        <v>3330202.9017889998</v>
      </c>
      <c r="I29" s="306">
        <f>'[10]CB Master List - FY17 &amp; CY16'!$AE$120</f>
        <v>1998691.490030197</v>
      </c>
      <c r="J29" s="283"/>
      <c r="K29" s="284">
        <f t="shared" si="0"/>
        <v>5328894.3918191968</v>
      </c>
    </row>
    <row r="30" spans="1:11" ht="18" customHeight="1" x14ac:dyDescent="0.3">
      <c r="A30" s="733" t="s">
        <v>84</v>
      </c>
      <c r="B30" s="1351" t="s">
        <v>196</v>
      </c>
      <c r="C30" s="1352"/>
      <c r="D30" s="1353"/>
      <c r="E30" s="742"/>
      <c r="F30" s="282">
        <f>'[10]CB Master List - FY17 &amp; CY16'!$AB$135</f>
        <v>139.76786450000003</v>
      </c>
      <c r="G30" s="282"/>
      <c r="H30" s="283">
        <f>'[10]CB Master List - FY17 &amp; CY16'!$AD$135</f>
        <v>5888.4391990499998</v>
      </c>
      <c r="I30" s="306">
        <f>'[10]CB Master List - FY17 &amp; CY16'!$AE$135</f>
        <v>4098.2637439711207</v>
      </c>
      <c r="J30" s="283">
        <f>'[10]CB Master List - FY17 &amp; CY16'!$AF$135</f>
        <v>795.70533654999997</v>
      </c>
      <c r="K30" s="284">
        <f t="shared" si="0"/>
        <v>9190.9976064711209</v>
      </c>
    </row>
    <row r="31" spans="1:11" ht="18" customHeight="1" x14ac:dyDescent="0.3">
      <c r="A31" s="733" t="s">
        <v>133</v>
      </c>
      <c r="B31" s="1351"/>
      <c r="C31" s="1352"/>
      <c r="D31" s="1353"/>
      <c r="E31" s="742"/>
      <c r="F31" s="282"/>
      <c r="G31" s="282"/>
      <c r="H31" s="283"/>
      <c r="I31" s="306">
        <f t="shared" si="1"/>
        <v>0</v>
      </c>
      <c r="J31" s="283"/>
      <c r="K31" s="284">
        <f t="shared" si="0"/>
        <v>0</v>
      </c>
    </row>
    <row r="32" spans="1:11" ht="18" customHeight="1" x14ac:dyDescent="0.3">
      <c r="A32" s="733" t="s">
        <v>134</v>
      </c>
      <c r="B32" s="853"/>
      <c r="C32" s="854"/>
      <c r="D32" s="855"/>
      <c r="E32" s="742"/>
      <c r="F32" s="282"/>
      <c r="G32" s="308"/>
      <c r="H32" s="283"/>
      <c r="I32" s="306">
        <f t="shared" si="1"/>
        <v>0</v>
      </c>
      <c r="J32" s="283"/>
      <c r="K32" s="284">
        <f t="shared" si="0"/>
        <v>0</v>
      </c>
    </row>
    <row r="33" spans="1:11" ht="18" customHeight="1" x14ac:dyDescent="0.3">
      <c r="A33" s="733" t="s">
        <v>135</v>
      </c>
      <c r="B33" s="853"/>
      <c r="C33" s="854"/>
      <c r="D33" s="855"/>
      <c r="E33" s="742"/>
      <c r="F33" s="282"/>
      <c r="G33" s="308"/>
      <c r="H33" s="283"/>
      <c r="I33" s="306">
        <f t="shared" si="1"/>
        <v>0</v>
      </c>
      <c r="J33" s="283"/>
      <c r="K33" s="284">
        <f t="shared" si="0"/>
        <v>0</v>
      </c>
    </row>
    <row r="34" spans="1:11" ht="18" customHeight="1" x14ac:dyDescent="0.3">
      <c r="A34" s="733" t="s">
        <v>136</v>
      </c>
      <c r="B34" s="1351"/>
      <c r="C34" s="1352"/>
      <c r="D34" s="1353"/>
      <c r="E34" s="742"/>
      <c r="F34" s="282"/>
      <c r="G34" s="308"/>
      <c r="H34" s="283"/>
      <c r="I34" s="306">
        <f t="shared" si="1"/>
        <v>0</v>
      </c>
      <c r="J34" s="283"/>
      <c r="K34" s="284">
        <f t="shared" si="0"/>
        <v>0</v>
      </c>
    </row>
    <row r="35" spans="1:11" ht="18" customHeight="1" x14ac:dyDescent="0.25">
      <c r="A35" s="742"/>
      <c r="B35" s="742"/>
      <c r="C35" s="742"/>
      <c r="D35" s="742"/>
      <c r="E35" s="742"/>
      <c r="F35" s="742"/>
      <c r="G35" s="742"/>
      <c r="H35" s="742"/>
      <c r="I35" s="742"/>
      <c r="J35" s="742"/>
      <c r="K35" s="315"/>
    </row>
    <row r="36" spans="1:11" ht="18" customHeight="1" x14ac:dyDescent="0.3">
      <c r="A36" s="639" t="s">
        <v>137</v>
      </c>
      <c r="B36" s="636" t="s">
        <v>138</v>
      </c>
      <c r="C36" s="742"/>
      <c r="D36" s="742"/>
      <c r="E36" s="636" t="s">
        <v>7</v>
      </c>
      <c r="F36" s="286">
        <f t="shared" ref="F36:K36" si="2">SUM(F21:F34)</f>
        <v>36585.502800458446</v>
      </c>
      <c r="G36" s="286">
        <f t="shared" si="2"/>
        <v>3690.543749928258</v>
      </c>
      <c r="H36" s="286">
        <f t="shared" si="2"/>
        <v>3845294.1125600496</v>
      </c>
      <c r="I36" s="284">
        <f t="shared" si="2"/>
        <v>2311729.5826780233</v>
      </c>
      <c r="J36" s="284">
        <f t="shared" si="2"/>
        <v>40635.942550200009</v>
      </c>
      <c r="K36" s="284">
        <f t="shared" si="2"/>
        <v>6116387.7526878733</v>
      </c>
    </row>
    <row r="37" spans="1:11" ht="18" customHeight="1" thickBot="1" x14ac:dyDescent="0.35">
      <c r="A37" s="742"/>
      <c r="B37" s="636"/>
      <c r="C37" s="742"/>
      <c r="D37" s="742"/>
      <c r="E37" s="742"/>
      <c r="F37" s="287"/>
      <c r="G37" s="287"/>
      <c r="H37" s="288"/>
      <c r="I37" s="288"/>
      <c r="J37" s="288"/>
      <c r="K37" s="303"/>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282">
        <f>'[10]CB Master List - FY17 &amp; CY16'!$AB$155</f>
        <v>14636</v>
      </c>
      <c r="G40" s="282">
        <f>'[10]CB Master List - FY17 &amp; CY16'!$AC$155</f>
        <v>4652</v>
      </c>
      <c r="H40" s="283">
        <f>'[10]CB Master List - FY17 &amp; CY16'!$AD$155</f>
        <v>658775.39</v>
      </c>
      <c r="I40" s="306">
        <v>0</v>
      </c>
      <c r="J40" s="283">
        <f>'[10]CB Master List - FY17 &amp; CY16'!$AF$155</f>
        <v>71333.359999999986</v>
      </c>
      <c r="K40" s="284">
        <f t="shared" ref="K40:K47" si="3">(H40+I40)-J40</f>
        <v>587442.03</v>
      </c>
    </row>
    <row r="41" spans="1:11" ht="18" customHeight="1" x14ac:dyDescent="0.3">
      <c r="A41" s="733" t="s">
        <v>88</v>
      </c>
      <c r="B41" s="1359" t="s">
        <v>50</v>
      </c>
      <c r="C41" s="1359"/>
      <c r="D41" s="742"/>
      <c r="E41" s="742"/>
      <c r="F41" s="282">
        <f>'[10]CB Master List - FY17 &amp; CY16'!$AB$165</f>
        <v>4933</v>
      </c>
      <c r="G41" s="282">
        <f>'[10]CB Master List - FY17 &amp; CY16'!$AC$165</f>
        <v>4346</v>
      </c>
      <c r="H41" s="283">
        <f>'[10]CB Master List - FY17 &amp; CY16'!$AD$165</f>
        <v>207186</v>
      </c>
      <c r="I41" s="306">
        <v>0</v>
      </c>
      <c r="J41" s="283"/>
      <c r="K41" s="284">
        <f t="shared" si="3"/>
        <v>207186</v>
      </c>
    </row>
    <row r="42" spans="1:11" ht="18" customHeight="1" x14ac:dyDescent="0.3">
      <c r="A42" s="733" t="s">
        <v>89</v>
      </c>
      <c r="B42" s="635" t="s">
        <v>11</v>
      </c>
      <c r="C42" s="742"/>
      <c r="D42" s="742"/>
      <c r="E42" s="742"/>
      <c r="F42" s="282">
        <f>'[10]CB Master List - FY17 &amp; CY16'!$AB$188</f>
        <v>19301.900093077522</v>
      </c>
      <c r="G42" s="282">
        <f>'[10]CB Master List - FY17 &amp; CY16'!$AC$188</f>
        <v>2198.6459648012979</v>
      </c>
      <c r="H42" s="283">
        <f>'[10]CB Master List - FY17 &amp; CY16'!$AD$188</f>
        <v>812736.3515344999</v>
      </c>
      <c r="I42" s="306">
        <v>0</v>
      </c>
      <c r="J42" s="283">
        <f>'[10]CB Master List - FY17 &amp; CY16'!$AF$188</f>
        <v>7489.2717922000002</v>
      </c>
      <c r="K42" s="284">
        <f t="shared" si="3"/>
        <v>805247.07974229986</v>
      </c>
    </row>
    <row r="43" spans="1:11" ht="18" customHeight="1" x14ac:dyDescent="0.3">
      <c r="A43" s="733" t="s">
        <v>90</v>
      </c>
      <c r="B43" s="670" t="s">
        <v>10</v>
      </c>
      <c r="C43" s="642"/>
      <c r="D43" s="642"/>
      <c r="E43" s="742"/>
      <c r="F43" s="282"/>
      <c r="G43" s="282"/>
      <c r="H43" s="283"/>
      <c r="I43" s="306">
        <v>0</v>
      </c>
      <c r="J43" s="283"/>
      <c r="K43" s="284">
        <f t="shared" si="3"/>
        <v>0</v>
      </c>
    </row>
    <row r="44" spans="1:11" ht="18" customHeight="1" x14ac:dyDescent="0.3">
      <c r="A44" s="733" t="s">
        <v>91</v>
      </c>
      <c r="B44" s="1351"/>
      <c r="C44" s="1352"/>
      <c r="D44" s="1353"/>
      <c r="E44" s="742"/>
      <c r="F44" s="324"/>
      <c r="G44" s="324"/>
      <c r="H44" s="324"/>
      <c r="I44" s="325">
        <v>0</v>
      </c>
      <c r="J44" s="324"/>
      <c r="K44" s="326">
        <f t="shared" si="3"/>
        <v>0</v>
      </c>
    </row>
    <row r="45" spans="1:11" ht="18" customHeight="1" x14ac:dyDescent="0.3">
      <c r="A45" s="733" t="s">
        <v>139</v>
      </c>
      <c r="B45" s="1351"/>
      <c r="C45" s="1352"/>
      <c r="D45" s="1353"/>
      <c r="E45" s="742"/>
      <c r="F45" s="282"/>
      <c r="G45" s="282"/>
      <c r="H45" s="283"/>
      <c r="I45" s="306">
        <v>0</v>
      </c>
      <c r="J45" s="283"/>
      <c r="K45" s="284">
        <f t="shared" si="3"/>
        <v>0</v>
      </c>
    </row>
    <row r="46" spans="1:11" ht="18" customHeight="1" x14ac:dyDescent="0.3">
      <c r="A46" s="733" t="s">
        <v>140</v>
      </c>
      <c r="B46" s="1351"/>
      <c r="C46" s="1352"/>
      <c r="D46" s="1353"/>
      <c r="E46" s="742"/>
      <c r="F46" s="282"/>
      <c r="G46" s="282"/>
      <c r="H46" s="283"/>
      <c r="I46" s="306">
        <v>0</v>
      </c>
      <c r="J46" s="283"/>
      <c r="K46" s="284">
        <f t="shared" si="3"/>
        <v>0</v>
      </c>
    </row>
    <row r="47" spans="1:11" ht="18" customHeight="1" x14ac:dyDescent="0.3">
      <c r="A47" s="733" t="s">
        <v>141</v>
      </c>
      <c r="B47" s="1351"/>
      <c r="C47" s="1352"/>
      <c r="D47" s="1353"/>
      <c r="E47" s="742"/>
      <c r="F47" s="282"/>
      <c r="G47" s="282"/>
      <c r="H47" s="283"/>
      <c r="I47" s="306">
        <v>0</v>
      </c>
      <c r="J47" s="283"/>
      <c r="K47" s="284">
        <f t="shared" si="3"/>
        <v>0</v>
      </c>
    </row>
    <row r="48" spans="1:11" ht="18" customHeight="1" x14ac:dyDescent="0.25">
      <c r="A48" s="633"/>
      <c r="B48" s="742"/>
      <c r="C48" s="742"/>
      <c r="D48" s="742"/>
      <c r="E48" s="742"/>
      <c r="F48" s="742"/>
      <c r="G48" s="742"/>
      <c r="H48" s="742"/>
      <c r="I48" s="742"/>
      <c r="J48" s="742"/>
      <c r="K48" s="742"/>
    </row>
    <row r="49" spans="1:11" ht="18" customHeight="1" x14ac:dyDescent="0.3">
      <c r="A49" s="639" t="s">
        <v>142</v>
      </c>
      <c r="B49" s="636" t="s">
        <v>143</v>
      </c>
      <c r="C49" s="742"/>
      <c r="D49" s="742"/>
      <c r="E49" s="636" t="s">
        <v>7</v>
      </c>
      <c r="F49" s="290">
        <f t="shared" ref="F49:K49" si="4">SUM(F40:F47)</f>
        <v>38870.900093077522</v>
      </c>
      <c r="G49" s="290">
        <f t="shared" si="4"/>
        <v>11196.645964801297</v>
      </c>
      <c r="H49" s="284">
        <f t="shared" si="4"/>
        <v>1678697.7415344999</v>
      </c>
      <c r="I49" s="284">
        <f t="shared" si="4"/>
        <v>0</v>
      </c>
      <c r="J49" s="284">
        <f t="shared" si="4"/>
        <v>78822.631792199987</v>
      </c>
      <c r="K49" s="284">
        <f t="shared" si="4"/>
        <v>1599875.1097422999</v>
      </c>
    </row>
    <row r="50" spans="1:11" ht="18" customHeight="1" thickBot="1" x14ac:dyDescent="0.3">
      <c r="A50" s="742"/>
      <c r="B50" s="742"/>
      <c r="C50" s="742"/>
      <c r="D50" s="742"/>
      <c r="E50" s="742"/>
      <c r="F50" s="742"/>
      <c r="G50" s="291"/>
      <c r="H50" s="291"/>
      <c r="I50" s="291"/>
      <c r="J50" s="291"/>
      <c r="K50" s="291"/>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190</v>
      </c>
      <c r="C53" s="1355"/>
      <c r="D53" s="1356"/>
      <c r="E53" s="742"/>
      <c r="F53" s="282"/>
      <c r="G53" s="282"/>
      <c r="H53" s="283"/>
      <c r="I53" s="306">
        <v>0</v>
      </c>
      <c r="J53" s="283"/>
      <c r="K53" s="284">
        <f t="shared" ref="K53:K62" si="5">(H53+I53)-J53</f>
        <v>0</v>
      </c>
    </row>
    <row r="54" spans="1:11" ht="18" customHeight="1" x14ac:dyDescent="0.3">
      <c r="A54" s="733" t="s">
        <v>93</v>
      </c>
      <c r="B54" s="856" t="s">
        <v>191</v>
      </c>
      <c r="C54" s="857"/>
      <c r="D54" s="858"/>
      <c r="E54" s="742"/>
      <c r="F54" s="282">
        <f>'[10]CB Master List - FY17 &amp; CY16'!$AB$219</f>
        <v>43407.013333333329</v>
      </c>
      <c r="G54" s="282">
        <f>'[10]CB Master List - FY17 &amp; CY16'!$AC$219</f>
        <v>0</v>
      </c>
      <c r="H54" s="283">
        <f>'[10]CB Master List - FY17 &amp; CY16'!$AD$219</f>
        <v>10436391.766666669</v>
      </c>
      <c r="I54" s="306">
        <v>0</v>
      </c>
      <c r="J54" s="283">
        <f>'[10]CB Master List - FY17 &amp; CY16'!$AF$219</f>
        <v>608125.85666666657</v>
      </c>
      <c r="K54" s="284">
        <f t="shared" si="5"/>
        <v>9828265.910000002</v>
      </c>
    </row>
    <row r="55" spans="1:11" ht="18" customHeight="1" x14ac:dyDescent="0.3">
      <c r="A55" s="733" t="s">
        <v>94</v>
      </c>
      <c r="B55" s="1354" t="s">
        <v>192</v>
      </c>
      <c r="C55" s="1355"/>
      <c r="D55" s="1356"/>
      <c r="E55" s="742"/>
      <c r="F55" s="282">
        <f>'[10]CB Master List - FY17 &amp; CY16'!$AB$229</f>
        <v>81120</v>
      </c>
      <c r="G55" s="282">
        <f>'[10]CB Master List - FY17 &amp; CY16'!$AC$229</f>
        <v>2080</v>
      </c>
      <c r="H55" s="283">
        <f>'[10]CB Master List - FY17 &amp; CY16'!$AD$229</f>
        <v>1654266.7600000002</v>
      </c>
      <c r="I55" s="306">
        <v>0</v>
      </c>
      <c r="J55" s="283"/>
      <c r="K55" s="284">
        <f t="shared" si="5"/>
        <v>1654266.7600000002</v>
      </c>
    </row>
    <row r="56" spans="1:11" ht="18" customHeight="1" x14ac:dyDescent="0.3">
      <c r="A56" s="733" t="s">
        <v>95</v>
      </c>
      <c r="B56" s="1354" t="s">
        <v>193</v>
      </c>
      <c r="C56" s="1355"/>
      <c r="D56" s="1356"/>
      <c r="E56" s="742"/>
      <c r="F56" s="282"/>
      <c r="G56" s="282"/>
      <c r="H56" s="283"/>
      <c r="I56" s="306">
        <v>0</v>
      </c>
      <c r="J56" s="283"/>
      <c r="K56" s="284">
        <f t="shared" si="5"/>
        <v>0</v>
      </c>
    </row>
    <row r="57" spans="1:11" ht="18" customHeight="1" x14ac:dyDescent="0.3">
      <c r="A57" s="733" t="s">
        <v>96</v>
      </c>
      <c r="B57" s="1354" t="s">
        <v>194</v>
      </c>
      <c r="C57" s="1355"/>
      <c r="D57" s="1356"/>
      <c r="E57" s="742"/>
      <c r="F57" s="282">
        <f>'[10]CB Master List - FY17 &amp; CY16'!$AB$243</f>
        <v>0</v>
      </c>
      <c r="G57" s="282"/>
      <c r="H57" s="283">
        <f>'[10]CB Master List - FY17 &amp; CY16'!$AD$243</f>
        <v>5832915.4290961372</v>
      </c>
      <c r="I57" s="306">
        <v>0</v>
      </c>
      <c r="J57" s="283"/>
      <c r="K57" s="284">
        <f t="shared" si="5"/>
        <v>5832915.4290961372</v>
      </c>
    </row>
    <row r="58" spans="1:11" ht="18" customHeight="1" x14ac:dyDescent="0.3">
      <c r="A58" s="733" t="s">
        <v>97</v>
      </c>
      <c r="B58" s="856"/>
      <c r="C58" s="857"/>
      <c r="D58" s="858"/>
      <c r="E58" s="742"/>
      <c r="F58" s="282"/>
      <c r="G58" s="282"/>
      <c r="H58" s="283"/>
      <c r="I58" s="306">
        <v>0</v>
      </c>
      <c r="J58" s="283"/>
      <c r="K58" s="284">
        <f t="shared" si="5"/>
        <v>0</v>
      </c>
    </row>
    <row r="59" spans="1:11" ht="18" customHeight="1" x14ac:dyDescent="0.3">
      <c r="A59" s="733" t="s">
        <v>98</v>
      </c>
      <c r="B59" s="1354"/>
      <c r="C59" s="1355"/>
      <c r="D59" s="1356"/>
      <c r="E59" s="742"/>
      <c r="F59" s="282"/>
      <c r="G59" s="282"/>
      <c r="H59" s="283"/>
      <c r="I59" s="306">
        <v>0</v>
      </c>
      <c r="J59" s="283"/>
      <c r="K59" s="284">
        <f t="shared" si="5"/>
        <v>0</v>
      </c>
    </row>
    <row r="60" spans="1:11" ht="18" customHeight="1" x14ac:dyDescent="0.3">
      <c r="A60" s="733" t="s">
        <v>99</v>
      </c>
      <c r="B60" s="856"/>
      <c r="C60" s="857"/>
      <c r="D60" s="858"/>
      <c r="E60" s="742"/>
      <c r="F60" s="282"/>
      <c r="G60" s="282"/>
      <c r="H60" s="283"/>
      <c r="I60" s="306">
        <v>0</v>
      </c>
      <c r="J60" s="283"/>
      <c r="K60" s="284">
        <f t="shared" si="5"/>
        <v>0</v>
      </c>
    </row>
    <row r="61" spans="1:11" ht="18" customHeight="1" x14ac:dyDescent="0.3">
      <c r="A61" s="733" t="s">
        <v>100</v>
      </c>
      <c r="B61" s="856"/>
      <c r="C61" s="857"/>
      <c r="D61" s="858"/>
      <c r="E61" s="742"/>
      <c r="F61" s="282"/>
      <c r="G61" s="282"/>
      <c r="H61" s="283"/>
      <c r="I61" s="306">
        <v>0</v>
      </c>
      <c r="J61" s="283"/>
      <c r="K61" s="284">
        <f t="shared" si="5"/>
        <v>0</v>
      </c>
    </row>
    <row r="62" spans="1:11" ht="18" customHeight="1" x14ac:dyDescent="0.3">
      <c r="A62" s="733" t="s">
        <v>101</v>
      </c>
      <c r="B62" s="1354"/>
      <c r="C62" s="1355"/>
      <c r="D62" s="1356"/>
      <c r="E62" s="742"/>
      <c r="F62" s="282"/>
      <c r="G62" s="282"/>
      <c r="H62" s="283"/>
      <c r="I62" s="306">
        <v>0</v>
      </c>
      <c r="J62" s="283"/>
      <c r="K62" s="284">
        <f t="shared" si="5"/>
        <v>0</v>
      </c>
    </row>
    <row r="63" spans="1:11" ht="18" customHeight="1" x14ac:dyDescent="0.3">
      <c r="A63" s="733"/>
      <c r="B63" s="742"/>
      <c r="C63" s="742"/>
      <c r="D63" s="742"/>
      <c r="E63" s="742"/>
      <c r="F63" s="742"/>
      <c r="G63" s="742"/>
      <c r="H63" s="742"/>
      <c r="I63" s="276"/>
      <c r="J63" s="742"/>
      <c r="K63" s="742"/>
    </row>
    <row r="64" spans="1:11" ht="18" customHeight="1" x14ac:dyDescent="0.3">
      <c r="A64" s="733" t="s">
        <v>144</v>
      </c>
      <c r="B64" s="636" t="s">
        <v>145</v>
      </c>
      <c r="C64" s="742"/>
      <c r="D64" s="742"/>
      <c r="E64" s="636" t="s">
        <v>7</v>
      </c>
      <c r="F64" s="286">
        <f t="shared" ref="F64:K64" si="6">SUM(F53:F62)</f>
        <v>124527.01333333334</v>
      </c>
      <c r="G64" s="286">
        <f t="shared" si="6"/>
        <v>2080</v>
      </c>
      <c r="H64" s="284">
        <f t="shared" si="6"/>
        <v>17923573.955762807</v>
      </c>
      <c r="I64" s="284">
        <f t="shared" si="6"/>
        <v>0</v>
      </c>
      <c r="J64" s="284">
        <f t="shared" si="6"/>
        <v>608125.85666666657</v>
      </c>
      <c r="K64" s="284">
        <f t="shared" si="6"/>
        <v>17315448.099096138</v>
      </c>
    </row>
    <row r="65" spans="1:11" ht="18" customHeight="1" x14ac:dyDescent="0.25">
      <c r="A65" s="742"/>
      <c r="B65" s="742"/>
      <c r="C65" s="742"/>
      <c r="D65" s="742"/>
      <c r="E65" s="742"/>
      <c r="F65" s="304"/>
      <c r="G65" s="304"/>
      <c r="H65" s="304"/>
      <c r="I65" s="304"/>
      <c r="J65" s="304"/>
      <c r="K65" s="304"/>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282">
        <f>'[10]CB Master List - FY17 &amp; CY16'!$AB$261</f>
        <v>586.56999999999994</v>
      </c>
      <c r="G68" s="282"/>
      <c r="H68" s="283">
        <f>'[10]CB Master List - FY17 &amp; CY16'!$AD$261</f>
        <v>392392.51</v>
      </c>
      <c r="I68" s="306">
        <v>0</v>
      </c>
      <c r="J68" s="283">
        <f>'[10]CB Master List - FY17 &amp; CY16'!$AF$261</f>
        <v>234792</v>
      </c>
      <c r="K68" s="284">
        <f>(H68+I68)-J68</f>
        <v>157600.51</v>
      </c>
    </row>
    <row r="69" spans="1:11" ht="18" customHeight="1" x14ac:dyDescent="0.3">
      <c r="A69" s="733" t="s">
        <v>104</v>
      </c>
      <c r="B69" s="635" t="s">
        <v>53</v>
      </c>
      <c r="C69" s="742"/>
      <c r="D69" s="742"/>
      <c r="E69" s="742"/>
      <c r="F69" s="282"/>
      <c r="G69" s="282"/>
      <c r="H69" s="283">
        <f>'[10]CB Master List - FY17 &amp; CY16'!$AD$270</f>
        <v>27041.505000000001</v>
      </c>
      <c r="I69" s="306">
        <v>0</v>
      </c>
      <c r="J69" s="283"/>
      <c r="K69" s="284">
        <f>(H69+I69)-J69</f>
        <v>27041.505000000001</v>
      </c>
    </row>
    <row r="70" spans="1:11" ht="18" customHeight="1" x14ac:dyDescent="0.3">
      <c r="A70" s="733" t="s">
        <v>178</v>
      </c>
      <c r="B70" s="856"/>
      <c r="C70" s="857"/>
      <c r="D70" s="858"/>
      <c r="E70" s="636"/>
      <c r="F70" s="294"/>
      <c r="G70" s="294"/>
      <c r="H70" s="295"/>
      <c r="I70" s="306">
        <v>0</v>
      </c>
      <c r="J70" s="295"/>
      <c r="K70" s="284">
        <f>(H70+I70)-J70</f>
        <v>0</v>
      </c>
    </row>
    <row r="71" spans="1:11" ht="18" customHeight="1" x14ac:dyDescent="0.3">
      <c r="A71" s="733" t="s">
        <v>179</v>
      </c>
      <c r="B71" s="856"/>
      <c r="C71" s="857"/>
      <c r="D71" s="858"/>
      <c r="E71" s="636"/>
      <c r="F71" s="294"/>
      <c r="G71" s="294"/>
      <c r="H71" s="295"/>
      <c r="I71" s="306">
        <v>0</v>
      </c>
      <c r="J71" s="295"/>
      <c r="K71" s="284">
        <f>(H71+I71)-J71</f>
        <v>0</v>
      </c>
    </row>
    <row r="72" spans="1:11" ht="18" customHeight="1" x14ac:dyDescent="0.3">
      <c r="A72" s="733" t="s">
        <v>180</v>
      </c>
      <c r="B72" s="859"/>
      <c r="C72" s="860"/>
      <c r="D72" s="293"/>
      <c r="E72" s="636"/>
      <c r="F72" s="282"/>
      <c r="G72" s="282"/>
      <c r="H72" s="283"/>
      <c r="I72" s="306">
        <v>0</v>
      </c>
      <c r="J72" s="283"/>
      <c r="K72" s="284">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289">
        <f t="shared" ref="F74:K74" si="7">SUM(F68:F72)</f>
        <v>586.56999999999994</v>
      </c>
      <c r="G74" s="289">
        <f t="shared" si="7"/>
        <v>0</v>
      </c>
      <c r="H74" s="289">
        <f t="shared" si="7"/>
        <v>419434.01500000001</v>
      </c>
      <c r="I74" s="309">
        <f t="shared" si="7"/>
        <v>0</v>
      </c>
      <c r="J74" s="289">
        <f t="shared" si="7"/>
        <v>234792</v>
      </c>
      <c r="K74" s="285">
        <f t="shared" si="7"/>
        <v>184642.01500000001</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282">
        <f>'[10]CB Master List - FY17 &amp; CY16'!$AB$292</f>
        <v>45.324074596046302</v>
      </c>
      <c r="G77" s="282"/>
      <c r="H77" s="283">
        <f>'[10]CB Master List - FY17 &amp; CY16'!$AD$292</f>
        <v>619894.2919999999</v>
      </c>
      <c r="I77" s="306">
        <v>0</v>
      </c>
      <c r="J77" s="283"/>
      <c r="K77" s="284">
        <f>(H77+I77)-J77</f>
        <v>619894.2919999999</v>
      </c>
    </row>
    <row r="78" spans="1:11" ht="18" customHeight="1" x14ac:dyDescent="0.3">
      <c r="A78" s="733" t="s">
        <v>108</v>
      </c>
      <c r="B78" s="635" t="s">
        <v>55</v>
      </c>
      <c r="C78" s="742"/>
      <c r="D78" s="742"/>
      <c r="E78" s="742"/>
      <c r="F78" s="282"/>
      <c r="G78" s="282"/>
      <c r="H78" s="283"/>
      <c r="I78" s="306">
        <v>0</v>
      </c>
      <c r="J78" s="283"/>
      <c r="K78" s="284">
        <f>(H78+I78)-J78</f>
        <v>0</v>
      </c>
    </row>
    <row r="79" spans="1:11" ht="18" customHeight="1" x14ac:dyDescent="0.3">
      <c r="A79" s="733" t="s">
        <v>109</v>
      </c>
      <c r="B79" s="635" t="s">
        <v>13</v>
      </c>
      <c r="C79" s="742"/>
      <c r="D79" s="742"/>
      <c r="E79" s="742"/>
      <c r="F79" s="282">
        <f>'[10]CB Master List - FY17 &amp; CY16'!$AB$307</f>
        <v>127.23200839728395</v>
      </c>
      <c r="G79" s="282">
        <f>'[10]CB Master List - FY17 &amp; CY16'!$AC$307</f>
        <v>50</v>
      </c>
      <c r="H79" s="283">
        <f>'[10]CB Master List - FY17 &amp; CY16'!$AD$307</f>
        <v>39300.75</v>
      </c>
      <c r="I79" s="306">
        <v>0</v>
      </c>
      <c r="J79" s="283"/>
      <c r="K79" s="284">
        <f>(H79+I79)-J79</f>
        <v>39300.75</v>
      </c>
    </row>
    <row r="80" spans="1:11" ht="18" customHeight="1" x14ac:dyDescent="0.3">
      <c r="A80" s="733" t="s">
        <v>110</v>
      </c>
      <c r="B80" s="635" t="s">
        <v>56</v>
      </c>
      <c r="C80" s="742"/>
      <c r="D80" s="742"/>
      <c r="E80" s="742"/>
      <c r="F80" s="282"/>
      <c r="G80" s="282"/>
      <c r="H80" s="283"/>
      <c r="I80" s="306">
        <v>0</v>
      </c>
      <c r="J80" s="283"/>
      <c r="K80" s="284">
        <f>(H80+I80)-J80</f>
        <v>0</v>
      </c>
    </row>
    <row r="81" spans="1:11" ht="18" customHeight="1" x14ac:dyDescent="0.3">
      <c r="A81" s="733"/>
      <c r="B81" s="742"/>
      <c r="C81" s="742"/>
      <c r="D81" s="742"/>
      <c r="E81" s="742"/>
      <c r="F81" s="742"/>
      <c r="G81" s="742"/>
      <c r="H81" s="742"/>
      <c r="I81" s="742"/>
      <c r="J81" s="742"/>
      <c r="K81" s="299"/>
    </row>
    <row r="82" spans="1:11" ht="18" customHeight="1" x14ac:dyDescent="0.3">
      <c r="A82" s="733" t="s">
        <v>148</v>
      </c>
      <c r="B82" s="636" t="s">
        <v>149</v>
      </c>
      <c r="C82" s="742"/>
      <c r="D82" s="742"/>
      <c r="E82" s="636" t="s">
        <v>7</v>
      </c>
      <c r="F82" s="289">
        <f t="shared" ref="F82:K82" si="8">SUM(F77:F80)</f>
        <v>172.55608299333025</v>
      </c>
      <c r="G82" s="289">
        <f t="shared" si="8"/>
        <v>50</v>
      </c>
      <c r="H82" s="285">
        <f t="shared" si="8"/>
        <v>659195.0419999999</v>
      </c>
      <c r="I82" s="285">
        <f t="shared" si="8"/>
        <v>0</v>
      </c>
      <c r="J82" s="285">
        <f t="shared" si="8"/>
        <v>0</v>
      </c>
      <c r="K82" s="285">
        <f t="shared" si="8"/>
        <v>659195.0419999999</v>
      </c>
    </row>
    <row r="83" spans="1:11" ht="18" customHeight="1" thickBot="1" x14ac:dyDescent="0.35">
      <c r="A83" s="733"/>
      <c r="B83" s="742"/>
      <c r="C83" s="742"/>
      <c r="D83" s="742"/>
      <c r="E83" s="742"/>
      <c r="F83" s="291"/>
      <c r="G83" s="291"/>
      <c r="H83" s="291"/>
      <c r="I83" s="291"/>
      <c r="J83" s="291"/>
      <c r="K83" s="291"/>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282"/>
      <c r="G86" s="282"/>
      <c r="H86" s="283">
        <f>'[10]CB Master List - FY17 &amp; CY16'!$AD$332</f>
        <v>11770.40487435316</v>
      </c>
      <c r="I86" s="306">
        <f>'[10]CB Master List - FY17 &amp; CY16'!$AE$332</f>
        <v>7141.2550579520948</v>
      </c>
      <c r="J86" s="283"/>
      <c r="K86" s="284">
        <f t="shared" ref="K86:K96" si="9">(H86+I86)-J86</f>
        <v>18911.659932305254</v>
      </c>
    </row>
    <row r="87" spans="1:11" ht="18" customHeight="1" x14ac:dyDescent="0.3">
      <c r="A87" s="733" t="s">
        <v>114</v>
      </c>
      <c r="B87" s="635" t="s">
        <v>14</v>
      </c>
      <c r="C87" s="742"/>
      <c r="D87" s="742"/>
      <c r="E87" s="742"/>
      <c r="F87" s="282">
        <f>'[10]CB Master List - FY17 &amp; CY16'!$AB$340</f>
        <v>51.333495140058872</v>
      </c>
      <c r="G87" s="282"/>
      <c r="H87" s="283"/>
      <c r="I87" s="306">
        <f t="shared" ref="I87:I96" si="10">H87*F$114</f>
        <v>0</v>
      </c>
      <c r="J87" s="283"/>
      <c r="K87" s="284">
        <f t="shared" si="9"/>
        <v>0</v>
      </c>
    </row>
    <row r="88" spans="1:11" ht="18" customHeight="1" x14ac:dyDescent="0.3">
      <c r="A88" s="733" t="s">
        <v>115</v>
      </c>
      <c r="B88" s="635" t="s">
        <v>116</v>
      </c>
      <c r="C88" s="742"/>
      <c r="D88" s="742"/>
      <c r="E88" s="742"/>
      <c r="F88" s="282">
        <f>'[10]CB Master List - FY17 &amp; CY16'!$AB$350</f>
        <v>22.11479064820043</v>
      </c>
      <c r="G88" s="282">
        <f>'[10]CB Master List - FY17 &amp; CY16'!$AC$350</f>
        <v>10.896086156341987</v>
      </c>
      <c r="H88" s="283">
        <f>'[10]CB Master List - FY17 &amp; CY16'!$AD$350</f>
        <v>20560.8</v>
      </c>
      <c r="I88" s="306">
        <f>'[10]CB Master List - FY17 &amp; CY16'!$AE$350</f>
        <v>12474.500118128726</v>
      </c>
      <c r="J88" s="283"/>
      <c r="K88" s="284">
        <f t="shared" si="9"/>
        <v>33035.300118128725</v>
      </c>
    </row>
    <row r="89" spans="1:11" ht="18" customHeight="1" x14ac:dyDescent="0.3">
      <c r="A89" s="733" t="s">
        <v>117</v>
      </c>
      <c r="B89" s="635" t="s">
        <v>58</v>
      </c>
      <c r="C89" s="742"/>
      <c r="D89" s="742"/>
      <c r="E89" s="742"/>
      <c r="F89" s="282"/>
      <c r="G89" s="282"/>
      <c r="H89" s="283"/>
      <c r="I89" s="306">
        <f t="shared" si="10"/>
        <v>0</v>
      </c>
      <c r="J89" s="283"/>
      <c r="K89" s="284">
        <f t="shared" si="9"/>
        <v>0</v>
      </c>
    </row>
    <row r="90" spans="1:11" ht="18" customHeight="1" x14ac:dyDescent="0.3">
      <c r="A90" s="733" t="s">
        <v>118</v>
      </c>
      <c r="B90" s="1359" t="s">
        <v>59</v>
      </c>
      <c r="C90" s="1359"/>
      <c r="D90" s="742"/>
      <c r="E90" s="742"/>
      <c r="F90" s="282">
        <f>'[10]CB Master List - FY17 &amp; CY16'!$AB$366</f>
        <v>9.5002427100883082</v>
      </c>
      <c r="G90" s="282"/>
      <c r="H90" s="283"/>
      <c r="I90" s="306">
        <f t="shared" si="10"/>
        <v>0</v>
      </c>
      <c r="J90" s="283"/>
      <c r="K90" s="284">
        <f t="shared" si="9"/>
        <v>0</v>
      </c>
    </row>
    <row r="91" spans="1:11" ht="18" customHeight="1" x14ac:dyDescent="0.3">
      <c r="A91" s="733" t="s">
        <v>119</v>
      </c>
      <c r="B91" s="635" t="s">
        <v>60</v>
      </c>
      <c r="C91" s="742"/>
      <c r="D91" s="742"/>
      <c r="E91" s="742"/>
      <c r="F91" s="282">
        <f>'[10]CB Master List - FY17 &amp; CY16'!$AB$375</f>
        <v>769.9958984006488</v>
      </c>
      <c r="G91" s="282"/>
      <c r="H91" s="283">
        <f>'[10]CB Master List - FY17 &amp; CY16'!$AD$375</f>
        <v>53219.954515100006</v>
      </c>
      <c r="I91" s="306">
        <f>'[10]CB Master List - FY17 &amp; CY16'!$AE$375</f>
        <v>32630.37721470643</v>
      </c>
      <c r="J91" s="283">
        <f>'[10]CB Master List - FY17 &amp; CY16'!$AF$375</f>
        <v>6996.4141119999995</v>
      </c>
      <c r="K91" s="284">
        <f t="shared" si="9"/>
        <v>78853.917617806437</v>
      </c>
    </row>
    <row r="92" spans="1:11" ht="18" customHeight="1" x14ac:dyDescent="0.3">
      <c r="A92" s="733" t="s">
        <v>120</v>
      </c>
      <c r="B92" s="635" t="s">
        <v>121</v>
      </c>
      <c r="C92" s="742"/>
      <c r="D92" s="742"/>
      <c r="E92" s="742"/>
      <c r="F92" s="297">
        <f>'[10]CB Master List - FY17 &amp; CY16'!$AB$387</f>
        <v>4846.4470304870629</v>
      </c>
      <c r="G92" s="297"/>
      <c r="H92" s="298">
        <f>'[10]CB Master List - FY17 &amp; CY16'!$AD$387</f>
        <v>458507.39212808135</v>
      </c>
      <c r="I92" s="306">
        <f>'[10]CB Master List - FY17 &amp; CY16'!$AE$387</f>
        <v>278182.2943302131</v>
      </c>
      <c r="J92" s="298"/>
      <c r="K92" s="284">
        <f t="shared" si="9"/>
        <v>736689.68645829451</v>
      </c>
    </row>
    <row r="93" spans="1:11" ht="18" customHeight="1" x14ac:dyDescent="0.3">
      <c r="A93" s="733" t="s">
        <v>122</v>
      </c>
      <c r="B93" s="635" t="s">
        <v>123</v>
      </c>
      <c r="C93" s="742"/>
      <c r="D93" s="742"/>
      <c r="E93" s="742"/>
      <c r="F93" s="282"/>
      <c r="G93" s="282"/>
      <c r="H93" s="283"/>
      <c r="I93" s="306">
        <f t="shared" si="10"/>
        <v>0</v>
      </c>
      <c r="J93" s="283"/>
      <c r="K93" s="284">
        <f t="shared" si="9"/>
        <v>0</v>
      </c>
    </row>
    <row r="94" spans="1:11" ht="18" customHeight="1" x14ac:dyDescent="0.3">
      <c r="A94" s="733" t="s">
        <v>124</v>
      </c>
      <c r="B94" s="1354"/>
      <c r="C94" s="1355"/>
      <c r="D94" s="1356"/>
      <c r="E94" s="742"/>
      <c r="F94" s="282"/>
      <c r="G94" s="282"/>
      <c r="H94" s="283"/>
      <c r="I94" s="306">
        <f t="shared" si="10"/>
        <v>0</v>
      </c>
      <c r="J94" s="283"/>
      <c r="K94" s="284">
        <f t="shared" si="9"/>
        <v>0</v>
      </c>
    </row>
    <row r="95" spans="1:11" ht="18" customHeight="1" x14ac:dyDescent="0.3">
      <c r="A95" s="733" t="s">
        <v>125</v>
      </c>
      <c r="B95" s="1354"/>
      <c r="C95" s="1355"/>
      <c r="D95" s="1356"/>
      <c r="E95" s="742"/>
      <c r="F95" s="282"/>
      <c r="G95" s="282"/>
      <c r="H95" s="283"/>
      <c r="I95" s="306">
        <f t="shared" si="10"/>
        <v>0</v>
      </c>
      <c r="J95" s="283"/>
      <c r="K95" s="284">
        <f t="shared" si="9"/>
        <v>0</v>
      </c>
    </row>
    <row r="96" spans="1:11" ht="18" customHeight="1" x14ac:dyDescent="0.3">
      <c r="A96" s="733" t="s">
        <v>126</v>
      </c>
      <c r="B96" s="1354"/>
      <c r="C96" s="1355"/>
      <c r="D96" s="1356"/>
      <c r="E96" s="742"/>
      <c r="F96" s="282"/>
      <c r="G96" s="282"/>
      <c r="H96" s="283"/>
      <c r="I96" s="306">
        <f t="shared" si="10"/>
        <v>0</v>
      </c>
      <c r="J96" s="283"/>
      <c r="K96" s="284">
        <f t="shared" si="9"/>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286">
        <f t="shared" ref="F98:K98" si="11">SUM(F86:F96)</f>
        <v>5699.3914573860593</v>
      </c>
      <c r="G98" s="286">
        <f t="shared" si="11"/>
        <v>10.896086156341987</v>
      </c>
      <c r="H98" s="286">
        <f t="shared" si="11"/>
        <v>544058.55151753454</v>
      </c>
      <c r="I98" s="286">
        <f t="shared" si="11"/>
        <v>330428.42672100035</v>
      </c>
      <c r="J98" s="286">
        <f t="shared" si="11"/>
        <v>6996.4141119999995</v>
      </c>
      <c r="K98" s="286">
        <f t="shared" si="11"/>
        <v>867490.56412653497</v>
      </c>
    </row>
    <row r="99" spans="1:11" ht="18" customHeight="1" thickBot="1" x14ac:dyDescent="0.35">
      <c r="A99" s="742"/>
      <c r="B99" s="636"/>
      <c r="C99" s="742"/>
      <c r="D99" s="742"/>
      <c r="E99" s="742"/>
      <c r="F99" s="291"/>
      <c r="G99" s="291"/>
      <c r="H99" s="291"/>
      <c r="I99" s="291"/>
      <c r="J99" s="291"/>
      <c r="K99" s="291"/>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282">
        <f>'[10]CB Master List - FY17 &amp; CY16'!$AB$421</f>
        <v>4772.0344564070774</v>
      </c>
      <c r="G102" s="282"/>
      <c r="H102" s="283">
        <f>'[10]CB Master List - FY17 &amp; CY16'!$AD$421</f>
        <v>245346.29939710003</v>
      </c>
      <c r="I102" s="306">
        <f>'[10]CB Master List - FY17 &amp; CY16'!$AE$421</f>
        <v>149390.32840175738</v>
      </c>
      <c r="J102" s="283">
        <f>'[10]CB Master List - FY17 &amp; CY16'!$AF$421</f>
        <v>24522.318382499998</v>
      </c>
      <c r="K102" s="284">
        <f>(H102+I102)-J102</f>
        <v>370214.30941635743</v>
      </c>
    </row>
    <row r="103" spans="1:11" ht="18" customHeight="1" x14ac:dyDescent="0.3">
      <c r="A103" s="733" t="s">
        <v>132</v>
      </c>
      <c r="B103" s="1357" t="s">
        <v>62</v>
      </c>
      <c r="C103" s="1357"/>
      <c r="D103" s="742"/>
      <c r="E103" s="742"/>
      <c r="F103" s="282">
        <f>'[10]CB Master List - FY17 &amp; CY16'!$AB$430</f>
        <v>13.656598895751943</v>
      </c>
      <c r="G103" s="282"/>
      <c r="H103" s="283"/>
      <c r="I103" s="306">
        <f>H103*F$114</f>
        <v>0</v>
      </c>
      <c r="J103" s="283"/>
      <c r="K103" s="284">
        <f>(H103+I103)-J103</f>
        <v>0</v>
      </c>
    </row>
    <row r="104" spans="1:11" ht="18" customHeight="1" x14ac:dyDescent="0.3">
      <c r="A104" s="733" t="s">
        <v>128</v>
      </c>
      <c r="B104" s="1354" t="s">
        <v>195</v>
      </c>
      <c r="C104" s="1355"/>
      <c r="D104" s="1356"/>
      <c r="E104" s="742"/>
      <c r="F104" s="282">
        <f>'[10]CB Master List - FY17 &amp; CY16'!$AB$438</f>
        <v>2161.1946559999997</v>
      </c>
      <c r="G104" s="282"/>
      <c r="H104" s="283">
        <f>'[10]CB Master List - FY17 &amp; CY16'!$AD$438</f>
        <v>128656.52103130001</v>
      </c>
      <c r="I104" s="306">
        <f>'[10]CB Master List - FY17 &amp; CY16'!$AE$438</f>
        <v>0</v>
      </c>
      <c r="J104" s="283">
        <f>'[10]CB Master List - FY17 &amp; CY16'!$AF$438</f>
        <v>12209.633650399999</v>
      </c>
      <c r="K104" s="284">
        <f>(H104+I104)-J104</f>
        <v>116446.88738090001</v>
      </c>
    </row>
    <row r="105" spans="1:11" ht="18" customHeight="1" x14ac:dyDescent="0.3">
      <c r="A105" s="733" t="s">
        <v>127</v>
      </c>
      <c r="B105" s="1354"/>
      <c r="C105" s="1355"/>
      <c r="D105" s="1356"/>
      <c r="E105" s="742"/>
      <c r="F105" s="282"/>
      <c r="G105" s="282"/>
      <c r="H105" s="283"/>
      <c r="I105" s="306">
        <f>H105*F$114</f>
        <v>0</v>
      </c>
      <c r="J105" s="283"/>
      <c r="K105" s="284">
        <f>(H105+I105)-J105</f>
        <v>0</v>
      </c>
    </row>
    <row r="106" spans="1:11" ht="18" customHeight="1" x14ac:dyDescent="0.3">
      <c r="A106" s="733" t="s">
        <v>129</v>
      </c>
      <c r="B106" s="1354"/>
      <c r="C106" s="1355"/>
      <c r="D106" s="1356"/>
      <c r="E106" s="742"/>
      <c r="F106" s="282"/>
      <c r="G106" s="282"/>
      <c r="H106" s="283"/>
      <c r="I106" s="306">
        <f>H106*F$114</f>
        <v>0</v>
      </c>
      <c r="J106" s="283"/>
      <c r="K106" s="284">
        <f>(H106+I106)-J106</f>
        <v>0</v>
      </c>
    </row>
    <row r="107" spans="1:11" ht="18" customHeight="1" x14ac:dyDescent="0.3">
      <c r="A107" s="742"/>
      <c r="B107" s="636"/>
      <c r="C107" s="742"/>
      <c r="D107" s="742"/>
      <c r="E107" s="742"/>
      <c r="F107" s="742"/>
      <c r="G107" s="742"/>
      <c r="H107" s="742"/>
      <c r="I107" s="742"/>
      <c r="J107" s="742"/>
      <c r="K107" s="742"/>
    </row>
    <row r="108" spans="1:11" s="3" customFormat="1" ht="18" customHeight="1" x14ac:dyDescent="0.3">
      <c r="A108" s="639" t="s">
        <v>153</v>
      </c>
      <c r="B108" s="686" t="s">
        <v>154</v>
      </c>
      <c r="C108" s="742"/>
      <c r="D108" s="742"/>
      <c r="E108" s="636" t="s">
        <v>7</v>
      </c>
      <c r="F108" s="286">
        <f t="shared" ref="F108:K108" si="12">SUM(F102:F106)</f>
        <v>6946.8857113028289</v>
      </c>
      <c r="G108" s="286">
        <f t="shared" si="12"/>
        <v>0</v>
      </c>
      <c r="H108" s="284">
        <f t="shared" si="12"/>
        <v>374002.82042840007</v>
      </c>
      <c r="I108" s="284">
        <f t="shared" si="12"/>
        <v>149390.32840175738</v>
      </c>
      <c r="J108" s="284">
        <f t="shared" si="12"/>
        <v>36731.952032899993</v>
      </c>
      <c r="K108" s="284">
        <f t="shared" si="12"/>
        <v>486661.19679725741</v>
      </c>
    </row>
    <row r="109" spans="1:11" s="3" customFormat="1" ht="18" customHeight="1" thickBot="1" x14ac:dyDescent="0.35">
      <c r="A109" s="279"/>
      <c r="B109" s="280"/>
      <c r="C109" s="281"/>
      <c r="D109" s="281"/>
      <c r="E109" s="281"/>
      <c r="F109" s="291"/>
      <c r="G109" s="291"/>
      <c r="H109" s="291"/>
      <c r="I109" s="291"/>
      <c r="J109" s="291"/>
      <c r="K109" s="291"/>
    </row>
    <row r="110" spans="1:11" s="3"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283">
        <f>'[10]CB Master List - FY17 &amp; CY16'!$AG$459</f>
        <v>7442496.9999999991</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733" t="s">
        <v>171</v>
      </c>
      <c r="B114" s="635" t="s">
        <v>35</v>
      </c>
      <c r="C114" s="742"/>
      <c r="D114" s="742"/>
      <c r="E114" s="742"/>
      <c r="F114" s="292">
        <f>'[10]CB Master List - FY17 &amp; CY16'!$AG$463</f>
        <v>0.60671277956736736</v>
      </c>
      <c r="G114" s="742"/>
      <c r="H114" s="742"/>
      <c r="I114" s="742"/>
      <c r="J114" s="742"/>
      <c r="K114" s="742"/>
    </row>
    <row r="115" spans="1:11" ht="18" customHeight="1" x14ac:dyDescent="0.3">
      <c r="A115" s="733"/>
      <c r="B115" s="636"/>
      <c r="C115" s="742"/>
      <c r="D115" s="742"/>
      <c r="E115" s="742"/>
      <c r="F115" s="742"/>
      <c r="G115" s="742"/>
      <c r="H115" s="742"/>
      <c r="I115" s="742"/>
      <c r="J115" s="742"/>
      <c r="K115" s="742"/>
    </row>
    <row r="116" spans="1:11" ht="18" customHeight="1" x14ac:dyDescent="0.3">
      <c r="A116" s="733" t="s">
        <v>170</v>
      </c>
      <c r="B116" s="636" t="s">
        <v>16</v>
      </c>
      <c r="C116" s="742"/>
      <c r="D116" s="742"/>
      <c r="E116" s="742"/>
      <c r="F116" s="742"/>
      <c r="G116" s="742"/>
      <c r="H116" s="742"/>
      <c r="I116" s="742"/>
      <c r="J116" s="742"/>
      <c r="K116" s="742"/>
    </row>
    <row r="117" spans="1:11" ht="18" customHeight="1" x14ac:dyDescent="0.3">
      <c r="A117" s="733" t="s">
        <v>172</v>
      </c>
      <c r="B117" s="635" t="s">
        <v>17</v>
      </c>
      <c r="C117" s="742"/>
      <c r="D117" s="742"/>
      <c r="E117" s="742"/>
      <c r="F117" s="283">
        <f>'[11]ConsolidatING P&amp;L'!$Q$74</f>
        <v>227124985</v>
      </c>
      <c r="G117" s="742"/>
      <c r="H117" s="742"/>
      <c r="I117" s="742"/>
      <c r="J117" s="742"/>
      <c r="K117" s="742"/>
    </row>
    <row r="118" spans="1:11" ht="18" customHeight="1" x14ac:dyDescent="0.3">
      <c r="A118" s="733" t="s">
        <v>173</v>
      </c>
      <c r="B118" s="742" t="s">
        <v>18</v>
      </c>
      <c r="C118" s="742"/>
      <c r="D118" s="742"/>
      <c r="E118" s="742"/>
      <c r="F118" s="283">
        <f>'[11]ConsolidatING P&amp;L'!$Q$120</f>
        <v>4644770</v>
      </c>
      <c r="G118" s="742"/>
      <c r="H118" s="742"/>
      <c r="I118" s="742"/>
      <c r="J118" s="742"/>
      <c r="K118" s="742"/>
    </row>
    <row r="119" spans="1:11" ht="18" customHeight="1" x14ac:dyDescent="0.3">
      <c r="A119" s="733" t="s">
        <v>174</v>
      </c>
      <c r="B119" s="636" t="s">
        <v>19</v>
      </c>
      <c r="C119" s="742"/>
      <c r="D119" s="742"/>
      <c r="E119" s="742"/>
      <c r="F119" s="285">
        <f>SUM(F117:F118)</f>
        <v>231769755</v>
      </c>
      <c r="G119" s="742"/>
      <c r="H119" s="742"/>
      <c r="I119" s="742"/>
      <c r="J119" s="742"/>
      <c r="K119" s="742"/>
    </row>
    <row r="120" spans="1:11" ht="18" customHeight="1" x14ac:dyDescent="0.3">
      <c r="A120" s="733"/>
      <c r="B120" s="636"/>
      <c r="C120" s="742"/>
      <c r="D120" s="742"/>
      <c r="E120" s="742"/>
      <c r="F120" s="742"/>
      <c r="G120" s="742"/>
      <c r="H120" s="742"/>
      <c r="I120" s="742"/>
      <c r="J120" s="742"/>
      <c r="K120" s="742"/>
    </row>
    <row r="121" spans="1:11" ht="18" customHeight="1" x14ac:dyDescent="0.3">
      <c r="A121" s="733" t="s">
        <v>167</v>
      </c>
      <c r="B121" s="636" t="s">
        <v>36</v>
      </c>
      <c r="C121" s="742"/>
      <c r="D121" s="742"/>
      <c r="E121" s="742"/>
      <c r="F121" s="283">
        <f>'[11]ConsolidatING P&amp;L'!$Q$485</f>
        <v>219120045</v>
      </c>
      <c r="G121" s="742"/>
      <c r="H121" s="742"/>
      <c r="I121" s="742"/>
      <c r="J121" s="742"/>
      <c r="K121" s="742"/>
    </row>
    <row r="122" spans="1:11" ht="18" customHeight="1" x14ac:dyDescent="0.3">
      <c r="A122" s="733"/>
      <c r="B122" s="742"/>
      <c r="C122" s="742"/>
      <c r="D122" s="742"/>
      <c r="E122" s="742"/>
      <c r="F122" s="742"/>
      <c r="G122" s="742"/>
      <c r="H122" s="742"/>
      <c r="I122" s="742"/>
      <c r="J122" s="742"/>
      <c r="K122" s="742"/>
    </row>
    <row r="123" spans="1:11" ht="18" customHeight="1" x14ac:dyDescent="0.3">
      <c r="A123" s="733" t="s">
        <v>175</v>
      </c>
      <c r="B123" s="636" t="s">
        <v>20</v>
      </c>
      <c r="C123" s="742"/>
      <c r="D123" s="742"/>
      <c r="E123" s="742"/>
      <c r="F123" s="283">
        <f>+F119-F121</f>
        <v>12649710</v>
      </c>
      <c r="G123" s="742"/>
      <c r="H123" s="742"/>
      <c r="I123" s="742"/>
      <c r="J123" s="742"/>
      <c r="K123" s="742"/>
    </row>
    <row r="124" spans="1:11" ht="18" customHeight="1" x14ac:dyDescent="0.3">
      <c r="A124" s="733"/>
      <c r="B124" s="742"/>
      <c r="C124" s="742"/>
      <c r="D124" s="742"/>
      <c r="E124" s="742"/>
      <c r="F124" s="742"/>
      <c r="G124" s="742"/>
      <c r="H124" s="742"/>
      <c r="I124" s="742"/>
      <c r="J124" s="742"/>
      <c r="K124" s="742"/>
    </row>
    <row r="125" spans="1:11" ht="18" customHeight="1" x14ac:dyDescent="0.3">
      <c r="A125" s="733" t="s">
        <v>176</v>
      </c>
      <c r="B125" s="636" t="s">
        <v>21</v>
      </c>
      <c r="C125" s="742"/>
      <c r="D125" s="742"/>
      <c r="E125" s="742"/>
      <c r="F125" s="283">
        <f>'[11]ConsolidatING P&amp;L'!$Q$505</f>
        <v>-366429</v>
      </c>
      <c r="G125" s="742"/>
      <c r="H125" s="742"/>
      <c r="I125" s="742"/>
      <c r="J125" s="742"/>
      <c r="K125" s="742"/>
    </row>
    <row r="126" spans="1:11" ht="18" customHeight="1" x14ac:dyDescent="0.3">
      <c r="A126" s="733"/>
      <c r="B126" s="742"/>
      <c r="C126" s="742"/>
      <c r="D126" s="742"/>
      <c r="E126" s="742"/>
      <c r="F126" s="742"/>
      <c r="G126" s="742"/>
      <c r="H126" s="742"/>
      <c r="I126" s="742"/>
      <c r="J126" s="742"/>
      <c r="K126" s="742"/>
    </row>
    <row r="127" spans="1:11" ht="18" customHeight="1" x14ac:dyDescent="0.3">
      <c r="A127" s="733" t="s">
        <v>177</v>
      </c>
      <c r="B127" s="636" t="s">
        <v>22</v>
      </c>
      <c r="C127" s="742"/>
      <c r="D127" s="742"/>
      <c r="E127" s="742"/>
      <c r="F127" s="283">
        <f>+F123+F125</f>
        <v>12283281</v>
      </c>
      <c r="G127" s="742"/>
      <c r="H127" s="742"/>
      <c r="I127" s="742"/>
      <c r="J127" s="742"/>
      <c r="K127" s="742"/>
    </row>
    <row r="128" spans="1:11" ht="18" customHeight="1" x14ac:dyDescent="0.3">
      <c r="A128" s="733"/>
      <c r="B128" s="742"/>
      <c r="C128" s="742"/>
      <c r="D128" s="742"/>
      <c r="E128" s="742"/>
      <c r="F128" s="742"/>
      <c r="G128" s="742"/>
      <c r="H128" s="742"/>
      <c r="I128" s="742"/>
      <c r="J128" s="742"/>
      <c r="K128" s="742"/>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282"/>
      <c r="G131" s="282"/>
      <c r="H131" s="283"/>
      <c r="I131" s="306">
        <v>0</v>
      </c>
      <c r="J131" s="283"/>
      <c r="K131" s="284">
        <f>(H131+I131)-J131</f>
        <v>0</v>
      </c>
    </row>
    <row r="132" spans="1:11" ht="18" customHeight="1" x14ac:dyDescent="0.3">
      <c r="A132" s="733" t="s">
        <v>159</v>
      </c>
      <c r="B132" s="742" t="s">
        <v>25</v>
      </c>
      <c r="C132" s="742"/>
      <c r="D132" s="742"/>
      <c r="E132" s="742"/>
      <c r="F132" s="282"/>
      <c r="G132" s="282"/>
      <c r="H132" s="283"/>
      <c r="I132" s="306">
        <v>0</v>
      </c>
      <c r="J132" s="283"/>
      <c r="K132" s="284">
        <f>(H132+I132)-J132</f>
        <v>0</v>
      </c>
    </row>
    <row r="133" spans="1:11" ht="18" customHeight="1" x14ac:dyDescent="0.3">
      <c r="A133" s="733" t="s">
        <v>160</v>
      </c>
      <c r="B133" s="1351"/>
      <c r="C133" s="1352"/>
      <c r="D133" s="1353"/>
      <c r="E133" s="742"/>
      <c r="F133" s="282"/>
      <c r="G133" s="282"/>
      <c r="H133" s="283"/>
      <c r="I133" s="306">
        <v>0</v>
      </c>
      <c r="J133" s="283"/>
      <c r="K133" s="284">
        <f>(H133+I133)-J133</f>
        <v>0</v>
      </c>
    </row>
    <row r="134" spans="1:11" ht="18" customHeight="1" x14ac:dyDescent="0.3">
      <c r="A134" s="733" t="s">
        <v>161</v>
      </c>
      <c r="B134" s="1351"/>
      <c r="C134" s="1352"/>
      <c r="D134" s="1353"/>
      <c r="E134" s="742"/>
      <c r="F134" s="282"/>
      <c r="G134" s="282"/>
      <c r="H134" s="283"/>
      <c r="I134" s="306">
        <v>0</v>
      </c>
      <c r="J134" s="283"/>
      <c r="K134" s="284">
        <f>(H134+I134)-J134</f>
        <v>0</v>
      </c>
    </row>
    <row r="135" spans="1:11" ht="18" customHeight="1" x14ac:dyDescent="0.3">
      <c r="A135" s="733" t="s">
        <v>162</v>
      </c>
      <c r="B135" s="1351"/>
      <c r="C135" s="1352"/>
      <c r="D135" s="1353"/>
      <c r="E135" s="742"/>
      <c r="F135" s="282"/>
      <c r="G135" s="282"/>
      <c r="H135" s="283"/>
      <c r="I135" s="306">
        <v>0</v>
      </c>
      <c r="J135" s="283"/>
      <c r="K135" s="284">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286">
        <f t="shared" ref="F137:K137" si="13">SUM(F131:F135)</f>
        <v>0</v>
      </c>
      <c r="G137" s="286">
        <f t="shared" si="13"/>
        <v>0</v>
      </c>
      <c r="H137" s="284">
        <f t="shared" si="13"/>
        <v>0</v>
      </c>
      <c r="I137" s="284">
        <f t="shared" si="13"/>
        <v>0</v>
      </c>
      <c r="J137" s="284">
        <f t="shared" si="13"/>
        <v>0</v>
      </c>
      <c r="K137" s="284">
        <f t="shared" si="13"/>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300">
        <f t="shared" ref="F141:K141" si="14">F36</f>
        <v>36585.502800458446</v>
      </c>
      <c r="G141" s="300">
        <f t="shared" si="14"/>
        <v>3690.543749928258</v>
      </c>
      <c r="H141" s="300">
        <f t="shared" si="14"/>
        <v>3845294.1125600496</v>
      </c>
      <c r="I141" s="300">
        <f t="shared" si="14"/>
        <v>2311729.5826780233</v>
      </c>
      <c r="J141" s="300">
        <f t="shared" si="14"/>
        <v>40635.942550200009</v>
      </c>
      <c r="K141" s="300">
        <f t="shared" si="14"/>
        <v>6116387.7526878733</v>
      </c>
    </row>
    <row r="142" spans="1:11" ht="18" customHeight="1" x14ac:dyDescent="0.3">
      <c r="A142" s="733" t="s">
        <v>142</v>
      </c>
      <c r="B142" s="636" t="s">
        <v>65</v>
      </c>
      <c r="C142" s="742"/>
      <c r="D142" s="742"/>
      <c r="E142" s="742"/>
      <c r="F142" s="300">
        <f t="shared" ref="F142:K142" si="15">F49</f>
        <v>38870.900093077522</v>
      </c>
      <c r="G142" s="300">
        <f t="shared" si="15"/>
        <v>11196.645964801297</v>
      </c>
      <c r="H142" s="300">
        <f t="shared" si="15"/>
        <v>1678697.7415344999</v>
      </c>
      <c r="I142" s="300">
        <f t="shared" si="15"/>
        <v>0</v>
      </c>
      <c r="J142" s="300">
        <f t="shared" si="15"/>
        <v>78822.631792199987</v>
      </c>
      <c r="K142" s="300">
        <f t="shared" si="15"/>
        <v>1599875.1097422999</v>
      </c>
    </row>
    <row r="143" spans="1:11" ht="18" customHeight="1" x14ac:dyDescent="0.3">
      <c r="A143" s="733" t="s">
        <v>144</v>
      </c>
      <c r="B143" s="636" t="s">
        <v>66</v>
      </c>
      <c r="C143" s="742"/>
      <c r="D143" s="742"/>
      <c r="E143" s="742"/>
      <c r="F143" s="300">
        <f t="shared" ref="F143:K143" si="16">F64</f>
        <v>124527.01333333334</v>
      </c>
      <c r="G143" s="300">
        <f t="shared" si="16"/>
        <v>2080</v>
      </c>
      <c r="H143" s="300">
        <f t="shared" si="16"/>
        <v>17923573.955762807</v>
      </c>
      <c r="I143" s="300">
        <f t="shared" si="16"/>
        <v>0</v>
      </c>
      <c r="J143" s="300">
        <f t="shared" si="16"/>
        <v>608125.85666666657</v>
      </c>
      <c r="K143" s="300">
        <f t="shared" si="16"/>
        <v>17315448.099096138</v>
      </c>
    </row>
    <row r="144" spans="1:11" ht="18" customHeight="1" x14ac:dyDescent="0.3">
      <c r="A144" s="733" t="s">
        <v>146</v>
      </c>
      <c r="B144" s="636" t="s">
        <v>67</v>
      </c>
      <c r="C144" s="742"/>
      <c r="D144" s="742"/>
      <c r="E144" s="742"/>
      <c r="F144" s="300">
        <f t="shared" ref="F144:K144" si="17">F74</f>
        <v>586.56999999999994</v>
      </c>
      <c r="G144" s="300">
        <f t="shared" si="17"/>
        <v>0</v>
      </c>
      <c r="H144" s="300">
        <f t="shared" si="17"/>
        <v>419434.01500000001</v>
      </c>
      <c r="I144" s="300">
        <f t="shared" si="17"/>
        <v>0</v>
      </c>
      <c r="J144" s="300">
        <f t="shared" si="17"/>
        <v>234792</v>
      </c>
      <c r="K144" s="300">
        <f t="shared" si="17"/>
        <v>184642.01500000001</v>
      </c>
    </row>
    <row r="145" spans="1:11" ht="18" customHeight="1" x14ac:dyDescent="0.3">
      <c r="A145" s="733" t="s">
        <v>148</v>
      </c>
      <c r="B145" s="636" t="s">
        <v>68</v>
      </c>
      <c r="C145" s="742"/>
      <c r="D145" s="742"/>
      <c r="E145" s="742"/>
      <c r="F145" s="300">
        <f t="shared" ref="F145:K145" si="18">F82</f>
        <v>172.55608299333025</v>
      </c>
      <c r="G145" s="300">
        <f t="shared" si="18"/>
        <v>50</v>
      </c>
      <c r="H145" s="300">
        <f t="shared" si="18"/>
        <v>659195.0419999999</v>
      </c>
      <c r="I145" s="300">
        <f t="shared" si="18"/>
        <v>0</v>
      </c>
      <c r="J145" s="300">
        <f t="shared" si="18"/>
        <v>0</v>
      </c>
      <c r="K145" s="300">
        <f t="shared" si="18"/>
        <v>659195.0419999999</v>
      </c>
    </row>
    <row r="146" spans="1:11" ht="18" customHeight="1" x14ac:dyDescent="0.3">
      <c r="A146" s="733" t="s">
        <v>150</v>
      </c>
      <c r="B146" s="636" t="s">
        <v>69</v>
      </c>
      <c r="C146" s="742"/>
      <c r="D146" s="742"/>
      <c r="E146" s="742"/>
      <c r="F146" s="300">
        <f t="shared" ref="F146:K146" si="19">F98</f>
        <v>5699.3914573860593</v>
      </c>
      <c r="G146" s="300">
        <f t="shared" si="19"/>
        <v>10.896086156341987</v>
      </c>
      <c r="H146" s="300">
        <f t="shared" si="19"/>
        <v>544058.55151753454</v>
      </c>
      <c r="I146" s="300">
        <f t="shared" si="19"/>
        <v>330428.42672100035</v>
      </c>
      <c r="J146" s="300">
        <f t="shared" si="19"/>
        <v>6996.4141119999995</v>
      </c>
      <c r="K146" s="300">
        <f t="shared" si="19"/>
        <v>867490.56412653497</v>
      </c>
    </row>
    <row r="147" spans="1:11" ht="18" customHeight="1" x14ac:dyDescent="0.3">
      <c r="A147" s="733" t="s">
        <v>153</v>
      </c>
      <c r="B147" s="636" t="s">
        <v>61</v>
      </c>
      <c r="C147" s="742"/>
      <c r="D147" s="742"/>
      <c r="E147" s="742"/>
      <c r="F147" s="286">
        <f t="shared" ref="F147:K147" si="20">F108</f>
        <v>6946.8857113028289</v>
      </c>
      <c r="G147" s="286">
        <f t="shared" si="20"/>
        <v>0</v>
      </c>
      <c r="H147" s="286">
        <f t="shared" si="20"/>
        <v>374002.82042840007</v>
      </c>
      <c r="I147" s="286">
        <f t="shared" si="20"/>
        <v>149390.32840175738</v>
      </c>
      <c r="J147" s="286">
        <f t="shared" si="20"/>
        <v>36731.952032899993</v>
      </c>
      <c r="K147" s="286">
        <f t="shared" si="20"/>
        <v>486661.19679725741</v>
      </c>
    </row>
    <row r="148" spans="1:11" ht="18" customHeight="1" x14ac:dyDescent="0.3">
      <c r="A148" s="733" t="s">
        <v>155</v>
      </c>
      <c r="B148" s="636" t="s">
        <v>70</v>
      </c>
      <c r="C148" s="742"/>
      <c r="D148" s="742"/>
      <c r="E148" s="742"/>
      <c r="F148" s="301" t="s">
        <v>73</v>
      </c>
      <c r="G148" s="301" t="s">
        <v>73</v>
      </c>
      <c r="H148" s="302" t="s">
        <v>73</v>
      </c>
      <c r="I148" s="302" t="s">
        <v>73</v>
      </c>
      <c r="J148" s="302" t="s">
        <v>73</v>
      </c>
      <c r="K148" s="296">
        <f>F111</f>
        <v>7442496.9999999991</v>
      </c>
    </row>
    <row r="149" spans="1:11" ht="18" customHeight="1" x14ac:dyDescent="0.3">
      <c r="A149" s="733" t="s">
        <v>163</v>
      </c>
      <c r="B149" s="636" t="s">
        <v>71</v>
      </c>
      <c r="C149" s="742"/>
      <c r="D149" s="742"/>
      <c r="E149" s="742"/>
      <c r="F149" s="286">
        <f t="shared" ref="F149:K149" si="21">F137</f>
        <v>0</v>
      </c>
      <c r="G149" s="286">
        <f t="shared" si="21"/>
        <v>0</v>
      </c>
      <c r="H149" s="286">
        <f t="shared" si="21"/>
        <v>0</v>
      </c>
      <c r="I149" s="286">
        <f t="shared" si="21"/>
        <v>0</v>
      </c>
      <c r="J149" s="286">
        <f t="shared" si="21"/>
        <v>0</v>
      </c>
      <c r="K149" s="286">
        <f t="shared" si="21"/>
        <v>0</v>
      </c>
    </row>
    <row r="150" spans="1:11" ht="18" customHeight="1" x14ac:dyDescent="0.3">
      <c r="A150" s="733" t="s">
        <v>185</v>
      </c>
      <c r="B150" s="636" t="s">
        <v>186</v>
      </c>
      <c r="C150" s="742"/>
      <c r="D150" s="742"/>
      <c r="E150" s="742"/>
      <c r="F150" s="301" t="s">
        <v>73</v>
      </c>
      <c r="G150" s="301" t="s">
        <v>73</v>
      </c>
      <c r="H150" s="286">
        <f>H18</f>
        <v>5951275.5798440995</v>
      </c>
      <c r="I150" s="286">
        <f>I18</f>
        <v>0</v>
      </c>
      <c r="J150" s="286">
        <f>J18</f>
        <v>5094568.7910101097</v>
      </c>
      <c r="K150" s="286">
        <f>K18</f>
        <v>856706.78883398976</v>
      </c>
    </row>
    <row r="151" spans="1:11" ht="18" customHeight="1" x14ac:dyDescent="0.3">
      <c r="A151" s="742"/>
      <c r="B151" s="636"/>
      <c r="C151" s="742"/>
      <c r="D151" s="742"/>
      <c r="E151" s="742"/>
      <c r="F151" s="304"/>
      <c r="G151" s="304"/>
      <c r="H151" s="304"/>
      <c r="I151" s="304"/>
      <c r="J151" s="304"/>
      <c r="K151" s="304"/>
    </row>
    <row r="152" spans="1:11" ht="18" customHeight="1" x14ac:dyDescent="0.3">
      <c r="A152" s="639" t="s">
        <v>165</v>
      </c>
      <c r="B152" s="636" t="s">
        <v>26</v>
      </c>
      <c r="C152" s="742"/>
      <c r="D152" s="742"/>
      <c r="E152" s="742"/>
      <c r="F152" s="305">
        <f t="shared" ref="F152:K152" si="22">SUM(F141:F150)</f>
        <v>213388.81947855154</v>
      </c>
      <c r="G152" s="305">
        <f t="shared" si="22"/>
        <v>17028.085800885896</v>
      </c>
      <c r="H152" s="305">
        <f t="shared" si="22"/>
        <v>31395531.818647392</v>
      </c>
      <c r="I152" s="305">
        <f t="shared" si="22"/>
        <v>2791548.3378007812</v>
      </c>
      <c r="J152" s="305">
        <f t="shared" si="22"/>
        <v>6100673.5881640762</v>
      </c>
      <c r="K152" s="305">
        <f t="shared" si="22"/>
        <v>35528903.568284094</v>
      </c>
    </row>
    <row r="153" spans="1:11" ht="18" customHeight="1" x14ac:dyDescent="0.25">
      <c r="A153" s="633"/>
      <c r="B153" s="742"/>
      <c r="C153" s="742"/>
      <c r="D153" s="742"/>
      <c r="E153" s="742"/>
      <c r="F153" s="742"/>
      <c r="G153" s="742"/>
      <c r="H153" s="742"/>
      <c r="I153" s="829"/>
      <c r="J153" s="742"/>
      <c r="K153" s="742"/>
    </row>
    <row r="154" spans="1:11" ht="18" customHeight="1" x14ac:dyDescent="0.3">
      <c r="A154" s="639" t="s">
        <v>168</v>
      </c>
      <c r="B154" s="636" t="s">
        <v>28</v>
      </c>
      <c r="C154" s="742"/>
      <c r="D154" s="742"/>
      <c r="E154" s="834"/>
      <c r="F154" s="310">
        <f>K152/F121</f>
        <v>0.16214355728287705</v>
      </c>
      <c r="G154" s="742"/>
      <c r="H154" s="742"/>
      <c r="I154" s="742"/>
      <c r="J154" s="742"/>
      <c r="K154" s="742"/>
    </row>
    <row r="155" spans="1:11" ht="18" customHeight="1" x14ac:dyDescent="0.3">
      <c r="A155" s="639" t="s">
        <v>169</v>
      </c>
      <c r="B155" s="636" t="s">
        <v>72</v>
      </c>
      <c r="C155" s="742"/>
      <c r="D155" s="742"/>
      <c r="E155" s="834"/>
      <c r="F155" s="310">
        <f>K152/F127</f>
        <v>2.8924603750646178</v>
      </c>
      <c r="G155" s="636"/>
      <c r="H155" s="742"/>
      <c r="I155" s="742"/>
      <c r="J155" s="742"/>
      <c r="K155" s="742"/>
    </row>
    <row r="156" spans="1:11" ht="18" customHeight="1" x14ac:dyDescent="0.3">
      <c r="A156" s="271"/>
      <c r="B156" s="271"/>
      <c r="C156" s="271"/>
      <c r="D156" s="271"/>
      <c r="E156" s="271"/>
      <c r="F156" s="271"/>
      <c r="G156" s="272"/>
      <c r="H156" s="271"/>
      <c r="I156" s="271"/>
      <c r="J156" s="271"/>
      <c r="K156" s="271"/>
    </row>
  </sheetData>
  <sheetProtection sheet="1" objects="1" scenarios="1"/>
  <mergeCells count="34">
    <mergeCell ref="D2:H2"/>
    <mergeCell ref="B45:D45"/>
    <mergeCell ref="B46:D46"/>
    <mergeCell ref="B47:D47"/>
    <mergeCell ref="B34:D34"/>
    <mergeCell ref="B41:C41"/>
    <mergeCell ref="B44:D44"/>
    <mergeCell ref="B13:H13"/>
    <mergeCell ref="B30:D30"/>
    <mergeCell ref="C5:G5"/>
    <mergeCell ref="C6:G6"/>
    <mergeCell ref="C7:G7"/>
    <mergeCell ref="C11:G11"/>
    <mergeCell ref="C9:G9"/>
    <mergeCell ref="B31:D31"/>
    <mergeCell ref="C10:G1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57"/>
  <sheetViews>
    <sheetView showGridLines="0" zoomScale="70" zoomScaleNormal="70" zoomScaleSheetLayoutView="80" workbookViewId="0">
      <selection activeCell="A2" sqref="A2"/>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61" t="s">
        <v>546</v>
      </c>
      <c r="D5" s="1362"/>
      <c r="E5" s="1362"/>
      <c r="F5" s="1362"/>
      <c r="G5" s="1364"/>
      <c r="H5" s="742"/>
      <c r="I5" s="742"/>
      <c r="J5" s="742"/>
      <c r="K5" s="742"/>
    </row>
    <row r="6" spans="1:11" ht="18" customHeight="1" x14ac:dyDescent="0.3">
      <c r="A6" s="742"/>
      <c r="B6" s="733" t="s">
        <v>3</v>
      </c>
      <c r="C6" s="1377" t="s">
        <v>617</v>
      </c>
      <c r="D6" s="1378"/>
      <c r="E6" s="1378"/>
      <c r="F6" s="1378"/>
      <c r="G6" s="1379"/>
      <c r="H6" s="742"/>
      <c r="I6" s="742"/>
      <c r="J6" s="742"/>
      <c r="K6" s="742"/>
    </row>
    <row r="7" spans="1:11" ht="18" customHeight="1" x14ac:dyDescent="0.3">
      <c r="A7" s="742"/>
      <c r="B7" s="733" t="s">
        <v>4</v>
      </c>
      <c r="C7" s="1368">
        <v>446</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61" t="s">
        <v>337</v>
      </c>
      <c r="D9" s="1362"/>
      <c r="E9" s="1362"/>
      <c r="F9" s="1362"/>
      <c r="G9" s="1364"/>
      <c r="H9" s="742"/>
      <c r="I9" s="742"/>
      <c r="J9" s="742"/>
      <c r="K9" s="742"/>
    </row>
    <row r="10" spans="1:11" ht="18" customHeight="1" x14ac:dyDescent="0.3">
      <c r="A10" s="742"/>
      <c r="B10" s="733" t="s">
        <v>2</v>
      </c>
      <c r="C10" s="1371" t="s">
        <v>338</v>
      </c>
      <c r="D10" s="1372"/>
      <c r="E10" s="1372"/>
      <c r="F10" s="1372"/>
      <c r="G10" s="1373"/>
      <c r="H10" s="742"/>
      <c r="I10" s="742"/>
      <c r="J10" s="742"/>
      <c r="K10" s="742"/>
    </row>
    <row r="11" spans="1:11" ht="18" customHeight="1" x14ac:dyDescent="0.3">
      <c r="A11" s="742"/>
      <c r="B11" s="733" t="s">
        <v>32</v>
      </c>
      <c r="C11" s="1361" t="s">
        <v>339</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282" t="s">
        <v>73</v>
      </c>
      <c r="G18" s="282" t="s">
        <v>73</v>
      </c>
      <c r="H18" s="283">
        <v>1079564</v>
      </c>
      <c r="I18" s="306">
        <v>0</v>
      </c>
      <c r="J18" s="283"/>
      <c r="K18" s="284">
        <f>(H18+I18)-J18</f>
        <v>1079564</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282">
        <v>336.25</v>
      </c>
      <c r="G21" s="282">
        <v>1923</v>
      </c>
      <c r="H21" s="283">
        <v>17109</v>
      </c>
      <c r="I21" s="306">
        <f t="shared" ref="I21:I34" si="0">H21*F$114</f>
        <v>11084.57892</v>
      </c>
      <c r="J21" s="283">
        <v>2780</v>
      </c>
      <c r="K21" s="284">
        <f t="shared" ref="K21:K34" si="1">(H21+I21)-J21</f>
        <v>25413.57892</v>
      </c>
    </row>
    <row r="22" spans="1:11" ht="18" customHeight="1" x14ac:dyDescent="0.3">
      <c r="A22" s="733" t="s">
        <v>76</v>
      </c>
      <c r="B22" s="742" t="s">
        <v>6</v>
      </c>
      <c r="C22" s="742"/>
      <c r="D22" s="742"/>
      <c r="E22" s="742"/>
      <c r="F22" s="282">
        <v>18</v>
      </c>
      <c r="G22" s="282">
        <v>6</v>
      </c>
      <c r="H22" s="283">
        <v>362</v>
      </c>
      <c r="I22" s="306">
        <f t="shared" si="0"/>
        <v>234.53256000000002</v>
      </c>
      <c r="J22" s="283">
        <v>0</v>
      </c>
      <c r="K22" s="284">
        <f t="shared" si="1"/>
        <v>596.53255999999999</v>
      </c>
    </row>
    <row r="23" spans="1:11" ht="18" customHeight="1" x14ac:dyDescent="0.3">
      <c r="A23" s="733" t="s">
        <v>77</v>
      </c>
      <c r="B23" s="742" t="s">
        <v>43</v>
      </c>
      <c r="C23" s="742"/>
      <c r="D23" s="742"/>
      <c r="E23" s="742"/>
      <c r="F23" s="282">
        <v>183</v>
      </c>
      <c r="G23" s="282">
        <v>183</v>
      </c>
      <c r="H23" s="283">
        <v>4512</v>
      </c>
      <c r="I23" s="306">
        <f t="shared" si="0"/>
        <v>2923.2345599999999</v>
      </c>
      <c r="J23" s="283">
        <v>0</v>
      </c>
      <c r="K23" s="284">
        <f t="shared" si="1"/>
        <v>7435.2345599999999</v>
      </c>
    </row>
    <row r="24" spans="1:11" ht="18" customHeight="1" x14ac:dyDescent="0.3">
      <c r="A24" s="733" t="s">
        <v>78</v>
      </c>
      <c r="B24" s="742" t="s">
        <v>44</v>
      </c>
      <c r="C24" s="742"/>
      <c r="D24" s="742"/>
      <c r="E24" s="742"/>
      <c r="F24" s="282">
        <v>90</v>
      </c>
      <c r="G24" s="282">
        <v>127</v>
      </c>
      <c r="H24" s="283">
        <v>5240</v>
      </c>
      <c r="I24" s="306">
        <f t="shared" si="0"/>
        <v>3394.8912</v>
      </c>
      <c r="J24" s="283">
        <v>7250</v>
      </c>
      <c r="K24" s="284">
        <f t="shared" si="1"/>
        <v>1384.8912</v>
      </c>
    </row>
    <row r="25" spans="1:11" ht="18" customHeight="1" x14ac:dyDescent="0.3">
      <c r="A25" s="733" t="s">
        <v>79</v>
      </c>
      <c r="B25" s="742" t="s">
        <v>5</v>
      </c>
      <c r="C25" s="742"/>
      <c r="D25" s="742"/>
      <c r="E25" s="742"/>
      <c r="F25" s="282">
        <v>107</v>
      </c>
      <c r="G25" s="282">
        <v>316</v>
      </c>
      <c r="H25" s="283">
        <v>7299</v>
      </c>
      <c r="I25" s="306">
        <f t="shared" si="0"/>
        <v>4728.8761199999999</v>
      </c>
      <c r="J25" s="283">
        <v>17165</v>
      </c>
      <c r="K25" s="284">
        <f t="shared" si="1"/>
        <v>-5137.1238799999992</v>
      </c>
    </row>
    <row r="26" spans="1:11" ht="18" customHeight="1" x14ac:dyDescent="0.3">
      <c r="A26" s="733" t="s">
        <v>80</v>
      </c>
      <c r="B26" s="742" t="s">
        <v>45</v>
      </c>
      <c r="C26" s="742"/>
      <c r="D26" s="742"/>
      <c r="E26" s="742"/>
      <c r="F26" s="282">
        <v>157.1</v>
      </c>
      <c r="G26" s="282">
        <v>401</v>
      </c>
      <c r="H26" s="283">
        <v>10049</v>
      </c>
      <c r="I26" s="306">
        <f t="shared" si="0"/>
        <v>6510.54612</v>
      </c>
      <c r="J26" s="283">
        <v>10738</v>
      </c>
      <c r="K26" s="284">
        <f t="shared" si="1"/>
        <v>5821.5461199999991</v>
      </c>
    </row>
    <row r="27" spans="1:11" ht="18" customHeight="1" x14ac:dyDescent="0.3">
      <c r="A27" s="733" t="s">
        <v>81</v>
      </c>
      <c r="B27" s="742" t="s">
        <v>46</v>
      </c>
      <c r="C27" s="742"/>
      <c r="D27" s="742"/>
      <c r="E27" s="742"/>
      <c r="F27" s="282">
        <v>3004</v>
      </c>
      <c r="G27" s="282">
        <v>1335</v>
      </c>
      <c r="H27" s="283">
        <v>45120</v>
      </c>
      <c r="I27" s="306">
        <f t="shared" si="0"/>
        <v>29232.345600000001</v>
      </c>
      <c r="J27" s="283">
        <v>70757</v>
      </c>
      <c r="K27" s="284">
        <f t="shared" si="1"/>
        <v>3595.3456000000006</v>
      </c>
    </row>
    <row r="28" spans="1:11" ht="18" customHeight="1" x14ac:dyDescent="0.3">
      <c r="A28" s="733" t="s">
        <v>82</v>
      </c>
      <c r="B28" s="742" t="s">
        <v>47</v>
      </c>
      <c r="C28" s="742"/>
      <c r="D28" s="742"/>
      <c r="E28" s="742"/>
      <c r="F28" s="282"/>
      <c r="G28" s="282"/>
      <c r="H28" s="283"/>
      <c r="I28" s="306">
        <f t="shared" si="0"/>
        <v>0</v>
      </c>
      <c r="J28" s="283"/>
      <c r="K28" s="284">
        <f t="shared" si="1"/>
        <v>0</v>
      </c>
    </row>
    <row r="29" spans="1:11" ht="18" customHeight="1" x14ac:dyDescent="0.3">
      <c r="A29" s="733" t="s">
        <v>83</v>
      </c>
      <c r="B29" s="742" t="s">
        <v>48</v>
      </c>
      <c r="C29" s="742"/>
      <c r="D29" s="742"/>
      <c r="E29" s="742"/>
      <c r="F29" s="282"/>
      <c r="G29" s="282"/>
      <c r="H29" s="283"/>
      <c r="I29" s="306">
        <f t="shared" si="0"/>
        <v>0</v>
      </c>
      <c r="J29" s="283"/>
      <c r="K29" s="284">
        <f t="shared" si="1"/>
        <v>0</v>
      </c>
    </row>
    <row r="30" spans="1:11" ht="18" customHeight="1" x14ac:dyDescent="0.3">
      <c r="A30" s="733" t="s">
        <v>84</v>
      </c>
      <c r="B30" s="1351" t="s">
        <v>745</v>
      </c>
      <c r="C30" s="1352"/>
      <c r="D30" s="1353"/>
      <c r="E30" s="742"/>
      <c r="F30" s="282">
        <v>8.6</v>
      </c>
      <c r="G30" s="282">
        <v>16</v>
      </c>
      <c r="H30" s="283">
        <v>3956</v>
      </c>
      <c r="I30" s="306">
        <f t="shared" si="0"/>
        <v>2563.0132800000001</v>
      </c>
      <c r="J30" s="283">
        <v>3364</v>
      </c>
      <c r="K30" s="284">
        <f t="shared" si="1"/>
        <v>3155.0132800000001</v>
      </c>
    </row>
    <row r="31" spans="1:11" ht="18" customHeight="1" x14ac:dyDescent="0.3">
      <c r="A31" s="733" t="s">
        <v>133</v>
      </c>
      <c r="B31" s="1351"/>
      <c r="C31" s="1352"/>
      <c r="D31" s="1353"/>
      <c r="E31" s="742"/>
      <c r="F31" s="282"/>
      <c r="G31" s="282"/>
      <c r="H31" s="283"/>
      <c r="I31" s="306">
        <f t="shared" si="0"/>
        <v>0</v>
      </c>
      <c r="J31" s="283"/>
      <c r="K31" s="284">
        <f t="shared" si="1"/>
        <v>0</v>
      </c>
    </row>
    <row r="32" spans="1:11" ht="18" customHeight="1" x14ac:dyDescent="0.3">
      <c r="A32" s="733" t="s">
        <v>134</v>
      </c>
      <c r="B32" s="894"/>
      <c r="C32" s="895"/>
      <c r="D32" s="896"/>
      <c r="E32" s="742"/>
      <c r="F32" s="282"/>
      <c r="G32" s="308"/>
      <c r="H32" s="283"/>
      <c r="I32" s="306">
        <f t="shared" si="0"/>
        <v>0</v>
      </c>
      <c r="J32" s="283"/>
      <c r="K32" s="284">
        <f t="shared" si="1"/>
        <v>0</v>
      </c>
    </row>
    <row r="33" spans="1:11" ht="18" customHeight="1" x14ac:dyDescent="0.3">
      <c r="A33" s="733" t="s">
        <v>135</v>
      </c>
      <c r="B33" s="894"/>
      <c r="C33" s="895"/>
      <c r="D33" s="896"/>
      <c r="E33" s="742"/>
      <c r="F33" s="282"/>
      <c r="G33" s="308"/>
      <c r="H33" s="283"/>
      <c r="I33" s="306">
        <f t="shared" si="0"/>
        <v>0</v>
      </c>
      <c r="J33" s="283"/>
      <c r="K33" s="284">
        <f t="shared" si="1"/>
        <v>0</v>
      </c>
    </row>
    <row r="34" spans="1:11" ht="18" customHeight="1" x14ac:dyDescent="0.3">
      <c r="A34" s="733" t="s">
        <v>136</v>
      </c>
      <c r="B34" s="1351"/>
      <c r="C34" s="1352"/>
      <c r="D34" s="1353"/>
      <c r="E34" s="742"/>
      <c r="F34" s="282"/>
      <c r="G34" s="308"/>
      <c r="H34" s="283"/>
      <c r="I34" s="306">
        <f t="shared" si="0"/>
        <v>0</v>
      </c>
      <c r="J34" s="283"/>
      <c r="K34" s="284">
        <f t="shared" si="1"/>
        <v>0</v>
      </c>
    </row>
    <row r="35" spans="1:11" ht="18" customHeight="1" x14ac:dyDescent="0.25">
      <c r="A35" s="742"/>
      <c r="B35" s="742"/>
      <c r="C35" s="742"/>
      <c r="D35" s="742"/>
      <c r="E35" s="742"/>
      <c r="F35" s="742"/>
      <c r="G35" s="742"/>
      <c r="H35" s="742"/>
      <c r="I35" s="742"/>
      <c r="J35" s="742"/>
      <c r="K35" s="315"/>
    </row>
    <row r="36" spans="1:11" ht="18" customHeight="1" x14ac:dyDescent="0.3">
      <c r="A36" s="639" t="s">
        <v>137</v>
      </c>
      <c r="B36" s="636" t="s">
        <v>138</v>
      </c>
      <c r="C36" s="742"/>
      <c r="D36" s="742"/>
      <c r="E36" s="636" t="s">
        <v>7</v>
      </c>
      <c r="F36" s="286">
        <f t="shared" ref="F36:K36" si="2">SUM(F21:F34)</f>
        <v>3903.95</v>
      </c>
      <c r="G36" s="286">
        <f t="shared" si="2"/>
        <v>4307</v>
      </c>
      <c r="H36" s="286">
        <f t="shared" si="2"/>
        <v>93647</v>
      </c>
      <c r="I36" s="284">
        <f t="shared" si="2"/>
        <v>60672.018360000002</v>
      </c>
      <c r="J36" s="284">
        <f t="shared" si="2"/>
        <v>112054</v>
      </c>
      <c r="K36" s="284">
        <f t="shared" si="2"/>
        <v>42265.018359999995</v>
      </c>
    </row>
    <row r="37" spans="1:11" ht="18" customHeight="1" thickBot="1" x14ac:dyDescent="0.35">
      <c r="A37" s="742"/>
      <c r="B37" s="636"/>
      <c r="C37" s="742"/>
      <c r="D37" s="742"/>
      <c r="E37" s="742"/>
      <c r="F37" s="287"/>
      <c r="G37" s="287"/>
      <c r="H37" s="288"/>
      <c r="I37" s="288"/>
      <c r="J37" s="288"/>
      <c r="K37" s="303"/>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282"/>
      <c r="G40" s="282"/>
      <c r="H40" s="283"/>
      <c r="I40" s="306">
        <v>0</v>
      </c>
      <c r="J40" s="283"/>
      <c r="K40" s="284">
        <f t="shared" ref="K40:K47" si="3">(H40+I40)-J40</f>
        <v>0</v>
      </c>
    </row>
    <row r="41" spans="1:11" ht="18" customHeight="1" x14ac:dyDescent="0.3">
      <c r="A41" s="733" t="s">
        <v>88</v>
      </c>
      <c r="B41" s="1359" t="s">
        <v>50</v>
      </c>
      <c r="C41" s="1359"/>
      <c r="D41" s="742"/>
      <c r="E41" s="742"/>
      <c r="F41" s="282"/>
      <c r="G41" s="282"/>
      <c r="H41" s="283"/>
      <c r="I41" s="306">
        <v>0</v>
      </c>
      <c r="J41" s="283"/>
      <c r="K41" s="284">
        <f t="shared" si="3"/>
        <v>0</v>
      </c>
    </row>
    <row r="42" spans="1:11" ht="18" customHeight="1" x14ac:dyDescent="0.3">
      <c r="A42" s="733" t="s">
        <v>89</v>
      </c>
      <c r="B42" s="635" t="s">
        <v>11</v>
      </c>
      <c r="C42" s="742"/>
      <c r="D42" s="742"/>
      <c r="E42" s="742"/>
      <c r="F42" s="282"/>
      <c r="G42" s="282"/>
      <c r="H42" s="283"/>
      <c r="I42" s="306">
        <v>0</v>
      </c>
      <c r="J42" s="283"/>
      <c r="K42" s="284">
        <f t="shared" si="3"/>
        <v>0</v>
      </c>
    </row>
    <row r="43" spans="1:11" ht="18" customHeight="1" x14ac:dyDescent="0.3">
      <c r="A43" s="733" t="s">
        <v>90</v>
      </c>
      <c r="B43" s="670" t="s">
        <v>10</v>
      </c>
      <c r="C43" s="642"/>
      <c r="D43" s="642"/>
      <c r="E43" s="742"/>
      <c r="F43" s="282"/>
      <c r="G43" s="282"/>
      <c r="H43" s="283"/>
      <c r="I43" s="306">
        <v>0</v>
      </c>
      <c r="J43" s="283"/>
      <c r="K43" s="284">
        <f t="shared" si="3"/>
        <v>0</v>
      </c>
    </row>
    <row r="44" spans="1:11" ht="18" customHeight="1" x14ac:dyDescent="0.3">
      <c r="A44" s="733" t="s">
        <v>91</v>
      </c>
      <c r="B44" s="1351"/>
      <c r="C44" s="1352"/>
      <c r="D44" s="1353"/>
      <c r="E44" s="742"/>
      <c r="F44" s="324"/>
      <c r="G44" s="324"/>
      <c r="H44" s="324"/>
      <c r="I44" s="325">
        <v>0</v>
      </c>
      <c r="J44" s="324"/>
      <c r="K44" s="326">
        <f t="shared" si="3"/>
        <v>0</v>
      </c>
    </row>
    <row r="45" spans="1:11" ht="18" customHeight="1" x14ac:dyDescent="0.3">
      <c r="A45" s="733" t="s">
        <v>139</v>
      </c>
      <c r="B45" s="1351"/>
      <c r="C45" s="1352"/>
      <c r="D45" s="1353"/>
      <c r="E45" s="742"/>
      <c r="F45" s="282"/>
      <c r="G45" s="282"/>
      <c r="H45" s="283"/>
      <c r="I45" s="306">
        <v>0</v>
      </c>
      <c r="J45" s="283"/>
      <c r="K45" s="284">
        <f t="shared" si="3"/>
        <v>0</v>
      </c>
    </row>
    <row r="46" spans="1:11" ht="18" customHeight="1" x14ac:dyDescent="0.3">
      <c r="A46" s="733" t="s">
        <v>140</v>
      </c>
      <c r="B46" s="1351"/>
      <c r="C46" s="1352"/>
      <c r="D46" s="1353"/>
      <c r="E46" s="742"/>
      <c r="F46" s="282"/>
      <c r="G46" s="282"/>
      <c r="H46" s="283"/>
      <c r="I46" s="306">
        <v>0</v>
      </c>
      <c r="J46" s="283"/>
      <c r="K46" s="284">
        <f t="shared" si="3"/>
        <v>0</v>
      </c>
    </row>
    <row r="47" spans="1:11" ht="18" customHeight="1" x14ac:dyDescent="0.3">
      <c r="A47" s="733" t="s">
        <v>141</v>
      </c>
      <c r="B47" s="1351"/>
      <c r="C47" s="1352"/>
      <c r="D47" s="1353"/>
      <c r="E47" s="742"/>
      <c r="F47" s="282"/>
      <c r="G47" s="282"/>
      <c r="H47" s="283"/>
      <c r="I47" s="306">
        <v>0</v>
      </c>
      <c r="J47" s="283"/>
      <c r="K47" s="284">
        <f t="shared" si="3"/>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290">
        <f t="shared" ref="F49:K49" si="4">SUM(F40:F47)</f>
        <v>0</v>
      </c>
      <c r="G49" s="290">
        <f t="shared" si="4"/>
        <v>0</v>
      </c>
      <c r="H49" s="284">
        <f t="shared" si="4"/>
        <v>0</v>
      </c>
      <c r="I49" s="284">
        <f t="shared" si="4"/>
        <v>0</v>
      </c>
      <c r="J49" s="284">
        <f t="shared" si="4"/>
        <v>0</v>
      </c>
      <c r="K49" s="284">
        <f t="shared" si="4"/>
        <v>0</v>
      </c>
    </row>
    <row r="50" spans="1:11" ht="18" customHeight="1" thickBot="1" x14ac:dyDescent="0.3">
      <c r="A50" s="742"/>
      <c r="B50" s="742"/>
      <c r="C50" s="742"/>
      <c r="D50" s="742"/>
      <c r="E50" s="742"/>
      <c r="F50" s="742"/>
      <c r="G50" s="291"/>
      <c r="H50" s="291"/>
      <c r="I50" s="291"/>
      <c r="J50" s="291"/>
      <c r="K50" s="291"/>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c r="C53" s="1355"/>
      <c r="D53" s="1356"/>
      <c r="E53" s="742"/>
      <c r="F53" s="282"/>
      <c r="G53" s="282"/>
      <c r="H53" s="283"/>
      <c r="I53" s="306">
        <v>0</v>
      </c>
      <c r="J53" s="283"/>
      <c r="K53" s="284">
        <f t="shared" ref="K53:K62" si="5">(H53+I53)-J53</f>
        <v>0</v>
      </c>
    </row>
    <row r="54" spans="1:11" ht="18" customHeight="1" x14ac:dyDescent="0.3">
      <c r="A54" s="733" t="s">
        <v>93</v>
      </c>
      <c r="B54" s="900"/>
      <c r="C54" s="901"/>
      <c r="D54" s="899"/>
      <c r="E54" s="742"/>
      <c r="F54" s="282"/>
      <c r="G54" s="282"/>
      <c r="H54" s="283"/>
      <c r="I54" s="306">
        <v>0</v>
      </c>
      <c r="J54" s="283"/>
      <c r="K54" s="284">
        <f t="shared" si="5"/>
        <v>0</v>
      </c>
    </row>
    <row r="55" spans="1:11" ht="18" customHeight="1" x14ac:dyDescent="0.3">
      <c r="A55" s="733" t="s">
        <v>94</v>
      </c>
      <c r="B55" s="1354"/>
      <c r="C55" s="1355"/>
      <c r="D55" s="1356"/>
      <c r="E55" s="742"/>
      <c r="F55" s="282"/>
      <c r="G55" s="282"/>
      <c r="H55" s="283"/>
      <c r="I55" s="306">
        <v>0</v>
      </c>
      <c r="J55" s="283"/>
      <c r="K55" s="284">
        <f t="shared" si="5"/>
        <v>0</v>
      </c>
    </row>
    <row r="56" spans="1:11" ht="18" customHeight="1" x14ac:dyDescent="0.3">
      <c r="A56" s="733" t="s">
        <v>95</v>
      </c>
      <c r="B56" s="1354"/>
      <c r="C56" s="1355"/>
      <c r="D56" s="1356"/>
      <c r="E56" s="742"/>
      <c r="F56" s="282"/>
      <c r="G56" s="282"/>
      <c r="H56" s="283"/>
      <c r="I56" s="306">
        <v>0</v>
      </c>
      <c r="J56" s="283"/>
      <c r="K56" s="284">
        <f t="shared" si="5"/>
        <v>0</v>
      </c>
    </row>
    <row r="57" spans="1:11" ht="18" customHeight="1" x14ac:dyDescent="0.3">
      <c r="A57" s="733" t="s">
        <v>96</v>
      </c>
      <c r="B57" s="1354"/>
      <c r="C57" s="1355"/>
      <c r="D57" s="1356"/>
      <c r="E57" s="742"/>
      <c r="F57" s="282"/>
      <c r="G57" s="282"/>
      <c r="H57" s="283"/>
      <c r="I57" s="306">
        <v>0</v>
      </c>
      <c r="J57" s="283"/>
      <c r="K57" s="284">
        <f t="shared" si="5"/>
        <v>0</v>
      </c>
    </row>
    <row r="58" spans="1:11" ht="18" customHeight="1" x14ac:dyDescent="0.3">
      <c r="A58" s="733" t="s">
        <v>97</v>
      </c>
      <c r="B58" s="900"/>
      <c r="C58" s="901"/>
      <c r="D58" s="899"/>
      <c r="E58" s="742"/>
      <c r="F58" s="282"/>
      <c r="G58" s="282"/>
      <c r="H58" s="283"/>
      <c r="I58" s="306">
        <v>0</v>
      </c>
      <c r="J58" s="283"/>
      <c r="K58" s="284">
        <f t="shared" si="5"/>
        <v>0</v>
      </c>
    </row>
    <row r="59" spans="1:11" ht="18" customHeight="1" x14ac:dyDescent="0.3">
      <c r="A59" s="733" t="s">
        <v>98</v>
      </c>
      <c r="B59" s="1354"/>
      <c r="C59" s="1355"/>
      <c r="D59" s="1356"/>
      <c r="E59" s="742"/>
      <c r="F59" s="282"/>
      <c r="G59" s="282"/>
      <c r="H59" s="283"/>
      <c r="I59" s="306">
        <v>0</v>
      </c>
      <c r="J59" s="283"/>
      <c r="K59" s="284">
        <f t="shared" si="5"/>
        <v>0</v>
      </c>
    </row>
    <row r="60" spans="1:11" ht="18" customHeight="1" x14ac:dyDescent="0.3">
      <c r="A60" s="733" t="s">
        <v>99</v>
      </c>
      <c r="B60" s="900"/>
      <c r="C60" s="901"/>
      <c r="D60" s="899"/>
      <c r="E60" s="742"/>
      <c r="F60" s="282"/>
      <c r="G60" s="282"/>
      <c r="H60" s="283"/>
      <c r="I60" s="306">
        <v>0</v>
      </c>
      <c r="J60" s="283"/>
      <c r="K60" s="284">
        <f t="shared" si="5"/>
        <v>0</v>
      </c>
    </row>
    <row r="61" spans="1:11" ht="18" customHeight="1" x14ac:dyDescent="0.3">
      <c r="A61" s="733" t="s">
        <v>100</v>
      </c>
      <c r="B61" s="900"/>
      <c r="C61" s="901"/>
      <c r="D61" s="899"/>
      <c r="E61" s="742"/>
      <c r="F61" s="282"/>
      <c r="G61" s="282"/>
      <c r="H61" s="283"/>
      <c r="I61" s="306">
        <v>0</v>
      </c>
      <c r="J61" s="283"/>
      <c r="K61" s="284">
        <f t="shared" si="5"/>
        <v>0</v>
      </c>
    </row>
    <row r="62" spans="1:11" ht="18" customHeight="1" x14ac:dyDescent="0.3">
      <c r="A62" s="733" t="s">
        <v>101</v>
      </c>
      <c r="B62" s="1354"/>
      <c r="C62" s="1355"/>
      <c r="D62" s="1356"/>
      <c r="E62" s="742"/>
      <c r="F62" s="282"/>
      <c r="G62" s="282"/>
      <c r="H62" s="283"/>
      <c r="I62" s="306">
        <v>0</v>
      </c>
      <c r="J62" s="283"/>
      <c r="K62" s="284">
        <f t="shared" si="5"/>
        <v>0</v>
      </c>
    </row>
    <row r="63" spans="1:11" ht="18" customHeight="1" x14ac:dyDescent="0.3">
      <c r="A63" s="733"/>
      <c r="B63" s="742"/>
      <c r="C63" s="742"/>
      <c r="D63" s="742"/>
      <c r="E63" s="742"/>
      <c r="F63" s="742"/>
      <c r="G63" s="742"/>
      <c r="H63" s="742"/>
      <c r="I63" s="276"/>
      <c r="J63" s="742"/>
      <c r="K63" s="742"/>
    </row>
    <row r="64" spans="1:11" ht="18" customHeight="1" x14ac:dyDescent="0.3">
      <c r="A64" s="733" t="s">
        <v>144</v>
      </c>
      <c r="B64" s="636" t="s">
        <v>145</v>
      </c>
      <c r="C64" s="742"/>
      <c r="D64" s="742"/>
      <c r="E64" s="636" t="s">
        <v>7</v>
      </c>
      <c r="F64" s="286">
        <f t="shared" ref="F64:K64" si="6">SUM(F53:F62)</f>
        <v>0</v>
      </c>
      <c r="G64" s="286">
        <f t="shared" si="6"/>
        <v>0</v>
      </c>
      <c r="H64" s="284">
        <f t="shared" si="6"/>
        <v>0</v>
      </c>
      <c r="I64" s="284">
        <f t="shared" si="6"/>
        <v>0</v>
      </c>
      <c r="J64" s="284">
        <f t="shared" si="6"/>
        <v>0</v>
      </c>
      <c r="K64" s="284">
        <f t="shared" si="6"/>
        <v>0</v>
      </c>
    </row>
    <row r="65" spans="1:11" ht="18" customHeight="1" x14ac:dyDescent="0.25">
      <c r="A65" s="742"/>
      <c r="B65" s="742"/>
      <c r="C65" s="742"/>
      <c r="D65" s="742"/>
      <c r="E65" s="742"/>
      <c r="F65" s="304"/>
      <c r="G65" s="304"/>
      <c r="H65" s="304"/>
      <c r="I65" s="304"/>
      <c r="J65" s="304"/>
      <c r="K65" s="304"/>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307"/>
      <c r="G68" s="307"/>
      <c r="H68" s="307"/>
      <c r="I68" s="306">
        <v>0</v>
      </c>
      <c r="J68" s="307"/>
      <c r="K68" s="284">
        <f>(H68+I68)-J68</f>
        <v>0</v>
      </c>
    </row>
    <row r="69" spans="1:11" ht="18" customHeight="1" x14ac:dyDescent="0.3">
      <c r="A69" s="733" t="s">
        <v>104</v>
      </c>
      <c r="B69" s="635" t="s">
        <v>53</v>
      </c>
      <c r="C69" s="742"/>
      <c r="D69" s="742"/>
      <c r="E69" s="742"/>
      <c r="F69" s="307"/>
      <c r="G69" s="307"/>
      <c r="H69" s="307"/>
      <c r="I69" s="306">
        <v>0</v>
      </c>
      <c r="J69" s="307"/>
      <c r="K69" s="284">
        <f>(H69+I69)-J69</f>
        <v>0</v>
      </c>
    </row>
    <row r="70" spans="1:11" ht="18" customHeight="1" x14ac:dyDescent="0.3">
      <c r="A70" s="733" t="s">
        <v>178</v>
      </c>
      <c r="B70" s="900"/>
      <c r="C70" s="901"/>
      <c r="D70" s="899"/>
      <c r="E70" s="636"/>
      <c r="F70" s="294"/>
      <c r="G70" s="294"/>
      <c r="H70" s="295"/>
      <c r="I70" s="306">
        <v>0</v>
      </c>
      <c r="J70" s="295"/>
      <c r="K70" s="284">
        <f>(H70+I70)-J70</f>
        <v>0</v>
      </c>
    </row>
    <row r="71" spans="1:11" ht="18" customHeight="1" x14ac:dyDescent="0.3">
      <c r="A71" s="733" t="s">
        <v>179</v>
      </c>
      <c r="B71" s="900"/>
      <c r="C71" s="901"/>
      <c r="D71" s="899"/>
      <c r="E71" s="636"/>
      <c r="F71" s="294"/>
      <c r="G71" s="294"/>
      <c r="H71" s="295"/>
      <c r="I71" s="306">
        <v>0</v>
      </c>
      <c r="J71" s="295"/>
      <c r="K71" s="284">
        <f>(H71+I71)-J71</f>
        <v>0</v>
      </c>
    </row>
    <row r="72" spans="1:11" ht="18" customHeight="1" x14ac:dyDescent="0.3">
      <c r="A72" s="733" t="s">
        <v>180</v>
      </c>
      <c r="B72" s="897"/>
      <c r="C72" s="898"/>
      <c r="D72" s="293"/>
      <c r="E72" s="636"/>
      <c r="F72" s="282"/>
      <c r="G72" s="282"/>
      <c r="H72" s="283"/>
      <c r="I72" s="306">
        <v>0</v>
      </c>
      <c r="J72" s="283"/>
      <c r="K72" s="284">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289">
        <f t="shared" ref="F74:K74" si="7">SUM(F68:F72)</f>
        <v>0</v>
      </c>
      <c r="G74" s="289">
        <f t="shared" si="7"/>
        <v>0</v>
      </c>
      <c r="H74" s="289">
        <f t="shared" si="7"/>
        <v>0</v>
      </c>
      <c r="I74" s="309">
        <f t="shared" si="7"/>
        <v>0</v>
      </c>
      <c r="J74" s="289">
        <f t="shared" si="7"/>
        <v>0</v>
      </c>
      <c r="K74" s="285">
        <f t="shared" si="7"/>
        <v>0</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282"/>
      <c r="G77" s="282"/>
      <c r="H77" s="283"/>
      <c r="I77" s="306">
        <v>0</v>
      </c>
      <c r="J77" s="283"/>
      <c r="K77" s="284">
        <f>(H77+I77)-J77</f>
        <v>0</v>
      </c>
    </row>
    <row r="78" spans="1:11" ht="18" customHeight="1" x14ac:dyDescent="0.3">
      <c r="A78" s="733" t="s">
        <v>108</v>
      </c>
      <c r="B78" s="635" t="s">
        <v>55</v>
      </c>
      <c r="C78" s="742"/>
      <c r="D78" s="742"/>
      <c r="E78" s="742"/>
      <c r="F78" s="282"/>
      <c r="G78" s="282"/>
      <c r="H78" s="283"/>
      <c r="I78" s="306">
        <v>0</v>
      </c>
      <c r="J78" s="283"/>
      <c r="K78" s="284">
        <f>(H78+I78)-J78</f>
        <v>0</v>
      </c>
    </row>
    <row r="79" spans="1:11" ht="18" customHeight="1" x14ac:dyDescent="0.3">
      <c r="A79" s="733" t="s">
        <v>109</v>
      </c>
      <c r="B79" s="635" t="s">
        <v>13</v>
      </c>
      <c r="C79" s="742"/>
      <c r="D79" s="742"/>
      <c r="E79" s="742"/>
      <c r="F79" s="282">
        <v>67.5</v>
      </c>
      <c r="G79" s="282">
        <v>101</v>
      </c>
      <c r="H79" s="283">
        <v>4906</v>
      </c>
      <c r="I79" s="306">
        <v>0</v>
      </c>
      <c r="J79" s="283">
        <v>420</v>
      </c>
      <c r="K79" s="284">
        <f>(H79+I79)-J79</f>
        <v>4486</v>
      </c>
    </row>
    <row r="80" spans="1:11" ht="18" customHeight="1" x14ac:dyDescent="0.3">
      <c r="A80" s="733" t="s">
        <v>110</v>
      </c>
      <c r="B80" s="635" t="s">
        <v>56</v>
      </c>
      <c r="C80" s="742"/>
      <c r="D80" s="742"/>
      <c r="E80" s="742"/>
      <c r="F80" s="282"/>
      <c r="G80" s="282"/>
      <c r="H80" s="283"/>
      <c r="I80" s="306">
        <v>0</v>
      </c>
      <c r="J80" s="283"/>
      <c r="K80" s="284">
        <f>(H80+I80)-J80</f>
        <v>0</v>
      </c>
    </row>
    <row r="81" spans="1:11" ht="18" customHeight="1" x14ac:dyDescent="0.3">
      <c r="A81" s="733"/>
      <c r="B81" s="742"/>
      <c r="C81" s="742"/>
      <c r="D81" s="742"/>
      <c r="E81" s="742"/>
      <c r="F81" s="742"/>
      <c r="G81" s="742"/>
      <c r="H81" s="742"/>
      <c r="I81" s="742"/>
      <c r="J81" s="742"/>
      <c r="K81" s="299"/>
    </row>
    <row r="82" spans="1:11" ht="18" customHeight="1" x14ac:dyDescent="0.3">
      <c r="A82" s="733" t="s">
        <v>148</v>
      </c>
      <c r="B82" s="636" t="s">
        <v>149</v>
      </c>
      <c r="C82" s="742"/>
      <c r="D82" s="742"/>
      <c r="E82" s="636" t="s">
        <v>7</v>
      </c>
      <c r="F82" s="289">
        <f t="shared" ref="F82:K82" si="8">SUM(F77:F80)</f>
        <v>67.5</v>
      </c>
      <c r="G82" s="289">
        <f t="shared" si="8"/>
        <v>101</v>
      </c>
      <c r="H82" s="285">
        <f t="shared" si="8"/>
        <v>4906</v>
      </c>
      <c r="I82" s="285">
        <f t="shared" si="8"/>
        <v>0</v>
      </c>
      <c r="J82" s="285">
        <f t="shared" si="8"/>
        <v>420</v>
      </c>
      <c r="K82" s="285">
        <f t="shared" si="8"/>
        <v>4486</v>
      </c>
    </row>
    <row r="83" spans="1:11" ht="18" customHeight="1" thickBot="1" x14ac:dyDescent="0.35">
      <c r="A83" s="733"/>
      <c r="B83" s="742"/>
      <c r="C83" s="742"/>
      <c r="D83" s="742"/>
      <c r="E83" s="742"/>
      <c r="F83" s="291"/>
      <c r="G83" s="291"/>
      <c r="H83" s="291"/>
      <c r="I83" s="291"/>
      <c r="J83" s="291"/>
      <c r="K83" s="291"/>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282"/>
      <c r="G86" s="282"/>
      <c r="H86" s="283"/>
      <c r="I86" s="306">
        <f t="shared" ref="I86:I96" si="9">H86*F$114</f>
        <v>0</v>
      </c>
      <c r="J86" s="283"/>
      <c r="K86" s="284">
        <f t="shared" ref="K86:K96" si="10">(H86+I86)-J86</f>
        <v>0</v>
      </c>
    </row>
    <row r="87" spans="1:11" ht="18" customHeight="1" x14ac:dyDescent="0.3">
      <c r="A87" s="733" t="s">
        <v>114</v>
      </c>
      <c r="B87" s="635" t="s">
        <v>14</v>
      </c>
      <c r="C87" s="742"/>
      <c r="D87" s="742"/>
      <c r="E87" s="742"/>
      <c r="F87" s="282">
        <v>15</v>
      </c>
      <c r="G87" s="282">
        <v>1</v>
      </c>
      <c r="H87" s="283">
        <v>6527</v>
      </c>
      <c r="I87" s="306">
        <f t="shared" si="9"/>
        <v>4228.7127600000003</v>
      </c>
      <c r="J87" s="283">
        <v>0</v>
      </c>
      <c r="K87" s="284">
        <f t="shared" si="10"/>
        <v>10755.71276</v>
      </c>
    </row>
    <row r="88" spans="1:11" ht="18" customHeight="1" x14ac:dyDescent="0.3">
      <c r="A88" s="733" t="s">
        <v>115</v>
      </c>
      <c r="B88" s="635" t="s">
        <v>116</v>
      </c>
      <c r="C88" s="742"/>
      <c r="D88" s="742"/>
      <c r="E88" s="742"/>
      <c r="F88" s="282"/>
      <c r="G88" s="282"/>
      <c r="H88" s="283"/>
      <c r="I88" s="306">
        <f t="shared" si="9"/>
        <v>0</v>
      </c>
      <c r="J88" s="283"/>
      <c r="K88" s="284">
        <f t="shared" si="10"/>
        <v>0</v>
      </c>
    </row>
    <row r="89" spans="1:11" ht="18" customHeight="1" x14ac:dyDescent="0.3">
      <c r="A89" s="733" t="s">
        <v>117</v>
      </c>
      <c r="B89" s="635" t="s">
        <v>58</v>
      </c>
      <c r="C89" s="742"/>
      <c r="D89" s="742"/>
      <c r="E89" s="742"/>
      <c r="F89" s="282"/>
      <c r="G89" s="282"/>
      <c r="H89" s="283"/>
      <c r="I89" s="306">
        <f t="shared" si="9"/>
        <v>0</v>
      </c>
      <c r="J89" s="283"/>
      <c r="K89" s="284">
        <f t="shared" si="10"/>
        <v>0</v>
      </c>
    </row>
    <row r="90" spans="1:11" ht="18" customHeight="1" x14ac:dyDescent="0.3">
      <c r="A90" s="733" t="s">
        <v>118</v>
      </c>
      <c r="B90" s="1359" t="s">
        <v>59</v>
      </c>
      <c r="C90" s="1359"/>
      <c r="D90" s="742"/>
      <c r="E90" s="742"/>
      <c r="F90" s="282">
        <v>2.5</v>
      </c>
      <c r="G90" s="282">
        <v>2</v>
      </c>
      <c r="H90" s="283">
        <v>100</v>
      </c>
      <c r="I90" s="306">
        <f t="shared" si="9"/>
        <v>64.787999999999997</v>
      </c>
      <c r="J90" s="283">
        <v>0</v>
      </c>
      <c r="K90" s="284">
        <f t="shared" si="10"/>
        <v>164.78800000000001</v>
      </c>
    </row>
    <row r="91" spans="1:11" ht="18" customHeight="1" x14ac:dyDescent="0.3">
      <c r="A91" s="733" t="s">
        <v>119</v>
      </c>
      <c r="B91" s="635" t="s">
        <v>60</v>
      </c>
      <c r="C91" s="742"/>
      <c r="D91" s="742"/>
      <c r="E91" s="742"/>
      <c r="F91" s="282">
        <v>114.5</v>
      </c>
      <c r="G91" s="282">
        <v>17</v>
      </c>
      <c r="H91" s="283">
        <v>5068</v>
      </c>
      <c r="I91" s="306">
        <f t="shared" si="9"/>
        <v>3283.4558400000001</v>
      </c>
      <c r="J91" s="283">
        <v>0</v>
      </c>
      <c r="K91" s="284">
        <f t="shared" si="10"/>
        <v>8351.4558400000005</v>
      </c>
    </row>
    <row r="92" spans="1:11" ht="18" customHeight="1" x14ac:dyDescent="0.3">
      <c r="A92" s="733" t="s">
        <v>120</v>
      </c>
      <c r="B92" s="635" t="s">
        <v>121</v>
      </c>
      <c r="C92" s="742"/>
      <c r="D92" s="742"/>
      <c r="E92" s="742"/>
      <c r="F92" s="297"/>
      <c r="G92" s="297"/>
      <c r="H92" s="298"/>
      <c r="I92" s="306">
        <f t="shared" si="9"/>
        <v>0</v>
      </c>
      <c r="J92" s="298"/>
      <c r="K92" s="284">
        <f t="shared" si="10"/>
        <v>0</v>
      </c>
    </row>
    <row r="93" spans="1:11" ht="18" customHeight="1" x14ac:dyDescent="0.3">
      <c r="A93" s="733" t="s">
        <v>122</v>
      </c>
      <c r="B93" s="635" t="s">
        <v>123</v>
      </c>
      <c r="C93" s="742"/>
      <c r="D93" s="742"/>
      <c r="E93" s="742"/>
      <c r="F93" s="282">
        <v>7</v>
      </c>
      <c r="G93" s="282">
        <v>20</v>
      </c>
      <c r="H93" s="283">
        <v>178130</v>
      </c>
      <c r="I93" s="306">
        <f t="shared" si="9"/>
        <v>115406.86440000001</v>
      </c>
      <c r="J93" s="283">
        <v>0</v>
      </c>
      <c r="K93" s="284">
        <f t="shared" si="10"/>
        <v>293536.86440000002</v>
      </c>
    </row>
    <row r="94" spans="1:11" ht="18" customHeight="1" x14ac:dyDescent="0.3">
      <c r="A94" s="733" t="s">
        <v>124</v>
      </c>
      <c r="B94" s="1354"/>
      <c r="C94" s="1355"/>
      <c r="D94" s="1356"/>
      <c r="E94" s="742"/>
      <c r="F94" s="282"/>
      <c r="G94" s="282"/>
      <c r="H94" s="283"/>
      <c r="I94" s="306">
        <f t="shared" si="9"/>
        <v>0</v>
      </c>
      <c r="J94" s="283"/>
      <c r="K94" s="284">
        <f t="shared" si="10"/>
        <v>0</v>
      </c>
    </row>
    <row r="95" spans="1:11" ht="18" customHeight="1" x14ac:dyDescent="0.3">
      <c r="A95" s="733" t="s">
        <v>125</v>
      </c>
      <c r="B95" s="1354"/>
      <c r="C95" s="1355"/>
      <c r="D95" s="1356"/>
      <c r="E95" s="742"/>
      <c r="F95" s="282"/>
      <c r="G95" s="282"/>
      <c r="H95" s="283"/>
      <c r="I95" s="306">
        <f t="shared" si="9"/>
        <v>0</v>
      </c>
      <c r="J95" s="283"/>
      <c r="K95" s="284">
        <f t="shared" si="10"/>
        <v>0</v>
      </c>
    </row>
    <row r="96" spans="1:11" ht="18" customHeight="1" x14ac:dyDescent="0.3">
      <c r="A96" s="733" t="s">
        <v>126</v>
      </c>
      <c r="B96" s="1354"/>
      <c r="C96" s="1355"/>
      <c r="D96" s="1356"/>
      <c r="E96" s="742"/>
      <c r="F96" s="282"/>
      <c r="G96" s="282"/>
      <c r="H96" s="283"/>
      <c r="I96" s="306">
        <f t="shared" si="9"/>
        <v>0</v>
      </c>
      <c r="J96" s="283"/>
      <c r="K96" s="284">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286">
        <f t="shared" ref="F98:K98" si="11">SUM(F86:F96)</f>
        <v>139</v>
      </c>
      <c r="G98" s="286">
        <f t="shared" si="11"/>
        <v>40</v>
      </c>
      <c r="H98" s="286">
        <f t="shared" si="11"/>
        <v>189825</v>
      </c>
      <c r="I98" s="286">
        <f t="shared" si="11"/>
        <v>122983.82100000001</v>
      </c>
      <c r="J98" s="286">
        <f t="shared" si="11"/>
        <v>0</v>
      </c>
      <c r="K98" s="286">
        <f t="shared" si="11"/>
        <v>312808.821</v>
      </c>
    </row>
    <row r="99" spans="1:11" ht="18" customHeight="1" thickBot="1" x14ac:dyDescent="0.35">
      <c r="A99" s="742"/>
      <c r="B99" s="636"/>
      <c r="C99" s="742"/>
      <c r="D99" s="742"/>
      <c r="E99" s="742"/>
      <c r="F99" s="291"/>
      <c r="G99" s="291"/>
      <c r="H99" s="291"/>
      <c r="I99" s="291"/>
      <c r="J99" s="291"/>
      <c r="K99" s="291"/>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282">
        <v>10</v>
      </c>
      <c r="G102" s="282">
        <v>0</v>
      </c>
      <c r="H102" s="283">
        <v>207</v>
      </c>
      <c r="I102" s="306">
        <f>H102*F$114</f>
        <v>134.11116000000001</v>
      </c>
      <c r="J102" s="283">
        <v>0</v>
      </c>
      <c r="K102" s="284">
        <f>(H102+I102)-J102</f>
        <v>341.11116000000004</v>
      </c>
    </row>
    <row r="103" spans="1:11" ht="18" customHeight="1" x14ac:dyDescent="0.3">
      <c r="A103" s="733" t="s">
        <v>132</v>
      </c>
      <c r="B103" s="1357" t="s">
        <v>62</v>
      </c>
      <c r="C103" s="1357"/>
      <c r="D103" s="742"/>
      <c r="E103" s="742"/>
      <c r="F103" s="282"/>
      <c r="G103" s="282"/>
      <c r="H103" s="283"/>
      <c r="I103" s="306">
        <f>H103*F$114</f>
        <v>0</v>
      </c>
      <c r="J103" s="283"/>
      <c r="K103" s="284">
        <f>(H103+I103)-J103</f>
        <v>0</v>
      </c>
    </row>
    <row r="104" spans="1:11" ht="18" customHeight="1" x14ac:dyDescent="0.3">
      <c r="A104" s="733" t="s">
        <v>128</v>
      </c>
      <c r="B104" s="1354"/>
      <c r="C104" s="1355"/>
      <c r="D104" s="1356"/>
      <c r="E104" s="742"/>
      <c r="F104" s="282"/>
      <c r="G104" s="282"/>
      <c r="H104" s="283"/>
      <c r="I104" s="306">
        <f>H104*F$114</f>
        <v>0</v>
      </c>
      <c r="J104" s="283"/>
      <c r="K104" s="284">
        <f>(H104+I104)-J104</f>
        <v>0</v>
      </c>
    </row>
    <row r="105" spans="1:11" ht="18" customHeight="1" x14ac:dyDescent="0.3">
      <c r="A105" s="733" t="s">
        <v>127</v>
      </c>
      <c r="B105" s="1354"/>
      <c r="C105" s="1355"/>
      <c r="D105" s="1356"/>
      <c r="E105" s="742"/>
      <c r="F105" s="282"/>
      <c r="G105" s="282"/>
      <c r="H105" s="283"/>
      <c r="I105" s="306">
        <f>H105*F$114</f>
        <v>0</v>
      </c>
      <c r="J105" s="283"/>
      <c r="K105" s="284">
        <f>(H105+I105)-J105</f>
        <v>0</v>
      </c>
    </row>
    <row r="106" spans="1:11" ht="18" customHeight="1" x14ac:dyDescent="0.3">
      <c r="A106" s="733" t="s">
        <v>129</v>
      </c>
      <c r="B106" s="1354"/>
      <c r="C106" s="1355"/>
      <c r="D106" s="1356"/>
      <c r="E106" s="742"/>
      <c r="F106" s="282"/>
      <c r="G106" s="282"/>
      <c r="H106" s="283"/>
      <c r="I106" s="306">
        <f>H106*F$114</f>
        <v>0</v>
      </c>
      <c r="J106" s="283"/>
      <c r="K106" s="284">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286">
        <f t="shared" ref="F108:K108" si="12">SUM(F102:F106)</f>
        <v>10</v>
      </c>
      <c r="G108" s="286">
        <f t="shared" si="12"/>
        <v>0</v>
      </c>
      <c r="H108" s="284">
        <f t="shared" si="12"/>
        <v>207</v>
      </c>
      <c r="I108" s="284">
        <f t="shared" si="12"/>
        <v>134.11116000000001</v>
      </c>
      <c r="J108" s="284">
        <f t="shared" si="12"/>
        <v>0</v>
      </c>
      <c r="K108" s="284">
        <f t="shared" si="12"/>
        <v>341.11116000000004</v>
      </c>
    </row>
    <row r="109" spans="1:11" s="29" customFormat="1" ht="18" customHeight="1" thickBot="1" x14ac:dyDescent="0.35">
      <c r="A109" s="279"/>
      <c r="B109" s="280"/>
      <c r="C109" s="281"/>
      <c r="D109" s="281"/>
      <c r="E109" s="281"/>
      <c r="F109" s="291"/>
      <c r="G109" s="291"/>
      <c r="H109" s="291"/>
      <c r="I109" s="291"/>
      <c r="J109" s="291"/>
      <c r="K109" s="291"/>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283">
        <v>2792419</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292">
        <v>0.64788000000000001</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283">
        <v>48104382</v>
      </c>
      <c r="G117" s="740"/>
      <c r="H117" s="740"/>
      <c r="I117" s="740"/>
      <c r="J117" s="740"/>
      <c r="K117" s="740"/>
    </row>
    <row r="118" spans="1:11" ht="18" customHeight="1" x14ac:dyDescent="0.3">
      <c r="A118" s="733" t="s">
        <v>173</v>
      </c>
      <c r="B118" s="742" t="s">
        <v>18</v>
      </c>
      <c r="C118" s="742"/>
      <c r="D118" s="742"/>
      <c r="E118" s="742"/>
      <c r="F118" s="283">
        <v>1751756</v>
      </c>
      <c r="G118" s="740"/>
      <c r="H118" s="740"/>
      <c r="I118" s="740"/>
      <c r="J118" s="740"/>
      <c r="K118" s="740"/>
    </row>
    <row r="119" spans="1:11" ht="18" customHeight="1" x14ac:dyDescent="0.3">
      <c r="A119" s="733" t="s">
        <v>174</v>
      </c>
      <c r="B119" s="636" t="s">
        <v>19</v>
      </c>
      <c r="C119" s="742"/>
      <c r="D119" s="742"/>
      <c r="E119" s="742"/>
      <c r="F119" s="285">
        <f>SUM(F117:F118)</f>
        <v>49856138</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283">
        <v>46818203</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283">
        <v>3037934</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283">
        <f>568022+626432-142954</f>
        <v>1051500</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283">
        <v>4089434</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282"/>
      <c r="G131" s="282"/>
      <c r="H131" s="283"/>
      <c r="I131" s="306">
        <v>0</v>
      </c>
      <c r="J131" s="283"/>
      <c r="K131" s="284">
        <f>(H131+I131)-J131</f>
        <v>0</v>
      </c>
    </row>
    <row r="132" spans="1:11" ht="18" customHeight="1" x14ac:dyDescent="0.3">
      <c r="A132" s="733" t="s">
        <v>159</v>
      </c>
      <c r="B132" s="742" t="s">
        <v>25</v>
      </c>
      <c r="C132" s="742"/>
      <c r="D132" s="742"/>
      <c r="E132" s="742"/>
      <c r="F132" s="282"/>
      <c r="G132" s="282"/>
      <c r="H132" s="283"/>
      <c r="I132" s="306">
        <v>0</v>
      </c>
      <c r="J132" s="283"/>
      <c r="K132" s="284">
        <f>(H132+I132)-J132</f>
        <v>0</v>
      </c>
    </row>
    <row r="133" spans="1:11" ht="18" customHeight="1" x14ac:dyDescent="0.3">
      <c r="A133" s="733" t="s">
        <v>160</v>
      </c>
      <c r="B133" s="1351"/>
      <c r="C133" s="1352"/>
      <c r="D133" s="1353"/>
      <c r="E133" s="742"/>
      <c r="F133" s="282"/>
      <c r="G133" s="282"/>
      <c r="H133" s="283"/>
      <c r="I133" s="306">
        <v>0</v>
      </c>
      <c r="J133" s="283"/>
      <c r="K133" s="284">
        <f>(H133+I133)-J133</f>
        <v>0</v>
      </c>
    </row>
    <row r="134" spans="1:11" ht="18" customHeight="1" x14ac:dyDescent="0.3">
      <c r="A134" s="733" t="s">
        <v>161</v>
      </c>
      <c r="B134" s="1351"/>
      <c r="C134" s="1352"/>
      <c r="D134" s="1353"/>
      <c r="E134" s="742"/>
      <c r="F134" s="282"/>
      <c r="G134" s="282"/>
      <c r="H134" s="283"/>
      <c r="I134" s="306">
        <v>0</v>
      </c>
      <c r="J134" s="283"/>
      <c r="K134" s="284">
        <f>(H134+I134)-J134</f>
        <v>0</v>
      </c>
    </row>
    <row r="135" spans="1:11" ht="18" customHeight="1" x14ac:dyDescent="0.3">
      <c r="A135" s="733" t="s">
        <v>162</v>
      </c>
      <c r="B135" s="1351"/>
      <c r="C135" s="1352"/>
      <c r="D135" s="1353"/>
      <c r="E135" s="742"/>
      <c r="F135" s="282"/>
      <c r="G135" s="282"/>
      <c r="H135" s="283"/>
      <c r="I135" s="306">
        <v>0</v>
      </c>
      <c r="J135" s="283"/>
      <c r="K135" s="284">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286">
        <f t="shared" ref="F137:K137" si="13">SUM(F131:F135)</f>
        <v>0</v>
      </c>
      <c r="G137" s="286">
        <f t="shared" si="13"/>
        <v>0</v>
      </c>
      <c r="H137" s="284">
        <f t="shared" si="13"/>
        <v>0</v>
      </c>
      <c r="I137" s="284">
        <f t="shared" si="13"/>
        <v>0</v>
      </c>
      <c r="J137" s="284">
        <f t="shared" si="13"/>
        <v>0</v>
      </c>
      <c r="K137" s="284">
        <f t="shared" si="13"/>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300">
        <f t="shared" ref="F141:K141" si="14">F36</f>
        <v>3903.95</v>
      </c>
      <c r="G141" s="300">
        <f t="shared" si="14"/>
        <v>4307</v>
      </c>
      <c r="H141" s="300">
        <f t="shared" si="14"/>
        <v>93647</v>
      </c>
      <c r="I141" s="300">
        <f t="shared" si="14"/>
        <v>60672.018360000002</v>
      </c>
      <c r="J141" s="300">
        <f t="shared" si="14"/>
        <v>112054</v>
      </c>
      <c r="K141" s="300">
        <f t="shared" si="14"/>
        <v>42265.018359999995</v>
      </c>
    </row>
    <row r="142" spans="1:11" ht="18" customHeight="1" x14ac:dyDescent="0.3">
      <c r="A142" s="733" t="s">
        <v>142</v>
      </c>
      <c r="B142" s="636" t="s">
        <v>65</v>
      </c>
      <c r="C142" s="742"/>
      <c r="D142" s="742"/>
      <c r="E142" s="742"/>
      <c r="F142" s="300">
        <f t="shared" ref="F142:K142" si="15">F49</f>
        <v>0</v>
      </c>
      <c r="G142" s="300">
        <f t="shared" si="15"/>
        <v>0</v>
      </c>
      <c r="H142" s="300">
        <f t="shared" si="15"/>
        <v>0</v>
      </c>
      <c r="I142" s="300">
        <f t="shared" si="15"/>
        <v>0</v>
      </c>
      <c r="J142" s="300">
        <f t="shared" si="15"/>
        <v>0</v>
      </c>
      <c r="K142" s="300">
        <f t="shared" si="15"/>
        <v>0</v>
      </c>
    </row>
    <row r="143" spans="1:11" ht="18" customHeight="1" x14ac:dyDescent="0.3">
      <c r="A143" s="733" t="s">
        <v>144</v>
      </c>
      <c r="B143" s="636" t="s">
        <v>66</v>
      </c>
      <c r="C143" s="742"/>
      <c r="D143" s="742"/>
      <c r="E143" s="742"/>
      <c r="F143" s="300">
        <f t="shared" ref="F143:K143" si="16">F64</f>
        <v>0</v>
      </c>
      <c r="G143" s="300">
        <f t="shared" si="16"/>
        <v>0</v>
      </c>
      <c r="H143" s="300">
        <f t="shared" si="16"/>
        <v>0</v>
      </c>
      <c r="I143" s="300">
        <f t="shared" si="16"/>
        <v>0</v>
      </c>
      <c r="J143" s="300">
        <f t="shared" si="16"/>
        <v>0</v>
      </c>
      <c r="K143" s="300">
        <f t="shared" si="16"/>
        <v>0</v>
      </c>
    </row>
    <row r="144" spans="1:11" ht="18" customHeight="1" x14ac:dyDescent="0.3">
      <c r="A144" s="733" t="s">
        <v>146</v>
      </c>
      <c r="B144" s="636" t="s">
        <v>67</v>
      </c>
      <c r="C144" s="742"/>
      <c r="D144" s="742"/>
      <c r="E144" s="742"/>
      <c r="F144" s="300">
        <f t="shared" ref="F144:K144" si="17">F74</f>
        <v>0</v>
      </c>
      <c r="G144" s="300">
        <f t="shared" si="17"/>
        <v>0</v>
      </c>
      <c r="H144" s="300">
        <f t="shared" si="17"/>
        <v>0</v>
      </c>
      <c r="I144" s="300">
        <f t="shared" si="17"/>
        <v>0</v>
      </c>
      <c r="J144" s="300">
        <f t="shared" si="17"/>
        <v>0</v>
      </c>
      <c r="K144" s="300">
        <f t="shared" si="17"/>
        <v>0</v>
      </c>
    </row>
    <row r="145" spans="1:11" ht="18" customHeight="1" x14ac:dyDescent="0.3">
      <c r="A145" s="733" t="s">
        <v>148</v>
      </c>
      <c r="B145" s="636" t="s">
        <v>68</v>
      </c>
      <c r="C145" s="742"/>
      <c r="D145" s="742"/>
      <c r="E145" s="742"/>
      <c r="F145" s="300">
        <f t="shared" ref="F145:K145" si="18">F82</f>
        <v>67.5</v>
      </c>
      <c r="G145" s="300">
        <f t="shared" si="18"/>
        <v>101</v>
      </c>
      <c r="H145" s="300">
        <f t="shared" si="18"/>
        <v>4906</v>
      </c>
      <c r="I145" s="300">
        <f t="shared" si="18"/>
        <v>0</v>
      </c>
      <c r="J145" s="300">
        <f t="shared" si="18"/>
        <v>420</v>
      </c>
      <c r="K145" s="300">
        <f t="shared" si="18"/>
        <v>4486</v>
      </c>
    </row>
    <row r="146" spans="1:11" ht="18" customHeight="1" x14ac:dyDescent="0.3">
      <c r="A146" s="733" t="s">
        <v>150</v>
      </c>
      <c r="B146" s="636" t="s">
        <v>69</v>
      </c>
      <c r="C146" s="742"/>
      <c r="D146" s="742"/>
      <c r="E146" s="742"/>
      <c r="F146" s="300">
        <f t="shared" ref="F146:K146" si="19">F98</f>
        <v>139</v>
      </c>
      <c r="G146" s="300">
        <f t="shared" si="19"/>
        <v>40</v>
      </c>
      <c r="H146" s="300">
        <f t="shared" si="19"/>
        <v>189825</v>
      </c>
      <c r="I146" s="300">
        <f t="shared" si="19"/>
        <v>122983.82100000001</v>
      </c>
      <c r="J146" s="300">
        <f t="shared" si="19"/>
        <v>0</v>
      </c>
      <c r="K146" s="300">
        <f t="shared" si="19"/>
        <v>312808.821</v>
      </c>
    </row>
    <row r="147" spans="1:11" ht="18" customHeight="1" x14ac:dyDescent="0.3">
      <c r="A147" s="733" t="s">
        <v>153</v>
      </c>
      <c r="B147" s="636" t="s">
        <v>61</v>
      </c>
      <c r="C147" s="742"/>
      <c r="D147" s="742"/>
      <c r="E147" s="742"/>
      <c r="F147" s="286">
        <f t="shared" ref="F147:K147" si="20">F108</f>
        <v>10</v>
      </c>
      <c r="G147" s="286">
        <f t="shared" si="20"/>
        <v>0</v>
      </c>
      <c r="H147" s="286">
        <f t="shared" si="20"/>
        <v>207</v>
      </c>
      <c r="I147" s="286">
        <f t="shared" si="20"/>
        <v>134.11116000000001</v>
      </c>
      <c r="J147" s="286">
        <f t="shared" si="20"/>
        <v>0</v>
      </c>
      <c r="K147" s="286">
        <f t="shared" si="20"/>
        <v>341.11116000000004</v>
      </c>
    </row>
    <row r="148" spans="1:11" ht="18" customHeight="1" x14ac:dyDescent="0.3">
      <c r="A148" s="733" t="s">
        <v>155</v>
      </c>
      <c r="B148" s="636" t="s">
        <v>70</v>
      </c>
      <c r="C148" s="742"/>
      <c r="D148" s="742"/>
      <c r="E148" s="742"/>
      <c r="F148" s="301" t="s">
        <v>73</v>
      </c>
      <c r="G148" s="301" t="s">
        <v>73</v>
      </c>
      <c r="H148" s="302" t="s">
        <v>73</v>
      </c>
      <c r="I148" s="302" t="s">
        <v>73</v>
      </c>
      <c r="J148" s="302" t="s">
        <v>73</v>
      </c>
      <c r="K148" s="296">
        <f>F111</f>
        <v>2792419</v>
      </c>
    </row>
    <row r="149" spans="1:11" ht="18" customHeight="1" x14ac:dyDescent="0.3">
      <c r="A149" s="733" t="s">
        <v>163</v>
      </c>
      <c r="B149" s="636" t="s">
        <v>71</v>
      </c>
      <c r="C149" s="742"/>
      <c r="D149" s="742"/>
      <c r="E149" s="742"/>
      <c r="F149" s="286">
        <f t="shared" ref="F149:K149" si="21">F137</f>
        <v>0</v>
      </c>
      <c r="G149" s="286">
        <f t="shared" si="21"/>
        <v>0</v>
      </c>
      <c r="H149" s="286">
        <f t="shared" si="21"/>
        <v>0</v>
      </c>
      <c r="I149" s="286">
        <f t="shared" si="21"/>
        <v>0</v>
      </c>
      <c r="J149" s="286">
        <f t="shared" si="21"/>
        <v>0</v>
      </c>
      <c r="K149" s="286">
        <f t="shared" si="21"/>
        <v>0</v>
      </c>
    </row>
    <row r="150" spans="1:11" ht="18" customHeight="1" x14ac:dyDescent="0.3">
      <c r="A150" s="733" t="s">
        <v>185</v>
      </c>
      <c r="B150" s="636" t="s">
        <v>186</v>
      </c>
      <c r="C150" s="742"/>
      <c r="D150" s="742"/>
      <c r="E150" s="742"/>
      <c r="F150" s="301" t="s">
        <v>73</v>
      </c>
      <c r="G150" s="301" t="s">
        <v>73</v>
      </c>
      <c r="H150" s="286">
        <f>H18</f>
        <v>1079564</v>
      </c>
      <c r="I150" s="286">
        <f>I18</f>
        <v>0</v>
      </c>
      <c r="J150" s="286">
        <f>J18</f>
        <v>0</v>
      </c>
      <c r="K150" s="286">
        <f>K18</f>
        <v>1079564</v>
      </c>
    </row>
    <row r="151" spans="1:11" ht="18" customHeight="1" x14ac:dyDescent="0.3">
      <c r="A151" s="742"/>
      <c r="B151" s="636"/>
      <c r="C151" s="742"/>
      <c r="D151" s="742"/>
      <c r="E151" s="742"/>
      <c r="F151" s="304"/>
      <c r="G151" s="304"/>
      <c r="H151" s="304"/>
      <c r="I151" s="304"/>
      <c r="J151" s="304"/>
      <c r="K151" s="304"/>
    </row>
    <row r="152" spans="1:11" ht="18" customHeight="1" x14ac:dyDescent="0.3">
      <c r="A152" s="639" t="s">
        <v>165</v>
      </c>
      <c r="B152" s="636" t="s">
        <v>26</v>
      </c>
      <c r="C152" s="742"/>
      <c r="D152" s="742"/>
      <c r="E152" s="742"/>
      <c r="F152" s="305">
        <f t="shared" ref="F152:K152" si="22">SUM(F141:F150)</f>
        <v>4120.45</v>
      </c>
      <c r="G152" s="305">
        <f t="shared" si="22"/>
        <v>4448</v>
      </c>
      <c r="H152" s="305">
        <f t="shared" si="22"/>
        <v>1368149</v>
      </c>
      <c r="I152" s="305">
        <f t="shared" si="22"/>
        <v>183789.95052000001</v>
      </c>
      <c r="J152" s="305">
        <f t="shared" si="22"/>
        <v>112474</v>
      </c>
      <c r="K152" s="305">
        <f t="shared" si="22"/>
        <v>4231883.9505199995</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835"/>
      <c r="F154" s="310">
        <f>K152/F121</f>
        <v>9.0389713388187909E-2</v>
      </c>
      <c r="G154" s="742"/>
      <c r="H154" s="742"/>
      <c r="I154" s="742"/>
      <c r="J154" s="742"/>
      <c r="K154" s="742"/>
    </row>
    <row r="155" spans="1:11" ht="18" customHeight="1" x14ac:dyDescent="0.3">
      <c r="A155" s="639" t="s">
        <v>169</v>
      </c>
      <c r="B155" s="636" t="s">
        <v>72</v>
      </c>
      <c r="C155" s="742"/>
      <c r="D155" s="742"/>
      <c r="E155" s="834"/>
      <c r="F155" s="310">
        <f>K152/F127</f>
        <v>1.0348336592594476</v>
      </c>
      <c r="G155" s="636"/>
      <c r="H155" s="742"/>
      <c r="I155" s="742"/>
      <c r="J155" s="742"/>
      <c r="K155" s="742"/>
    </row>
    <row r="156" spans="1:11" ht="18" customHeight="1" x14ac:dyDescent="0.3">
      <c r="A156" s="270"/>
      <c r="B156" s="270"/>
      <c r="C156" s="270"/>
      <c r="D156" s="270"/>
      <c r="E156" s="270"/>
      <c r="F156" s="270"/>
      <c r="G156" s="273"/>
      <c r="H156" s="270"/>
      <c r="I156" s="735"/>
      <c r="J156" s="270"/>
      <c r="K156" s="270"/>
    </row>
    <row r="157" spans="1:11" ht="18" customHeight="1" x14ac:dyDescent="0.25">
      <c r="I157" s="830"/>
    </row>
  </sheetData>
  <sheetProtection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8"/>
  <sheetViews>
    <sheetView zoomScale="70" zoomScaleNormal="70" workbookViewId="0"/>
  </sheetViews>
  <sheetFormatPr defaultColWidth="9.26953125" defaultRowHeight="18" customHeight="1" x14ac:dyDescent="0.35"/>
  <cols>
    <col min="1" max="1" width="8.26953125" style="100" customWidth="1"/>
    <col min="2" max="2" width="55.453125" style="98" bestFit="1" customWidth="1"/>
    <col min="3" max="3" width="9.54296875" style="98" customWidth="1"/>
    <col min="4" max="4" width="9.26953125" style="98"/>
    <col min="5" max="5" width="12.453125" style="98" customWidth="1"/>
    <col min="6" max="6" width="18.54296875" style="98" customWidth="1"/>
    <col min="7" max="7" width="23.54296875" style="98" customWidth="1"/>
    <col min="8" max="8" width="17.26953125" style="98" customWidth="1"/>
    <col min="9" max="9" width="21.26953125" style="98" customWidth="1"/>
    <col min="10" max="10" width="19.7265625" style="98" customWidth="1"/>
    <col min="11" max="11" width="17.54296875" style="98" customWidth="1"/>
    <col min="12" max="16384" width="9.26953125" style="98"/>
  </cols>
  <sheetData>
    <row r="1" spans="1:11" ht="18" customHeight="1" x14ac:dyDescent="0.35">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5">
      <c r="A3" s="742"/>
      <c r="B3" s="636" t="s">
        <v>0</v>
      </c>
      <c r="C3" s="742"/>
      <c r="D3" s="742"/>
      <c r="E3" s="742"/>
      <c r="F3" s="742"/>
      <c r="G3" s="742"/>
      <c r="H3" s="742"/>
      <c r="I3" s="742"/>
      <c r="J3" s="742"/>
      <c r="K3" s="742"/>
    </row>
    <row r="5" spans="1:11" ht="18" customHeight="1" x14ac:dyDescent="0.35">
      <c r="A5" s="742"/>
      <c r="B5" s="733" t="s">
        <v>40</v>
      </c>
      <c r="C5" s="1361" t="s">
        <v>547</v>
      </c>
      <c r="D5" s="1362"/>
      <c r="E5" s="1362"/>
      <c r="F5" s="1362"/>
      <c r="G5" s="1364"/>
      <c r="H5" s="742"/>
      <c r="I5" s="742"/>
      <c r="J5" s="742"/>
      <c r="K5" s="742"/>
    </row>
    <row r="6" spans="1:11" ht="18" customHeight="1" x14ac:dyDescent="0.35">
      <c r="A6" s="742"/>
      <c r="B6" s="733" t="s">
        <v>3</v>
      </c>
      <c r="C6" s="1365">
        <v>210018</v>
      </c>
      <c r="D6" s="1366"/>
      <c r="E6" s="1366"/>
      <c r="F6" s="1366"/>
      <c r="G6" s="1367"/>
      <c r="H6" s="742"/>
      <c r="I6" s="742"/>
      <c r="J6" s="742"/>
      <c r="K6" s="742"/>
    </row>
    <row r="7" spans="1:11" ht="18" customHeight="1" x14ac:dyDescent="0.35">
      <c r="A7" s="742"/>
      <c r="B7" s="733" t="s">
        <v>4</v>
      </c>
      <c r="C7" s="1368">
        <v>1190</v>
      </c>
      <c r="D7" s="1369"/>
      <c r="E7" s="1369"/>
      <c r="F7" s="1369"/>
      <c r="G7" s="1370"/>
      <c r="H7" s="742"/>
      <c r="I7" s="742"/>
      <c r="J7" s="742"/>
      <c r="K7" s="742"/>
    </row>
    <row r="9" spans="1:11" ht="18" customHeight="1" x14ac:dyDescent="0.35">
      <c r="A9" s="742"/>
      <c r="B9" s="733" t="s">
        <v>1</v>
      </c>
      <c r="C9" s="1361" t="s">
        <v>614</v>
      </c>
      <c r="D9" s="1362"/>
      <c r="E9" s="1362"/>
      <c r="F9" s="1362"/>
      <c r="G9" s="1364"/>
      <c r="H9" s="742"/>
      <c r="I9" s="742"/>
      <c r="J9" s="742"/>
      <c r="K9" s="742"/>
    </row>
    <row r="10" spans="1:11" ht="18" customHeight="1" x14ac:dyDescent="0.35">
      <c r="A10" s="742"/>
      <c r="B10" s="733" t="s">
        <v>2</v>
      </c>
      <c r="C10" s="1371" t="s">
        <v>615</v>
      </c>
      <c r="D10" s="1372"/>
      <c r="E10" s="1372"/>
      <c r="F10" s="1372"/>
      <c r="G10" s="1373"/>
      <c r="H10" s="742"/>
      <c r="I10" s="742"/>
      <c r="J10" s="742"/>
      <c r="K10" s="742"/>
    </row>
    <row r="11" spans="1:11" ht="18" customHeight="1" x14ac:dyDescent="0.35">
      <c r="A11" s="742"/>
      <c r="B11" s="733" t="s">
        <v>32</v>
      </c>
      <c r="C11" s="1361" t="s">
        <v>616</v>
      </c>
      <c r="D11" s="1362"/>
      <c r="E11" s="1362"/>
      <c r="F11" s="1362"/>
      <c r="G11" s="1362"/>
      <c r="H11" s="742"/>
      <c r="I11" s="742"/>
      <c r="J11" s="742"/>
      <c r="K11" s="742"/>
    </row>
    <row r="12" spans="1:11" ht="18" customHeight="1" x14ac:dyDescent="0.35">
      <c r="A12" s="742"/>
      <c r="B12" s="733"/>
      <c r="C12" s="733"/>
      <c r="D12" s="733"/>
      <c r="E12" s="733"/>
      <c r="F12" s="733"/>
      <c r="G12" s="733"/>
      <c r="H12" s="742"/>
      <c r="I12" s="742"/>
      <c r="J12" s="742"/>
      <c r="K12" s="742"/>
    </row>
    <row r="13" spans="1:11" ht="24.65" customHeight="1" x14ac:dyDescent="0.35">
      <c r="A13" s="742"/>
      <c r="B13" s="1363"/>
      <c r="C13" s="1363"/>
      <c r="D13" s="1363"/>
      <c r="E13" s="1363"/>
      <c r="F13" s="1363"/>
      <c r="G13" s="1363"/>
      <c r="H13" s="1363"/>
      <c r="I13" s="888"/>
      <c r="J13" s="742"/>
      <c r="K13" s="742"/>
    </row>
    <row r="14" spans="1:11" ht="18" customHeight="1" x14ac:dyDescent="0.35">
      <c r="A14" s="742"/>
      <c r="B14" s="640"/>
      <c r="C14" s="742"/>
      <c r="D14" s="742"/>
      <c r="E14" s="742"/>
      <c r="F14" s="742"/>
      <c r="G14" s="742"/>
      <c r="H14" s="742"/>
      <c r="I14" s="742"/>
      <c r="J14" s="742"/>
      <c r="K14" s="742"/>
    </row>
    <row r="15" spans="1:11" ht="18" customHeight="1" x14ac:dyDescent="0.35">
      <c r="A15" s="742"/>
      <c r="B15" s="640"/>
      <c r="C15" s="742"/>
      <c r="D15" s="742"/>
      <c r="E15" s="742"/>
      <c r="F15" s="742"/>
      <c r="G15" s="742"/>
      <c r="H15" s="742"/>
      <c r="I15" s="742"/>
      <c r="J15" s="742"/>
      <c r="K15" s="742"/>
    </row>
    <row r="16" spans="1:11" ht="45" customHeight="1" x14ac:dyDescent="0.35">
      <c r="A16" s="889" t="s">
        <v>181</v>
      </c>
      <c r="B16" s="888"/>
      <c r="C16" s="888"/>
      <c r="D16" s="888"/>
      <c r="E16" s="888"/>
      <c r="F16" s="641" t="s">
        <v>9</v>
      </c>
      <c r="G16" s="641" t="s">
        <v>37</v>
      </c>
      <c r="H16" s="641" t="s">
        <v>29</v>
      </c>
      <c r="I16" s="641" t="s">
        <v>30</v>
      </c>
      <c r="J16" s="641" t="s">
        <v>33</v>
      </c>
      <c r="K16" s="641" t="s">
        <v>34</v>
      </c>
    </row>
    <row r="17" spans="1:11" ht="18" customHeight="1" x14ac:dyDescent="0.35">
      <c r="A17" s="639" t="s">
        <v>184</v>
      </c>
      <c r="B17" s="636" t="s">
        <v>182</v>
      </c>
      <c r="C17" s="742"/>
      <c r="D17" s="742"/>
      <c r="E17" s="742"/>
      <c r="F17" s="742"/>
      <c r="G17" s="742"/>
      <c r="H17" s="742"/>
      <c r="I17" s="742"/>
      <c r="J17" s="742"/>
      <c r="K17" s="742"/>
    </row>
    <row r="18" spans="1:11" ht="18" customHeight="1" x14ac:dyDescent="0.35">
      <c r="A18" s="733" t="s">
        <v>185</v>
      </c>
      <c r="B18" s="635" t="s">
        <v>183</v>
      </c>
      <c r="C18" s="742"/>
      <c r="D18" s="742"/>
      <c r="E18" s="742"/>
      <c r="F18" s="282" t="s">
        <v>73</v>
      </c>
      <c r="G18" s="282" t="s">
        <v>73</v>
      </c>
      <c r="H18" s="283">
        <v>3955242</v>
      </c>
      <c r="I18" s="306">
        <v>0</v>
      </c>
      <c r="J18" s="283">
        <v>3342960</v>
      </c>
      <c r="K18" s="284">
        <f>(H18+I18)-J18</f>
        <v>612282</v>
      </c>
    </row>
    <row r="19" spans="1:11" ht="45" customHeight="1" x14ac:dyDescent="0.35">
      <c r="A19" s="889" t="s">
        <v>8</v>
      </c>
      <c r="B19" s="888"/>
      <c r="C19" s="888"/>
      <c r="D19" s="888"/>
      <c r="E19" s="888"/>
      <c r="F19" s="641" t="s">
        <v>9</v>
      </c>
      <c r="G19" s="641" t="s">
        <v>37</v>
      </c>
      <c r="H19" s="641" t="s">
        <v>29</v>
      </c>
      <c r="I19" s="641" t="s">
        <v>30</v>
      </c>
      <c r="J19" s="641" t="s">
        <v>33</v>
      </c>
      <c r="K19" s="641" t="s">
        <v>34</v>
      </c>
    </row>
    <row r="20" spans="1:11" ht="18" customHeight="1" x14ac:dyDescent="0.35">
      <c r="A20" s="639" t="s">
        <v>74</v>
      </c>
      <c r="B20" s="636" t="s">
        <v>41</v>
      </c>
      <c r="C20" s="742"/>
      <c r="D20" s="742"/>
      <c r="E20" s="742"/>
      <c r="F20" s="742"/>
      <c r="G20" s="742"/>
      <c r="H20" s="742"/>
      <c r="I20" s="742"/>
      <c r="J20" s="742"/>
      <c r="K20" s="742"/>
    </row>
    <row r="21" spans="1:11" ht="18" customHeight="1" x14ac:dyDescent="0.35">
      <c r="A21" s="733" t="s">
        <v>75</v>
      </c>
      <c r="B21" s="635" t="s">
        <v>42</v>
      </c>
      <c r="C21" s="742"/>
      <c r="D21" s="742"/>
      <c r="E21" s="742"/>
      <c r="F21" s="282">
        <v>1177</v>
      </c>
      <c r="G21" s="282">
        <v>1689</v>
      </c>
      <c r="H21" s="283">
        <v>128010</v>
      </c>
      <c r="I21" s="306">
        <v>68344</v>
      </c>
      <c r="J21" s="283">
        <v>19695</v>
      </c>
      <c r="K21" s="284">
        <f t="shared" ref="K21:K34" si="0">(H21+I21)-J21</f>
        <v>176659</v>
      </c>
    </row>
    <row r="22" spans="1:11" ht="18" customHeight="1" x14ac:dyDescent="0.35">
      <c r="A22" s="733" t="s">
        <v>76</v>
      </c>
      <c r="B22" s="742" t="s">
        <v>6</v>
      </c>
      <c r="C22" s="742"/>
      <c r="D22" s="742"/>
      <c r="E22" s="742"/>
      <c r="F22" s="282"/>
      <c r="G22" s="282"/>
      <c r="H22" s="283"/>
      <c r="I22" s="306">
        <f t="shared" ref="I22:I34" si="1">H22*F$114</f>
        <v>0</v>
      </c>
      <c r="J22" s="283"/>
      <c r="K22" s="284">
        <f t="shared" si="0"/>
        <v>0</v>
      </c>
    </row>
    <row r="23" spans="1:11" ht="18" customHeight="1" x14ac:dyDescent="0.35">
      <c r="A23" s="733" t="s">
        <v>77</v>
      </c>
      <c r="B23" s="742" t="s">
        <v>43</v>
      </c>
      <c r="C23" s="742"/>
      <c r="D23" s="742"/>
      <c r="E23" s="742"/>
      <c r="F23" s="282"/>
      <c r="G23" s="282"/>
      <c r="H23" s="283"/>
      <c r="I23" s="306">
        <f t="shared" si="1"/>
        <v>0</v>
      </c>
      <c r="J23" s="283"/>
      <c r="K23" s="284">
        <f t="shared" si="0"/>
        <v>0</v>
      </c>
    </row>
    <row r="24" spans="1:11" ht="18" customHeight="1" x14ac:dyDescent="0.35">
      <c r="A24" s="733" t="s">
        <v>78</v>
      </c>
      <c r="B24" s="742" t="s">
        <v>44</v>
      </c>
      <c r="C24" s="742"/>
      <c r="D24" s="742"/>
      <c r="E24" s="742"/>
      <c r="F24" s="282">
        <v>59</v>
      </c>
      <c r="G24" s="282">
        <v>219</v>
      </c>
      <c r="H24" s="283">
        <v>7525</v>
      </c>
      <c r="I24" s="306">
        <v>325</v>
      </c>
      <c r="J24" s="283">
        <v>0</v>
      </c>
      <c r="K24" s="284">
        <f t="shared" si="0"/>
        <v>7850</v>
      </c>
    </row>
    <row r="25" spans="1:11" ht="18" customHeight="1" x14ac:dyDescent="0.35">
      <c r="A25" s="733" t="s">
        <v>79</v>
      </c>
      <c r="B25" s="742" t="s">
        <v>5</v>
      </c>
      <c r="C25" s="742"/>
      <c r="D25" s="742"/>
      <c r="E25" s="742"/>
      <c r="F25" s="282"/>
      <c r="G25" s="282"/>
      <c r="H25" s="283"/>
      <c r="I25" s="306">
        <f t="shared" si="1"/>
        <v>0</v>
      </c>
      <c r="J25" s="283"/>
      <c r="K25" s="284">
        <f t="shared" si="0"/>
        <v>0</v>
      </c>
    </row>
    <row r="26" spans="1:11" ht="18" customHeight="1" x14ac:dyDescent="0.35">
      <c r="A26" s="733" t="s">
        <v>80</v>
      </c>
      <c r="B26" s="742" t="s">
        <v>45</v>
      </c>
      <c r="C26" s="742"/>
      <c r="D26" s="742"/>
      <c r="E26" s="742"/>
      <c r="F26" s="282"/>
      <c r="G26" s="282"/>
      <c r="H26" s="283"/>
      <c r="I26" s="306">
        <f t="shared" si="1"/>
        <v>0</v>
      </c>
      <c r="J26" s="283"/>
      <c r="K26" s="284">
        <f t="shared" si="0"/>
        <v>0</v>
      </c>
    </row>
    <row r="27" spans="1:11" ht="18" customHeight="1" x14ac:dyDescent="0.35">
      <c r="A27" s="733" t="s">
        <v>81</v>
      </c>
      <c r="B27" s="742" t="s">
        <v>46</v>
      </c>
      <c r="C27" s="742"/>
      <c r="D27" s="742"/>
      <c r="E27" s="742"/>
      <c r="F27" s="282"/>
      <c r="G27" s="282"/>
      <c r="H27" s="283"/>
      <c r="I27" s="306">
        <f t="shared" si="1"/>
        <v>0</v>
      </c>
      <c r="J27" s="283"/>
      <c r="K27" s="284">
        <f t="shared" si="0"/>
        <v>0</v>
      </c>
    </row>
    <row r="28" spans="1:11" ht="18" customHeight="1" x14ac:dyDescent="0.35">
      <c r="A28" s="733" t="s">
        <v>82</v>
      </c>
      <c r="B28" s="742" t="s">
        <v>47</v>
      </c>
      <c r="C28" s="742"/>
      <c r="D28" s="742"/>
      <c r="E28" s="742"/>
      <c r="F28" s="282"/>
      <c r="G28" s="282"/>
      <c r="H28" s="283"/>
      <c r="I28" s="306">
        <f t="shared" si="1"/>
        <v>0</v>
      </c>
      <c r="J28" s="283"/>
      <c r="K28" s="284">
        <f t="shared" si="0"/>
        <v>0</v>
      </c>
    </row>
    <row r="29" spans="1:11" ht="18" customHeight="1" x14ac:dyDescent="0.35">
      <c r="A29" s="733" t="s">
        <v>83</v>
      </c>
      <c r="B29" s="742" t="s">
        <v>48</v>
      </c>
      <c r="C29" s="742"/>
      <c r="D29" s="742"/>
      <c r="E29" s="742"/>
      <c r="F29" s="282">
        <v>2228</v>
      </c>
      <c r="G29" s="282">
        <v>610</v>
      </c>
      <c r="H29" s="283">
        <v>345674</v>
      </c>
      <c r="I29" s="306">
        <v>233483</v>
      </c>
      <c r="J29" s="283">
        <v>0</v>
      </c>
      <c r="K29" s="284">
        <f t="shared" si="0"/>
        <v>579157</v>
      </c>
    </row>
    <row r="30" spans="1:11" ht="18" customHeight="1" x14ac:dyDescent="0.35">
      <c r="A30" s="733" t="s">
        <v>84</v>
      </c>
      <c r="B30" s="1351"/>
      <c r="C30" s="1352"/>
      <c r="D30" s="1353"/>
      <c r="E30" s="742"/>
      <c r="F30" s="282"/>
      <c r="G30" s="282"/>
      <c r="H30" s="283"/>
      <c r="I30" s="306">
        <f t="shared" si="1"/>
        <v>0</v>
      </c>
      <c r="J30" s="283"/>
      <c r="K30" s="284">
        <f t="shared" si="0"/>
        <v>0</v>
      </c>
    </row>
    <row r="31" spans="1:11" ht="18" customHeight="1" x14ac:dyDescent="0.35">
      <c r="A31" s="733" t="s">
        <v>133</v>
      </c>
      <c r="B31" s="1351"/>
      <c r="C31" s="1352"/>
      <c r="D31" s="1353"/>
      <c r="E31" s="742"/>
      <c r="F31" s="282"/>
      <c r="G31" s="282"/>
      <c r="H31" s="283"/>
      <c r="I31" s="306">
        <f t="shared" si="1"/>
        <v>0</v>
      </c>
      <c r="J31" s="283"/>
      <c r="K31" s="284">
        <f t="shared" si="0"/>
        <v>0</v>
      </c>
    </row>
    <row r="32" spans="1:11" ht="18" customHeight="1" x14ac:dyDescent="0.35">
      <c r="A32" s="733" t="s">
        <v>134</v>
      </c>
      <c r="B32" s="894"/>
      <c r="C32" s="895"/>
      <c r="D32" s="896"/>
      <c r="E32" s="742"/>
      <c r="F32" s="282"/>
      <c r="G32" s="308"/>
      <c r="H32" s="283"/>
      <c r="I32" s="306">
        <f t="shared" si="1"/>
        <v>0</v>
      </c>
      <c r="J32" s="283"/>
      <c r="K32" s="284">
        <f t="shared" si="0"/>
        <v>0</v>
      </c>
    </row>
    <row r="33" spans="1:11" ht="18" customHeight="1" x14ac:dyDescent="0.35">
      <c r="A33" s="733" t="s">
        <v>135</v>
      </c>
      <c r="B33" s="894"/>
      <c r="C33" s="895"/>
      <c r="D33" s="896"/>
      <c r="E33" s="742"/>
      <c r="F33" s="282"/>
      <c r="G33" s="308"/>
      <c r="H33" s="283"/>
      <c r="I33" s="306">
        <f t="shared" si="1"/>
        <v>0</v>
      </c>
      <c r="J33" s="283"/>
      <c r="K33" s="284">
        <f t="shared" si="0"/>
        <v>0</v>
      </c>
    </row>
    <row r="34" spans="1:11" ht="18" customHeight="1" x14ac:dyDescent="0.35">
      <c r="A34" s="733" t="s">
        <v>136</v>
      </c>
      <c r="B34" s="1351"/>
      <c r="C34" s="1352"/>
      <c r="D34" s="1353"/>
      <c r="E34" s="742"/>
      <c r="F34" s="282"/>
      <c r="G34" s="308"/>
      <c r="H34" s="283"/>
      <c r="I34" s="306">
        <f t="shared" si="1"/>
        <v>0</v>
      </c>
      <c r="J34" s="283"/>
      <c r="K34" s="284">
        <f t="shared" si="0"/>
        <v>0</v>
      </c>
    </row>
    <row r="35" spans="1:11" ht="18" customHeight="1" x14ac:dyDescent="0.35">
      <c r="A35" s="742"/>
      <c r="B35" s="742"/>
      <c r="C35" s="742"/>
      <c r="D35" s="742"/>
      <c r="E35" s="742"/>
      <c r="F35" s="742"/>
      <c r="G35" s="742"/>
      <c r="H35" s="742"/>
      <c r="I35" s="742"/>
      <c r="J35" s="742"/>
      <c r="K35" s="315"/>
    </row>
    <row r="36" spans="1:11" ht="18" customHeight="1" x14ac:dyDescent="0.35">
      <c r="A36" s="639" t="s">
        <v>137</v>
      </c>
      <c r="B36" s="636" t="s">
        <v>138</v>
      </c>
      <c r="C36" s="742"/>
      <c r="D36" s="742"/>
      <c r="E36" s="636" t="s">
        <v>7</v>
      </c>
      <c r="F36" s="286">
        <f t="shared" ref="F36:K36" si="2">SUM(F21:F34)</f>
        <v>3464</v>
      </c>
      <c r="G36" s="286">
        <f t="shared" si="2"/>
        <v>2518</v>
      </c>
      <c r="H36" s="286">
        <f t="shared" si="2"/>
        <v>481209</v>
      </c>
      <c r="I36" s="284">
        <f t="shared" si="2"/>
        <v>302152</v>
      </c>
      <c r="J36" s="284">
        <f t="shared" si="2"/>
        <v>19695</v>
      </c>
      <c r="K36" s="284">
        <f t="shared" si="2"/>
        <v>763666</v>
      </c>
    </row>
    <row r="37" spans="1:11" ht="18" customHeight="1" thickBot="1" x14ac:dyDescent="0.4">
      <c r="A37" s="742"/>
      <c r="B37" s="636"/>
      <c r="C37" s="742"/>
      <c r="D37" s="742"/>
      <c r="E37" s="742"/>
      <c r="F37" s="287"/>
      <c r="G37" s="287"/>
      <c r="H37" s="288"/>
      <c r="I37" s="288"/>
      <c r="J37" s="288"/>
      <c r="K37" s="303"/>
    </row>
    <row r="38" spans="1:11" ht="42.75" customHeight="1" x14ac:dyDescent="0.35">
      <c r="A38" s="742"/>
      <c r="B38" s="742"/>
      <c r="C38" s="742"/>
      <c r="D38" s="742"/>
      <c r="E38" s="742"/>
      <c r="F38" s="641" t="s">
        <v>9</v>
      </c>
      <c r="G38" s="641" t="s">
        <v>37</v>
      </c>
      <c r="H38" s="641" t="s">
        <v>29</v>
      </c>
      <c r="I38" s="641" t="s">
        <v>30</v>
      </c>
      <c r="J38" s="641" t="s">
        <v>33</v>
      </c>
      <c r="K38" s="641" t="s">
        <v>34</v>
      </c>
    </row>
    <row r="39" spans="1:11" ht="18.75" customHeight="1" x14ac:dyDescent="0.35">
      <c r="A39" s="639" t="s">
        <v>86</v>
      </c>
      <c r="B39" s="636" t="s">
        <v>49</v>
      </c>
      <c r="C39" s="742"/>
      <c r="D39" s="742"/>
      <c r="E39" s="742"/>
      <c r="F39" s="742"/>
      <c r="G39" s="742"/>
      <c r="H39" s="742"/>
      <c r="I39" s="742"/>
      <c r="J39" s="742"/>
      <c r="K39" s="742"/>
    </row>
    <row r="40" spans="1:11" ht="18" customHeight="1" x14ac:dyDescent="0.35">
      <c r="A40" s="733" t="s">
        <v>87</v>
      </c>
      <c r="B40" s="742" t="s">
        <v>31</v>
      </c>
      <c r="C40" s="742"/>
      <c r="D40" s="742"/>
      <c r="E40" s="742"/>
      <c r="F40" s="282">
        <v>287</v>
      </c>
      <c r="G40" s="282">
        <v>1500</v>
      </c>
      <c r="H40" s="283">
        <v>14352</v>
      </c>
      <c r="I40" s="306">
        <v>10664</v>
      </c>
      <c r="J40" s="283"/>
      <c r="K40" s="284">
        <f t="shared" ref="K40:K47" si="3">(H40+I40)-J40</f>
        <v>25016</v>
      </c>
    </row>
    <row r="41" spans="1:11" ht="18" customHeight="1" x14ac:dyDescent="0.35">
      <c r="A41" s="733" t="s">
        <v>88</v>
      </c>
      <c r="B41" s="1359" t="s">
        <v>50</v>
      </c>
      <c r="C41" s="1359"/>
      <c r="D41" s="742"/>
      <c r="E41" s="742"/>
      <c r="F41" s="282">
        <v>161.5</v>
      </c>
      <c r="G41" s="282">
        <v>393</v>
      </c>
      <c r="H41" s="283">
        <v>8352</v>
      </c>
      <c r="I41" s="306">
        <v>6206</v>
      </c>
      <c r="J41" s="283">
        <v>0</v>
      </c>
      <c r="K41" s="284">
        <f t="shared" si="3"/>
        <v>14558</v>
      </c>
    </row>
    <row r="42" spans="1:11" ht="18" customHeight="1" x14ac:dyDescent="0.35">
      <c r="A42" s="733" t="s">
        <v>89</v>
      </c>
      <c r="B42" s="635" t="s">
        <v>11</v>
      </c>
      <c r="C42" s="742"/>
      <c r="D42" s="742"/>
      <c r="E42" s="742"/>
      <c r="F42" s="282">
        <v>554.29999999999995</v>
      </c>
      <c r="G42" s="282">
        <v>188</v>
      </c>
      <c r="H42" s="283">
        <v>24070</v>
      </c>
      <c r="I42" s="306">
        <v>17194</v>
      </c>
      <c r="J42" s="283"/>
      <c r="K42" s="284">
        <f t="shared" si="3"/>
        <v>41264</v>
      </c>
    </row>
    <row r="43" spans="1:11" ht="18" customHeight="1" x14ac:dyDescent="0.35">
      <c r="A43" s="733" t="s">
        <v>90</v>
      </c>
      <c r="B43" s="670" t="s">
        <v>10</v>
      </c>
      <c r="C43" s="642"/>
      <c r="D43" s="642"/>
      <c r="E43" s="742"/>
      <c r="F43" s="282"/>
      <c r="G43" s="282"/>
      <c r="H43" s="283"/>
      <c r="I43" s="306">
        <v>0</v>
      </c>
      <c r="J43" s="283"/>
      <c r="K43" s="284">
        <f t="shared" si="3"/>
        <v>0</v>
      </c>
    </row>
    <row r="44" spans="1:11" ht="18" customHeight="1" x14ac:dyDescent="0.35">
      <c r="A44" s="733" t="s">
        <v>91</v>
      </c>
      <c r="B44" s="1351"/>
      <c r="C44" s="1352"/>
      <c r="D44" s="1353"/>
      <c r="E44" s="742"/>
      <c r="F44" s="324"/>
      <c r="G44" s="324"/>
      <c r="H44" s="324"/>
      <c r="I44" s="325">
        <v>0</v>
      </c>
      <c r="J44" s="324"/>
      <c r="K44" s="326">
        <f t="shared" si="3"/>
        <v>0</v>
      </c>
    </row>
    <row r="45" spans="1:11" ht="18" customHeight="1" x14ac:dyDescent="0.35">
      <c r="A45" s="733" t="s">
        <v>139</v>
      </c>
      <c r="B45" s="1351"/>
      <c r="C45" s="1352"/>
      <c r="D45" s="1353"/>
      <c r="E45" s="742"/>
      <c r="F45" s="282"/>
      <c r="G45" s="282"/>
      <c r="H45" s="283"/>
      <c r="I45" s="306">
        <v>0</v>
      </c>
      <c r="J45" s="283"/>
      <c r="K45" s="284">
        <f t="shared" si="3"/>
        <v>0</v>
      </c>
    </row>
    <row r="46" spans="1:11" ht="18" customHeight="1" x14ac:dyDescent="0.35">
      <c r="A46" s="733" t="s">
        <v>140</v>
      </c>
      <c r="B46" s="1351"/>
      <c r="C46" s="1352"/>
      <c r="D46" s="1353"/>
      <c r="E46" s="742"/>
      <c r="F46" s="282"/>
      <c r="G46" s="282"/>
      <c r="H46" s="283"/>
      <c r="I46" s="306">
        <v>0</v>
      </c>
      <c r="J46" s="283"/>
      <c r="K46" s="284">
        <f t="shared" si="3"/>
        <v>0</v>
      </c>
    </row>
    <row r="47" spans="1:11" ht="18" customHeight="1" x14ac:dyDescent="0.35">
      <c r="A47" s="733" t="s">
        <v>141</v>
      </c>
      <c r="B47" s="1351"/>
      <c r="C47" s="1352"/>
      <c r="D47" s="1353"/>
      <c r="E47" s="742"/>
      <c r="F47" s="282"/>
      <c r="G47" s="282"/>
      <c r="H47" s="283"/>
      <c r="I47" s="306">
        <v>0</v>
      </c>
      <c r="J47" s="283"/>
      <c r="K47" s="284">
        <f t="shared" si="3"/>
        <v>0</v>
      </c>
    </row>
    <row r="49" spans="1:11" ht="18" customHeight="1" x14ac:dyDescent="0.35">
      <c r="A49" s="639" t="s">
        <v>142</v>
      </c>
      <c r="B49" s="636" t="s">
        <v>143</v>
      </c>
      <c r="C49" s="742"/>
      <c r="D49" s="742"/>
      <c r="E49" s="636" t="s">
        <v>7</v>
      </c>
      <c r="F49" s="290">
        <f t="shared" ref="F49:K49" si="4">SUM(F40:F47)</f>
        <v>1002.8</v>
      </c>
      <c r="G49" s="290">
        <f t="shared" si="4"/>
        <v>2081</v>
      </c>
      <c r="H49" s="284">
        <f t="shared" si="4"/>
        <v>46774</v>
      </c>
      <c r="I49" s="284">
        <f t="shared" si="4"/>
        <v>34064</v>
      </c>
      <c r="J49" s="284">
        <f t="shared" si="4"/>
        <v>0</v>
      </c>
      <c r="K49" s="284">
        <f t="shared" si="4"/>
        <v>80838</v>
      </c>
    </row>
    <row r="50" spans="1:11" ht="18" customHeight="1" thickBot="1" x14ac:dyDescent="0.4">
      <c r="A50" s="742"/>
      <c r="B50" s="742"/>
      <c r="C50" s="742"/>
      <c r="D50" s="742"/>
      <c r="E50" s="742"/>
      <c r="F50" s="742"/>
      <c r="G50" s="291"/>
      <c r="H50" s="291"/>
      <c r="I50" s="291"/>
      <c r="J50" s="291"/>
      <c r="K50" s="291"/>
    </row>
    <row r="51" spans="1:11" ht="42.75" customHeight="1" x14ac:dyDescent="0.35">
      <c r="A51" s="742"/>
      <c r="B51" s="742"/>
      <c r="C51" s="742"/>
      <c r="D51" s="742"/>
      <c r="E51" s="742"/>
      <c r="F51" s="641" t="s">
        <v>9</v>
      </c>
      <c r="G51" s="641" t="s">
        <v>37</v>
      </c>
      <c r="H51" s="641" t="s">
        <v>29</v>
      </c>
      <c r="I51" s="641" t="s">
        <v>30</v>
      </c>
      <c r="J51" s="641" t="s">
        <v>33</v>
      </c>
      <c r="K51" s="641" t="s">
        <v>34</v>
      </c>
    </row>
    <row r="52" spans="1:11" ht="18" customHeight="1" x14ac:dyDescent="0.35">
      <c r="A52" s="639" t="s">
        <v>92</v>
      </c>
      <c r="B52" s="1358" t="s">
        <v>38</v>
      </c>
      <c r="C52" s="1358"/>
      <c r="D52" s="742"/>
      <c r="E52" s="742"/>
      <c r="F52" s="742"/>
      <c r="G52" s="742"/>
      <c r="H52" s="742"/>
      <c r="I52" s="742"/>
      <c r="J52" s="742"/>
      <c r="K52" s="742"/>
    </row>
    <row r="53" spans="1:11" ht="18" customHeight="1" x14ac:dyDescent="0.35">
      <c r="A53" s="733" t="s">
        <v>51</v>
      </c>
      <c r="B53" s="1354" t="s">
        <v>746</v>
      </c>
      <c r="C53" s="1355"/>
      <c r="D53" s="1356"/>
      <c r="E53" s="742"/>
      <c r="F53" s="282"/>
      <c r="G53" s="282"/>
      <c r="H53" s="283">
        <v>1376442</v>
      </c>
      <c r="I53" s="306">
        <v>0</v>
      </c>
      <c r="J53" s="283">
        <v>0</v>
      </c>
      <c r="K53" s="284">
        <f t="shared" ref="K53:K62" si="5">(H53+I53)-J53</f>
        <v>1376442</v>
      </c>
    </row>
    <row r="54" spans="1:11" ht="18" customHeight="1" x14ac:dyDescent="0.35">
      <c r="A54" s="733" t="s">
        <v>93</v>
      </c>
      <c r="B54" s="900"/>
      <c r="C54" s="901"/>
      <c r="D54" s="899"/>
      <c r="E54" s="742"/>
      <c r="F54" s="282"/>
      <c r="G54" s="282"/>
      <c r="H54" s="283"/>
      <c r="I54" s="306">
        <v>0</v>
      </c>
      <c r="J54" s="283"/>
      <c r="K54" s="284">
        <f t="shared" si="5"/>
        <v>0</v>
      </c>
    </row>
    <row r="55" spans="1:11" ht="18" customHeight="1" x14ac:dyDescent="0.35">
      <c r="A55" s="733" t="s">
        <v>94</v>
      </c>
      <c r="B55" s="1354"/>
      <c r="C55" s="1355"/>
      <c r="D55" s="1356"/>
      <c r="E55" s="742"/>
      <c r="F55" s="282"/>
      <c r="G55" s="282"/>
      <c r="H55" s="283"/>
      <c r="I55" s="306">
        <v>0</v>
      </c>
      <c r="J55" s="283"/>
      <c r="K55" s="284">
        <f t="shared" si="5"/>
        <v>0</v>
      </c>
    </row>
    <row r="56" spans="1:11" ht="18" customHeight="1" x14ac:dyDescent="0.35">
      <c r="A56" s="733" t="s">
        <v>95</v>
      </c>
      <c r="B56" s="1354"/>
      <c r="C56" s="1355"/>
      <c r="D56" s="1356"/>
      <c r="E56" s="742"/>
      <c r="F56" s="282"/>
      <c r="G56" s="282"/>
      <c r="H56" s="283"/>
      <c r="I56" s="306">
        <v>0</v>
      </c>
      <c r="J56" s="283"/>
      <c r="K56" s="284">
        <f t="shared" si="5"/>
        <v>0</v>
      </c>
    </row>
    <row r="57" spans="1:11" ht="18" customHeight="1" x14ac:dyDescent="0.35">
      <c r="A57" s="733" t="s">
        <v>96</v>
      </c>
      <c r="B57" s="1354" t="s">
        <v>553</v>
      </c>
      <c r="C57" s="1355"/>
      <c r="D57" s="1356"/>
      <c r="E57" s="742"/>
      <c r="F57" s="282"/>
      <c r="G57" s="282"/>
      <c r="H57" s="283">
        <v>6303498</v>
      </c>
      <c r="I57" s="306">
        <v>0</v>
      </c>
      <c r="J57" s="283">
        <v>3928219</v>
      </c>
      <c r="K57" s="284">
        <f t="shared" si="5"/>
        <v>2375279</v>
      </c>
    </row>
    <row r="58" spans="1:11" ht="18" customHeight="1" x14ac:dyDescent="0.35">
      <c r="A58" s="733" t="s">
        <v>97</v>
      </c>
      <c r="B58" s="900"/>
      <c r="C58" s="901"/>
      <c r="D58" s="899"/>
      <c r="E58" s="742"/>
      <c r="F58" s="282"/>
      <c r="G58" s="282"/>
      <c r="H58" s="283"/>
      <c r="I58" s="306">
        <v>0</v>
      </c>
      <c r="J58" s="283"/>
      <c r="K58" s="284">
        <f t="shared" si="5"/>
        <v>0</v>
      </c>
    </row>
    <row r="59" spans="1:11" ht="18" customHeight="1" x14ac:dyDescent="0.35">
      <c r="A59" s="733" t="s">
        <v>98</v>
      </c>
      <c r="B59" s="1354" t="s">
        <v>747</v>
      </c>
      <c r="C59" s="1355"/>
      <c r="D59" s="1356"/>
      <c r="E59" s="742"/>
      <c r="F59" s="282"/>
      <c r="G59" s="282"/>
      <c r="H59" s="283">
        <v>320132</v>
      </c>
      <c r="I59" s="306">
        <v>0</v>
      </c>
      <c r="J59" s="283">
        <v>0</v>
      </c>
      <c r="K59" s="284">
        <f t="shared" si="5"/>
        <v>320132</v>
      </c>
    </row>
    <row r="60" spans="1:11" ht="18" customHeight="1" x14ac:dyDescent="0.35">
      <c r="A60" s="733" t="s">
        <v>99</v>
      </c>
      <c r="B60" s="900" t="s">
        <v>748</v>
      </c>
      <c r="C60" s="901"/>
      <c r="D60" s="899"/>
      <c r="E60" s="742"/>
      <c r="F60" s="282"/>
      <c r="G60" s="282"/>
      <c r="H60" s="283">
        <v>691517</v>
      </c>
      <c r="I60" s="306">
        <v>0</v>
      </c>
      <c r="J60" s="283"/>
      <c r="K60" s="284">
        <f t="shared" si="5"/>
        <v>691517</v>
      </c>
    </row>
    <row r="61" spans="1:11" ht="18" customHeight="1" x14ac:dyDescent="0.35">
      <c r="A61" s="733" t="s">
        <v>100</v>
      </c>
      <c r="B61" s="900"/>
      <c r="C61" s="901"/>
      <c r="D61" s="899"/>
      <c r="E61" s="742"/>
      <c r="F61" s="282"/>
      <c r="G61" s="282"/>
      <c r="H61" s="283"/>
      <c r="I61" s="306">
        <v>0</v>
      </c>
      <c r="J61" s="283"/>
      <c r="K61" s="284">
        <f t="shared" si="5"/>
        <v>0</v>
      </c>
    </row>
    <row r="62" spans="1:11" ht="18" customHeight="1" x14ac:dyDescent="0.35">
      <c r="A62" s="733" t="s">
        <v>101</v>
      </c>
      <c r="B62" s="1354"/>
      <c r="C62" s="1355"/>
      <c r="D62" s="1356"/>
      <c r="E62" s="742"/>
      <c r="F62" s="282"/>
      <c r="G62" s="282"/>
      <c r="H62" s="283"/>
      <c r="I62" s="306">
        <v>0</v>
      </c>
      <c r="J62" s="283"/>
      <c r="K62" s="284">
        <f t="shared" si="5"/>
        <v>0</v>
      </c>
    </row>
    <row r="63" spans="1:11" ht="18" customHeight="1" x14ac:dyDescent="0.35">
      <c r="A63" s="733"/>
      <c r="B63" s="742"/>
      <c r="C63" s="742"/>
      <c r="D63" s="742"/>
      <c r="E63" s="742"/>
      <c r="F63" s="742"/>
      <c r="G63" s="742"/>
      <c r="H63" s="742"/>
      <c r="I63" s="276"/>
      <c r="J63" s="742"/>
      <c r="K63" s="742"/>
    </row>
    <row r="64" spans="1:11" ht="18" customHeight="1" x14ac:dyDescent="0.35">
      <c r="A64" s="733" t="s">
        <v>144</v>
      </c>
      <c r="B64" s="636" t="s">
        <v>145</v>
      </c>
      <c r="C64" s="742"/>
      <c r="D64" s="742"/>
      <c r="E64" s="636" t="s">
        <v>7</v>
      </c>
      <c r="F64" s="286">
        <f t="shared" ref="F64:K64" si="6">SUM(F53:F62)</f>
        <v>0</v>
      </c>
      <c r="G64" s="286">
        <f t="shared" si="6"/>
        <v>0</v>
      </c>
      <c r="H64" s="284">
        <f t="shared" si="6"/>
        <v>8691589</v>
      </c>
      <c r="I64" s="284">
        <f t="shared" si="6"/>
        <v>0</v>
      </c>
      <c r="J64" s="284">
        <f t="shared" si="6"/>
        <v>3928219</v>
      </c>
      <c r="K64" s="284">
        <f t="shared" si="6"/>
        <v>4763370</v>
      </c>
    </row>
    <row r="65" spans="1:11" ht="18" customHeight="1" x14ac:dyDescent="0.35">
      <c r="A65" s="742"/>
      <c r="B65" s="742"/>
      <c r="C65" s="742"/>
      <c r="D65" s="742"/>
      <c r="E65" s="742"/>
      <c r="F65" s="304"/>
      <c r="G65" s="304"/>
      <c r="H65" s="304"/>
      <c r="I65" s="304"/>
      <c r="J65" s="304"/>
      <c r="K65" s="304"/>
    </row>
    <row r="66" spans="1:11" ht="42.75" customHeight="1" x14ac:dyDescent="0.35">
      <c r="A66" s="742"/>
      <c r="B66" s="742"/>
      <c r="C66" s="742"/>
      <c r="D66" s="742"/>
      <c r="E66" s="742"/>
      <c r="F66" s="680" t="s">
        <v>9</v>
      </c>
      <c r="G66" s="680" t="s">
        <v>37</v>
      </c>
      <c r="H66" s="680" t="s">
        <v>29</v>
      </c>
      <c r="I66" s="680" t="s">
        <v>30</v>
      </c>
      <c r="J66" s="680" t="s">
        <v>33</v>
      </c>
      <c r="K66" s="680" t="s">
        <v>34</v>
      </c>
    </row>
    <row r="67" spans="1:11" ht="18" customHeight="1" x14ac:dyDescent="0.35">
      <c r="A67" s="639" t="s">
        <v>102</v>
      </c>
      <c r="B67" s="636" t="s">
        <v>12</v>
      </c>
      <c r="C67" s="742"/>
      <c r="D67" s="742"/>
      <c r="E67" s="742"/>
      <c r="F67" s="681"/>
      <c r="G67" s="681"/>
      <c r="H67" s="681"/>
      <c r="I67" s="682"/>
      <c r="J67" s="681"/>
      <c r="K67" s="683"/>
    </row>
    <row r="68" spans="1:11" ht="18" customHeight="1" x14ac:dyDescent="0.35">
      <c r="A68" s="733" t="s">
        <v>103</v>
      </c>
      <c r="B68" s="742" t="s">
        <v>52</v>
      </c>
      <c r="C68" s="742"/>
      <c r="D68" s="742"/>
      <c r="E68" s="742"/>
      <c r="F68" s="307"/>
      <c r="G68" s="307"/>
      <c r="H68" s="307"/>
      <c r="I68" s="306">
        <v>0</v>
      </c>
      <c r="J68" s="307"/>
      <c r="K68" s="284">
        <f>(H68+I68)-J68</f>
        <v>0</v>
      </c>
    </row>
    <row r="69" spans="1:11" ht="18" customHeight="1" x14ac:dyDescent="0.35">
      <c r="A69" s="733" t="s">
        <v>104</v>
      </c>
      <c r="B69" s="635" t="s">
        <v>53</v>
      </c>
      <c r="C69" s="742"/>
      <c r="D69" s="742"/>
      <c r="E69" s="742"/>
      <c r="F69" s="307"/>
      <c r="G69" s="307"/>
      <c r="H69" s="307"/>
      <c r="I69" s="306">
        <v>0</v>
      </c>
      <c r="J69" s="307"/>
      <c r="K69" s="284">
        <f>(H69+I69)-J69</f>
        <v>0</v>
      </c>
    </row>
    <row r="70" spans="1:11" ht="18" customHeight="1" x14ac:dyDescent="0.35">
      <c r="A70" s="733" t="s">
        <v>178</v>
      </c>
      <c r="B70" s="900"/>
      <c r="C70" s="901"/>
      <c r="D70" s="899"/>
      <c r="E70" s="636"/>
      <c r="F70" s="294"/>
      <c r="G70" s="294"/>
      <c r="H70" s="295"/>
      <c r="I70" s="306">
        <v>0</v>
      </c>
      <c r="J70" s="295"/>
      <c r="K70" s="284">
        <f>(H70+I70)-J70</f>
        <v>0</v>
      </c>
    </row>
    <row r="71" spans="1:11" ht="18" customHeight="1" x14ac:dyDescent="0.35">
      <c r="A71" s="733" t="s">
        <v>179</v>
      </c>
      <c r="B71" s="900"/>
      <c r="C71" s="901"/>
      <c r="D71" s="899"/>
      <c r="E71" s="636"/>
      <c r="F71" s="294"/>
      <c r="G71" s="294"/>
      <c r="H71" s="295"/>
      <c r="I71" s="306">
        <v>0</v>
      </c>
      <c r="J71" s="295"/>
      <c r="K71" s="284">
        <f>(H71+I71)-J71</f>
        <v>0</v>
      </c>
    </row>
    <row r="72" spans="1:11" ht="18" customHeight="1" x14ac:dyDescent="0.35">
      <c r="A72" s="733" t="s">
        <v>180</v>
      </c>
      <c r="B72" s="897"/>
      <c r="C72" s="898"/>
      <c r="D72" s="293"/>
      <c r="E72" s="636"/>
      <c r="F72" s="282"/>
      <c r="G72" s="282"/>
      <c r="H72" s="283"/>
      <c r="I72" s="306">
        <v>0</v>
      </c>
      <c r="J72" s="283"/>
      <c r="K72" s="284">
        <f>(H72+I72)-J72</f>
        <v>0</v>
      </c>
    </row>
    <row r="73" spans="1:11" ht="18" customHeight="1" x14ac:dyDescent="0.35">
      <c r="A73" s="733"/>
      <c r="B73" s="635"/>
      <c r="C73" s="742"/>
      <c r="D73" s="742"/>
      <c r="E73" s="636"/>
      <c r="F73" s="684"/>
      <c r="G73" s="684"/>
      <c r="H73" s="685"/>
      <c r="I73" s="682"/>
      <c r="J73" s="685"/>
      <c r="K73" s="683"/>
    </row>
    <row r="74" spans="1:11" ht="18" customHeight="1" x14ac:dyDescent="0.35">
      <c r="A74" s="639" t="s">
        <v>146</v>
      </c>
      <c r="B74" s="636" t="s">
        <v>147</v>
      </c>
      <c r="C74" s="742"/>
      <c r="D74" s="742"/>
      <c r="E74" s="636" t="s">
        <v>7</v>
      </c>
      <c r="F74" s="289">
        <f t="shared" ref="F74:K74" si="7">SUM(F68:F72)</f>
        <v>0</v>
      </c>
      <c r="G74" s="289">
        <f t="shared" si="7"/>
        <v>0</v>
      </c>
      <c r="H74" s="289">
        <f t="shared" si="7"/>
        <v>0</v>
      </c>
      <c r="I74" s="309">
        <f t="shared" si="7"/>
        <v>0</v>
      </c>
      <c r="J74" s="289">
        <f t="shared" si="7"/>
        <v>0</v>
      </c>
      <c r="K74" s="285">
        <f t="shared" si="7"/>
        <v>0</v>
      </c>
    </row>
    <row r="75" spans="1:11" ht="42.75" customHeight="1" x14ac:dyDescent="0.35">
      <c r="A75" s="742"/>
      <c r="B75" s="742"/>
      <c r="C75" s="742"/>
      <c r="D75" s="742"/>
      <c r="E75" s="742"/>
      <c r="F75" s="641" t="s">
        <v>9</v>
      </c>
      <c r="G75" s="641" t="s">
        <v>37</v>
      </c>
      <c r="H75" s="641" t="s">
        <v>29</v>
      </c>
      <c r="I75" s="641" t="s">
        <v>30</v>
      </c>
      <c r="J75" s="641" t="s">
        <v>33</v>
      </c>
      <c r="K75" s="641" t="s">
        <v>34</v>
      </c>
    </row>
    <row r="76" spans="1:11" ht="18" customHeight="1" x14ac:dyDescent="0.35">
      <c r="A76" s="639" t="s">
        <v>105</v>
      </c>
      <c r="B76" s="636" t="s">
        <v>106</v>
      </c>
      <c r="C76" s="742"/>
      <c r="D76" s="742"/>
      <c r="E76" s="742"/>
      <c r="F76" s="742"/>
      <c r="G76" s="742"/>
      <c r="H76" s="742"/>
      <c r="I76" s="742"/>
      <c r="J76" s="742"/>
      <c r="K76" s="742"/>
    </row>
    <row r="77" spans="1:11" ht="18" customHeight="1" x14ac:dyDescent="0.35">
      <c r="A77" s="733" t="s">
        <v>107</v>
      </c>
      <c r="B77" s="635" t="s">
        <v>54</v>
      </c>
      <c r="C77" s="742"/>
      <c r="D77" s="742"/>
      <c r="E77" s="742"/>
      <c r="F77" s="282"/>
      <c r="G77" s="282">
        <v>1116</v>
      </c>
      <c r="H77" s="283">
        <v>64173</v>
      </c>
      <c r="I77" s="306">
        <v>0</v>
      </c>
      <c r="J77" s="283"/>
      <c r="K77" s="284">
        <f>(H77+I77)-J77</f>
        <v>64173</v>
      </c>
    </row>
    <row r="78" spans="1:11" ht="18" customHeight="1" x14ac:dyDescent="0.35">
      <c r="A78" s="733" t="s">
        <v>108</v>
      </c>
      <c r="B78" s="635" t="s">
        <v>55</v>
      </c>
      <c r="C78" s="742"/>
      <c r="D78" s="742"/>
      <c r="E78" s="742"/>
      <c r="F78" s="282"/>
      <c r="G78" s="282"/>
      <c r="H78" s="283"/>
      <c r="I78" s="306">
        <v>0</v>
      </c>
      <c r="J78" s="283"/>
      <c r="K78" s="284">
        <f>(H78+I78)-J78</f>
        <v>0</v>
      </c>
    </row>
    <row r="79" spans="1:11" ht="18" customHeight="1" x14ac:dyDescent="0.35">
      <c r="A79" s="733" t="s">
        <v>109</v>
      </c>
      <c r="B79" s="635" t="s">
        <v>13</v>
      </c>
      <c r="C79" s="742"/>
      <c r="D79" s="742"/>
      <c r="E79" s="742"/>
      <c r="F79" s="282">
        <v>51</v>
      </c>
      <c r="G79" s="282">
        <v>105</v>
      </c>
      <c r="H79" s="283">
        <v>20176</v>
      </c>
      <c r="I79" s="306">
        <v>14448</v>
      </c>
      <c r="J79" s="283"/>
      <c r="K79" s="284">
        <f>(H79+I79)-J79</f>
        <v>34624</v>
      </c>
    </row>
    <row r="80" spans="1:11" ht="18" customHeight="1" x14ac:dyDescent="0.35">
      <c r="A80" s="733" t="s">
        <v>110</v>
      </c>
      <c r="B80" s="635" t="s">
        <v>56</v>
      </c>
      <c r="C80" s="742"/>
      <c r="D80" s="742"/>
      <c r="E80" s="742"/>
      <c r="F80" s="282"/>
      <c r="G80" s="282"/>
      <c r="H80" s="283"/>
      <c r="I80" s="306">
        <v>0</v>
      </c>
      <c r="J80" s="283"/>
      <c r="K80" s="284">
        <f>(H80+I80)-J80</f>
        <v>0</v>
      </c>
    </row>
    <row r="81" spans="1:11" ht="18" customHeight="1" x14ac:dyDescent="0.35">
      <c r="A81" s="733"/>
      <c r="B81" s="742"/>
      <c r="C81" s="742"/>
      <c r="D81" s="742"/>
      <c r="E81" s="742"/>
      <c r="F81" s="742"/>
      <c r="G81" s="742"/>
      <c r="H81" s="742"/>
      <c r="I81" s="742"/>
      <c r="J81" s="742"/>
      <c r="K81" s="299"/>
    </row>
    <row r="82" spans="1:11" ht="18" customHeight="1" x14ac:dyDescent="0.35">
      <c r="A82" s="733" t="s">
        <v>148</v>
      </c>
      <c r="B82" s="636" t="s">
        <v>149</v>
      </c>
      <c r="C82" s="742"/>
      <c r="D82" s="742"/>
      <c r="E82" s="636" t="s">
        <v>7</v>
      </c>
      <c r="F82" s="289">
        <f t="shared" ref="F82:K82" si="8">SUM(F77:F80)</f>
        <v>51</v>
      </c>
      <c r="G82" s="289">
        <f t="shared" si="8"/>
        <v>1221</v>
      </c>
      <c r="H82" s="285">
        <f t="shared" si="8"/>
        <v>84349</v>
      </c>
      <c r="I82" s="285">
        <f t="shared" si="8"/>
        <v>14448</v>
      </c>
      <c r="J82" s="285">
        <f t="shared" si="8"/>
        <v>0</v>
      </c>
      <c r="K82" s="285">
        <f t="shared" si="8"/>
        <v>98797</v>
      </c>
    </row>
    <row r="83" spans="1:11" ht="18" customHeight="1" thickBot="1" x14ac:dyDescent="0.4">
      <c r="A83" s="733"/>
      <c r="B83" s="742"/>
      <c r="C83" s="742"/>
      <c r="D83" s="742"/>
      <c r="E83" s="742"/>
      <c r="F83" s="291"/>
      <c r="G83" s="291"/>
      <c r="H83" s="291"/>
      <c r="I83" s="291"/>
      <c r="J83" s="291"/>
      <c r="K83" s="291"/>
    </row>
    <row r="84" spans="1:11" ht="42.75" customHeight="1" x14ac:dyDescent="0.35">
      <c r="A84" s="742"/>
      <c r="B84" s="742"/>
      <c r="C84" s="742"/>
      <c r="D84" s="742"/>
      <c r="E84" s="742"/>
      <c r="F84" s="641" t="s">
        <v>9</v>
      </c>
      <c r="G84" s="641" t="s">
        <v>37</v>
      </c>
      <c r="H84" s="641" t="s">
        <v>29</v>
      </c>
      <c r="I84" s="641" t="s">
        <v>30</v>
      </c>
      <c r="J84" s="641" t="s">
        <v>33</v>
      </c>
      <c r="K84" s="641" t="s">
        <v>34</v>
      </c>
    </row>
    <row r="85" spans="1:11" ht="18" customHeight="1" x14ac:dyDescent="0.35">
      <c r="A85" s="639" t="s">
        <v>111</v>
      </c>
      <c r="B85" s="636" t="s">
        <v>57</v>
      </c>
      <c r="C85" s="742"/>
      <c r="D85" s="742"/>
      <c r="E85" s="742"/>
      <c r="F85" s="742"/>
      <c r="G85" s="742"/>
      <c r="H85" s="742"/>
      <c r="I85" s="742"/>
      <c r="J85" s="742"/>
      <c r="K85" s="742"/>
    </row>
    <row r="86" spans="1:11" ht="18" customHeight="1" x14ac:dyDescent="0.35">
      <c r="A86" s="733" t="s">
        <v>112</v>
      </c>
      <c r="B86" s="635" t="s">
        <v>113</v>
      </c>
      <c r="C86" s="742"/>
      <c r="D86" s="742"/>
      <c r="E86" s="742"/>
      <c r="F86" s="282"/>
      <c r="G86" s="282"/>
      <c r="H86" s="283"/>
      <c r="I86" s="306">
        <f t="shared" ref="I86:I96" si="9">H86*F$114</f>
        <v>0</v>
      </c>
      <c r="J86" s="283"/>
      <c r="K86" s="284">
        <f t="shared" ref="K86:K96" si="10">(H86+I86)-J86</f>
        <v>0</v>
      </c>
    </row>
    <row r="87" spans="1:11" ht="18" customHeight="1" x14ac:dyDescent="0.35">
      <c r="A87" s="733" t="s">
        <v>114</v>
      </c>
      <c r="B87" s="635" t="s">
        <v>14</v>
      </c>
      <c r="C87" s="742"/>
      <c r="D87" s="742"/>
      <c r="E87" s="742"/>
      <c r="F87" s="282"/>
      <c r="G87" s="282"/>
      <c r="H87" s="283"/>
      <c r="I87" s="306">
        <f t="shared" si="9"/>
        <v>0</v>
      </c>
      <c r="J87" s="283"/>
      <c r="K87" s="284">
        <f t="shared" si="10"/>
        <v>0</v>
      </c>
    </row>
    <row r="88" spans="1:11" ht="18" customHeight="1" x14ac:dyDescent="0.35">
      <c r="A88" s="733" t="s">
        <v>115</v>
      </c>
      <c r="B88" s="635" t="s">
        <v>116</v>
      </c>
      <c r="C88" s="742"/>
      <c r="D88" s="742"/>
      <c r="E88" s="742"/>
      <c r="F88" s="282">
        <v>920</v>
      </c>
      <c r="G88" s="282"/>
      <c r="H88" s="283">
        <v>24044</v>
      </c>
      <c r="I88" s="306">
        <v>17865</v>
      </c>
      <c r="J88" s="283"/>
      <c r="K88" s="284">
        <f t="shared" si="10"/>
        <v>41909</v>
      </c>
    </row>
    <row r="89" spans="1:11" ht="18" customHeight="1" x14ac:dyDescent="0.35">
      <c r="A89" s="733" t="s">
        <v>117</v>
      </c>
      <c r="B89" s="635" t="s">
        <v>58</v>
      </c>
      <c r="C89" s="742"/>
      <c r="D89" s="742"/>
      <c r="E89" s="742"/>
      <c r="F89" s="282"/>
      <c r="G89" s="282"/>
      <c r="H89" s="283"/>
      <c r="I89" s="306">
        <f t="shared" si="9"/>
        <v>0</v>
      </c>
      <c r="J89" s="283"/>
      <c r="K89" s="284">
        <f t="shared" si="10"/>
        <v>0</v>
      </c>
    </row>
    <row r="90" spans="1:11" ht="18" customHeight="1" x14ac:dyDescent="0.35">
      <c r="A90" s="733" t="s">
        <v>118</v>
      </c>
      <c r="B90" s="1359" t="s">
        <v>59</v>
      </c>
      <c r="C90" s="1359"/>
      <c r="D90" s="742"/>
      <c r="E90" s="742"/>
      <c r="F90" s="282"/>
      <c r="G90" s="282"/>
      <c r="H90" s="283"/>
      <c r="I90" s="306">
        <f t="shared" si="9"/>
        <v>0</v>
      </c>
      <c r="J90" s="283"/>
      <c r="K90" s="284">
        <f t="shared" si="10"/>
        <v>0</v>
      </c>
    </row>
    <row r="91" spans="1:11" ht="18" customHeight="1" x14ac:dyDescent="0.35">
      <c r="A91" s="733" t="s">
        <v>119</v>
      </c>
      <c r="B91" s="635" t="s">
        <v>60</v>
      </c>
      <c r="C91" s="742"/>
      <c r="D91" s="742"/>
      <c r="E91" s="742"/>
      <c r="F91" s="282">
        <v>182.5</v>
      </c>
      <c r="G91" s="282"/>
      <c r="H91" s="283">
        <v>8017</v>
      </c>
      <c r="I91" s="306">
        <v>4234</v>
      </c>
      <c r="J91" s="283"/>
      <c r="K91" s="284">
        <f t="shared" si="10"/>
        <v>12251</v>
      </c>
    </row>
    <row r="92" spans="1:11" ht="18" customHeight="1" x14ac:dyDescent="0.35">
      <c r="A92" s="733" t="s">
        <v>120</v>
      </c>
      <c r="B92" s="635" t="s">
        <v>121</v>
      </c>
      <c r="C92" s="742"/>
      <c r="D92" s="742"/>
      <c r="E92" s="742"/>
      <c r="F92" s="297">
        <v>0</v>
      </c>
      <c r="G92" s="297"/>
      <c r="H92" s="298">
        <v>26386</v>
      </c>
      <c r="I92" s="306">
        <v>0</v>
      </c>
      <c r="J92" s="298"/>
      <c r="K92" s="284">
        <f t="shared" si="10"/>
        <v>26386</v>
      </c>
    </row>
    <row r="93" spans="1:11" ht="18" customHeight="1" x14ac:dyDescent="0.35">
      <c r="A93" s="733" t="s">
        <v>122</v>
      </c>
      <c r="B93" s="635" t="s">
        <v>123</v>
      </c>
      <c r="C93" s="742"/>
      <c r="D93" s="742"/>
      <c r="E93" s="742"/>
      <c r="F93" s="282">
        <v>66</v>
      </c>
      <c r="G93" s="282"/>
      <c r="H93" s="283">
        <v>2517</v>
      </c>
      <c r="I93" s="306">
        <v>0</v>
      </c>
      <c r="J93" s="283"/>
      <c r="K93" s="284">
        <f t="shared" si="10"/>
        <v>2517</v>
      </c>
    </row>
    <row r="94" spans="1:11" ht="18" customHeight="1" x14ac:dyDescent="0.35">
      <c r="A94" s="733" t="s">
        <v>124</v>
      </c>
      <c r="B94" s="1354"/>
      <c r="C94" s="1355"/>
      <c r="D94" s="1356"/>
      <c r="E94" s="742"/>
      <c r="F94" s="282"/>
      <c r="G94" s="282"/>
      <c r="H94" s="283"/>
      <c r="I94" s="306">
        <f t="shared" si="9"/>
        <v>0</v>
      </c>
      <c r="J94" s="283"/>
      <c r="K94" s="284">
        <f t="shared" si="10"/>
        <v>0</v>
      </c>
    </row>
    <row r="95" spans="1:11" ht="18" customHeight="1" x14ac:dyDescent="0.35">
      <c r="A95" s="733" t="s">
        <v>125</v>
      </c>
      <c r="B95" s="1354"/>
      <c r="C95" s="1355"/>
      <c r="D95" s="1356"/>
      <c r="E95" s="742"/>
      <c r="F95" s="282"/>
      <c r="G95" s="282"/>
      <c r="H95" s="283"/>
      <c r="I95" s="306">
        <f t="shared" si="9"/>
        <v>0</v>
      </c>
      <c r="J95" s="283"/>
      <c r="K95" s="284">
        <f t="shared" si="10"/>
        <v>0</v>
      </c>
    </row>
    <row r="96" spans="1:11" ht="18" customHeight="1" x14ac:dyDescent="0.35">
      <c r="A96" s="733" t="s">
        <v>126</v>
      </c>
      <c r="B96" s="1354"/>
      <c r="C96" s="1355"/>
      <c r="D96" s="1356"/>
      <c r="E96" s="742"/>
      <c r="F96" s="282"/>
      <c r="G96" s="282"/>
      <c r="H96" s="283"/>
      <c r="I96" s="306">
        <f t="shared" si="9"/>
        <v>0</v>
      </c>
      <c r="J96" s="283"/>
      <c r="K96" s="284">
        <f t="shared" si="10"/>
        <v>0</v>
      </c>
    </row>
    <row r="97" spans="1:11" ht="18" customHeight="1" x14ac:dyDescent="0.35">
      <c r="A97" s="733"/>
      <c r="B97" s="635"/>
      <c r="C97" s="742"/>
      <c r="D97" s="742"/>
      <c r="E97" s="742"/>
      <c r="F97" s="742"/>
      <c r="G97" s="742"/>
      <c r="H97" s="742"/>
      <c r="I97" s="742"/>
      <c r="J97" s="742"/>
      <c r="K97" s="742"/>
    </row>
    <row r="98" spans="1:11" ht="18" customHeight="1" x14ac:dyDescent="0.35">
      <c r="A98" s="639" t="s">
        <v>150</v>
      </c>
      <c r="B98" s="636" t="s">
        <v>151</v>
      </c>
      <c r="C98" s="742"/>
      <c r="D98" s="742"/>
      <c r="E98" s="636" t="s">
        <v>7</v>
      </c>
      <c r="F98" s="286">
        <f t="shared" ref="F98:K98" si="11">SUM(F86:F96)</f>
        <v>1168.5</v>
      </c>
      <c r="G98" s="286">
        <f t="shared" si="11"/>
        <v>0</v>
      </c>
      <c r="H98" s="286">
        <f t="shared" si="11"/>
        <v>60964</v>
      </c>
      <c r="I98" s="286">
        <f t="shared" si="11"/>
        <v>22099</v>
      </c>
      <c r="J98" s="286">
        <f t="shared" si="11"/>
        <v>0</v>
      </c>
      <c r="K98" s="286">
        <f t="shared" si="11"/>
        <v>83063</v>
      </c>
    </row>
    <row r="99" spans="1:11" ht="18" customHeight="1" thickBot="1" x14ac:dyDescent="0.4">
      <c r="A99" s="742"/>
      <c r="B99" s="636"/>
      <c r="C99" s="742"/>
      <c r="D99" s="742"/>
      <c r="E99" s="742"/>
      <c r="F99" s="291"/>
      <c r="G99" s="291"/>
      <c r="H99" s="291"/>
      <c r="I99" s="291"/>
      <c r="J99" s="291"/>
      <c r="K99" s="291"/>
    </row>
    <row r="100" spans="1:11" ht="42.75" customHeight="1" x14ac:dyDescent="0.35">
      <c r="A100" s="742"/>
      <c r="B100" s="742"/>
      <c r="C100" s="742"/>
      <c r="D100" s="742"/>
      <c r="E100" s="742"/>
      <c r="F100" s="641" t="s">
        <v>9</v>
      </c>
      <c r="G100" s="641" t="s">
        <v>37</v>
      </c>
      <c r="H100" s="641" t="s">
        <v>29</v>
      </c>
      <c r="I100" s="641" t="s">
        <v>30</v>
      </c>
      <c r="J100" s="641" t="s">
        <v>33</v>
      </c>
      <c r="K100" s="641" t="s">
        <v>34</v>
      </c>
    </row>
    <row r="101" spans="1:11" ht="18" customHeight="1" x14ac:dyDescent="0.35">
      <c r="A101" s="639" t="s">
        <v>130</v>
      </c>
      <c r="B101" s="636" t="s">
        <v>63</v>
      </c>
      <c r="C101" s="742"/>
      <c r="D101" s="742"/>
      <c r="E101" s="742"/>
      <c r="F101" s="742"/>
      <c r="G101" s="742"/>
      <c r="H101" s="742"/>
      <c r="I101" s="742"/>
      <c r="J101" s="742"/>
      <c r="K101" s="742"/>
    </row>
    <row r="102" spans="1:11" ht="18" customHeight="1" x14ac:dyDescent="0.35">
      <c r="A102" s="733" t="s">
        <v>131</v>
      </c>
      <c r="B102" s="635" t="s">
        <v>152</v>
      </c>
      <c r="C102" s="742"/>
      <c r="D102" s="742"/>
      <c r="E102" s="742"/>
      <c r="F102" s="282"/>
      <c r="G102" s="282"/>
      <c r="H102" s="283">
        <v>77636</v>
      </c>
      <c r="I102" s="306">
        <v>57684</v>
      </c>
      <c r="J102" s="283"/>
      <c r="K102" s="284">
        <f>(H102+I102)-J102</f>
        <v>135320</v>
      </c>
    </row>
    <row r="103" spans="1:11" ht="18" customHeight="1" x14ac:dyDescent="0.35">
      <c r="A103" s="733" t="s">
        <v>132</v>
      </c>
      <c r="B103" s="1357" t="s">
        <v>62</v>
      </c>
      <c r="C103" s="1357"/>
      <c r="D103" s="742"/>
      <c r="E103" s="742"/>
      <c r="F103" s="282">
        <v>30</v>
      </c>
      <c r="G103" s="282"/>
      <c r="H103" s="283">
        <v>26095</v>
      </c>
      <c r="I103" s="306">
        <v>0</v>
      </c>
      <c r="J103" s="283"/>
      <c r="K103" s="284">
        <f>(H103+I103)-J103</f>
        <v>26095</v>
      </c>
    </row>
    <row r="104" spans="1:11" ht="18" customHeight="1" x14ac:dyDescent="0.35">
      <c r="A104" s="733" t="s">
        <v>128</v>
      </c>
      <c r="B104" s="1354"/>
      <c r="C104" s="1355"/>
      <c r="D104" s="1356"/>
      <c r="E104" s="742"/>
      <c r="F104" s="282"/>
      <c r="G104" s="282"/>
      <c r="H104" s="283"/>
      <c r="I104" s="306">
        <f>H104*F$114</f>
        <v>0</v>
      </c>
      <c r="J104" s="283"/>
      <c r="K104" s="284">
        <f>(H104+I104)-J104</f>
        <v>0</v>
      </c>
    </row>
    <row r="105" spans="1:11" ht="18" customHeight="1" x14ac:dyDescent="0.35">
      <c r="A105" s="733" t="s">
        <v>127</v>
      </c>
      <c r="B105" s="1354"/>
      <c r="C105" s="1355"/>
      <c r="D105" s="1356"/>
      <c r="E105" s="742"/>
      <c r="F105" s="282"/>
      <c r="G105" s="282"/>
      <c r="H105" s="283"/>
      <c r="I105" s="306">
        <f>H105*F$114</f>
        <v>0</v>
      </c>
      <c r="J105" s="283"/>
      <c r="K105" s="284">
        <f>(H105+I105)-J105</f>
        <v>0</v>
      </c>
    </row>
    <row r="106" spans="1:11" ht="18" customHeight="1" x14ac:dyDescent="0.35">
      <c r="A106" s="733" t="s">
        <v>129</v>
      </c>
      <c r="B106" s="1354"/>
      <c r="C106" s="1355"/>
      <c r="D106" s="1356"/>
      <c r="E106" s="742"/>
      <c r="F106" s="282"/>
      <c r="G106" s="282"/>
      <c r="H106" s="283"/>
      <c r="I106" s="306">
        <f>H106*F$114</f>
        <v>0</v>
      </c>
      <c r="J106" s="283"/>
      <c r="K106" s="284">
        <f>(H106+I106)-J106</f>
        <v>0</v>
      </c>
    </row>
    <row r="107" spans="1:11" ht="18" customHeight="1" x14ac:dyDescent="0.35">
      <c r="A107" s="742"/>
      <c r="B107" s="636"/>
      <c r="C107" s="742"/>
      <c r="D107" s="742"/>
      <c r="E107" s="742"/>
      <c r="F107" s="742"/>
      <c r="G107" s="742"/>
      <c r="H107" s="742"/>
      <c r="I107" s="742"/>
      <c r="J107" s="742"/>
      <c r="K107" s="742"/>
    </row>
    <row r="108" spans="1:11" s="101" customFormat="1" ht="18" customHeight="1" x14ac:dyDescent="0.35">
      <c r="A108" s="639" t="s">
        <v>153</v>
      </c>
      <c r="B108" s="686" t="s">
        <v>154</v>
      </c>
      <c r="C108" s="742"/>
      <c r="D108" s="742"/>
      <c r="E108" s="636" t="s">
        <v>7</v>
      </c>
      <c r="F108" s="286">
        <f t="shared" ref="F108:K108" si="12">SUM(F102:F106)</f>
        <v>30</v>
      </c>
      <c r="G108" s="286">
        <f t="shared" si="12"/>
        <v>0</v>
      </c>
      <c r="H108" s="284">
        <f t="shared" si="12"/>
        <v>103731</v>
      </c>
      <c r="I108" s="284">
        <f t="shared" si="12"/>
        <v>57684</v>
      </c>
      <c r="J108" s="284">
        <f t="shared" si="12"/>
        <v>0</v>
      </c>
      <c r="K108" s="284">
        <f t="shared" si="12"/>
        <v>161415</v>
      </c>
    </row>
    <row r="109" spans="1:11" s="101" customFormat="1" ht="18" customHeight="1" thickBot="1" x14ac:dyDescent="0.4">
      <c r="A109" s="279"/>
      <c r="B109" s="280"/>
      <c r="C109" s="281"/>
      <c r="D109" s="281"/>
      <c r="E109" s="281"/>
      <c r="F109" s="291"/>
      <c r="G109" s="291"/>
      <c r="H109" s="291"/>
      <c r="I109" s="291"/>
      <c r="J109" s="291"/>
      <c r="K109" s="291"/>
    </row>
    <row r="110" spans="1:11" s="101" customFormat="1" ht="18" customHeight="1" x14ac:dyDescent="0.35">
      <c r="A110" s="639" t="s">
        <v>156</v>
      </c>
      <c r="B110" s="636" t="s">
        <v>39</v>
      </c>
      <c r="C110" s="742"/>
      <c r="D110" s="742"/>
      <c r="E110" s="742"/>
      <c r="F110" s="742"/>
      <c r="G110" s="742"/>
      <c r="H110" s="742"/>
      <c r="I110" s="742"/>
      <c r="J110" s="742"/>
      <c r="K110" s="742"/>
    </row>
    <row r="111" spans="1:11" ht="18" customHeight="1" x14ac:dyDescent="0.35">
      <c r="A111" s="639" t="s">
        <v>155</v>
      </c>
      <c r="B111" s="636" t="s">
        <v>164</v>
      </c>
      <c r="C111" s="742"/>
      <c r="D111" s="742"/>
      <c r="E111" s="636" t="s">
        <v>7</v>
      </c>
      <c r="F111" s="283">
        <v>1322823</v>
      </c>
      <c r="G111" s="742"/>
      <c r="H111" s="742"/>
      <c r="I111" s="742"/>
      <c r="J111" s="742"/>
      <c r="K111" s="742"/>
    </row>
    <row r="112" spans="1:11" ht="18" customHeight="1" x14ac:dyDescent="0.35">
      <c r="A112" s="742"/>
      <c r="B112" s="636"/>
      <c r="C112" s="742"/>
      <c r="D112" s="742"/>
      <c r="E112" s="636"/>
      <c r="F112" s="734"/>
      <c r="G112" s="742"/>
      <c r="H112" s="742"/>
      <c r="I112" s="742"/>
      <c r="J112" s="742"/>
      <c r="K112" s="742"/>
    </row>
    <row r="113" spans="1:6" ht="14.5" x14ac:dyDescent="0.35">
      <c r="A113" s="639"/>
      <c r="B113" s="636" t="s">
        <v>15</v>
      </c>
      <c r="C113" s="742"/>
      <c r="D113" s="742"/>
      <c r="E113" s="742"/>
      <c r="F113" s="742"/>
    </row>
    <row r="114" spans="1:6" ht="14.5" x14ac:dyDescent="0.35">
      <c r="A114" s="733" t="s">
        <v>171</v>
      </c>
      <c r="B114" s="635" t="s">
        <v>35</v>
      </c>
      <c r="C114" s="742"/>
      <c r="D114" s="742"/>
      <c r="E114" s="742"/>
      <c r="F114" s="292">
        <v>0.74339999999999995</v>
      </c>
    </row>
    <row r="115" spans="1:6" ht="14.5" x14ac:dyDescent="0.35">
      <c r="A115" s="733"/>
      <c r="B115" s="636"/>
      <c r="C115" s="742"/>
      <c r="D115" s="742"/>
      <c r="E115" s="742"/>
      <c r="F115" s="742"/>
    </row>
    <row r="116" spans="1:6" ht="14.5" x14ac:dyDescent="0.35">
      <c r="A116" s="733" t="s">
        <v>170</v>
      </c>
      <c r="B116" s="636" t="s">
        <v>16</v>
      </c>
      <c r="C116" s="742"/>
      <c r="D116" s="742"/>
      <c r="E116" s="742"/>
      <c r="F116" s="742"/>
    </row>
    <row r="117" spans="1:6" ht="14.5" x14ac:dyDescent="0.35">
      <c r="A117" s="733" t="s">
        <v>172</v>
      </c>
      <c r="B117" s="635" t="s">
        <v>17</v>
      </c>
      <c r="C117" s="742"/>
      <c r="D117" s="742"/>
      <c r="E117" s="742"/>
      <c r="F117" s="283">
        <v>159890384</v>
      </c>
    </row>
    <row r="118" spans="1:6" ht="14.5" x14ac:dyDescent="0.35">
      <c r="A118" s="733" t="s">
        <v>173</v>
      </c>
      <c r="B118" s="742" t="s">
        <v>18</v>
      </c>
      <c r="C118" s="742"/>
      <c r="D118" s="742"/>
      <c r="E118" s="742"/>
      <c r="F118" s="283">
        <v>2016689</v>
      </c>
    </row>
    <row r="119" spans="1:6" ht="14.5" x14ac:dyDescent="0.35">
      <c r="A119" s="733" t="s">
        <v>174</v>
      </c>
      <c r="B119" s="636" t="s">
        <v>19</v>
      </c>
      <c r="C119" s="742"/>
      <c r="D119" s="742"/>
      <c r="E119" s="742"/>
      <c r="F119" s="285">
        <f>SUM(F117:F118)</f>
        <v>161907073</v>
      </c>
    </row>
    <row r="120" spans="1:6" ht="14.5" x14ac:dyDescent="0.35">
      <c r="A120" s="733"/>
      <c r="B120" s="636"/>
      <c r="C120" s="742"/>
      <c r="D120" s="742"/>
      <c r="E120" s="742"/>
      <c r="F120" s="742"/>
    </row>
    <row r="121" spans="1:6" ht="14.5" x14ac:dyDescent="0.35">
      <c r="A121" s="733" t="s">
        <v>167</v>
      </c>
      <c r="B121" s="636" t="s">
        <v>36</v>
      </c>
      <c r="C121" s="742"/>
      <c r="D121" s="742"/>
      <c r="E121" s="742"/>
      <c r="F121" s="283">
        <v>160725287</v>
      </c>
    </row>
    <row r="122" spans="1:6" ht="14.5" x14ac:dyDescent="0.35">
      <c r="A122" s="733"/>
      <c r="B122" s="742"/>
      <c r="C122" s="742"/>
      <c r="D122" s="742"/>
      <c r="E122" s="742"/>
      <c r="F122" s="742"/>
    </row>
    <row r="123" spans="1:6" ht="14.5" x14ac:dyDescent="0.35">
      <c r="A123" s="733" t="s">
        <v>175</v>
      </c>
      <c r="B123" s="636" t="s">
        <v>20</v>
      </c>
      <c r="C123" s="742"/>
      <c r="D123" s="742"/>
      <c r="E123" s="742"/>
      <c r="F123" s="283">
        <f>F119-F121</f>
        <v>1181786</v>
      </c>
    </row>
    <row r="124" spans="1:6" ht="14.5" x14ac:dyDescent="0.35">
      <c r="A124" s="733"/>
      <c r="B124" s="742"/>
      <c r="C124" s="742"/>
      <c r="D124" s="742"/>
      <c r="E124" s="742"/>
      <c r="F124" s="742"/>
    </row>
    <row r="125" spans="1:6" ht="14.5" x14ac:dyDescent="0.35">
      <c r="A125" s="733" t="s">
        <v>176</v>
      </c>
      <c r="B125" s="636" t="s">
        <v>21</v>
      </c>
      <c r="C125" s="742"/>
      <c r="D125" s="742"/>
      <c r="E125" s="742"/>
      <c r="F125" s="283">
        <v>1095725</v>
      </c>
    </row>
    <row r="126" spans="1:6" ht="14.5" x14ac:dyDescent="0.35">
      <c r="A126" s="733"/>
      <c r="B126" s="742"/>
      <c r="C126" s="742"/>
      <c r="D126" s="742"/>
      <c r="E126" s="742"/>
      <c r="F126" s="742"/>
    </row>
    <row r="127" spans="1:6" ht="14.5" x14ac:dyDescent="0.35">
      <c r="A127" s="733" t="s">
        <v>177</v>
      </c>
      <c r="B127" s="636" t="s">
        <v>22</v>
      </c>
      <c r="C127" s="742"/>
      <c r="D127" s="742"/>
      <c r="E127" s="742"/>
      <c r="F127" s="283">
        <v>2277511</v>
      </c>
    </row>
    <row r="128" spans="1:6" ht="14.5" x14ac:dyDescent="0.35">
      <c r="A128" s="733"/>
      <c r="B128" s="742"/>
      <c r="C128" s="742"/>
      <c r="D128" s="742"/>
      <c r="E128" s="742"/>
      <c r="F128" s="742"/>
    </row>
    <row r="129" spans="1:11" ht="42.75" customHeight="1" x14ac:dyDescent="0.35">
      <c r="A129" s="742"/>
      <c r="B129" s="742"/>
      <c r="C129" s="742"/>
      <c r="D129" s="742"/>
      <c r="E129" s="742"/>
      <c r="F129" s="641" t="s">
        <v>9</v>
      </c>
      <c r="G129" s="641" t="s">
        <v>37</v>
      </c>
      <c r="H129" s="641" t="s">
        <v>29</v>
      </c>
      <c r="I129" s="641" t="s">
        <v>30</v>
      </c>
      <c r="J129" s="641" t="s">
        <v>33</v>
      </c>
      <c r="K129" s="641" t="s">
        <v>34</v>
      </c>
    </row>
    <row r="130" spans="1:11" ht="18" customHeight="1" x14ac:dyDescent="0.35">
      <c r="A130" s="639" t="s">
        <v>157</v>
      </c>
      <c r="B130" s="636" t="s">
        <v>23</v>
      </c>
      <c r="C130" s="742"/>
      <c r="D130" s="742"/>
      <c r="E130" s="742"/>
      <c r="F130" s="742"/>
      <c r="G130" s="742"/>
      <c r="H130" s="742"/>
      <c r="I130" s="742"/>
      <c r="J130" s="742"/>
      <c r="K130" s="742"/>
    </row>
    <row r="131" spans="1:11" ht="18" customHeight="1" x14ac:dyDescent="0.35">
      <c r="A131" s="733" t="s">
        <v>158</v>
      </c>
      <c r="B131" s="742" t="s">
        <v>24</v>
      </c>
      <c r="C131" s="742"/>
      <c r="D131" s="742"/>
      <c r="E131" s="742"/>
      <c r="F131" s="282"/>
      <c r="G131" s="282"/>
      <c r="H131" s="283"/>
      <c r="I131" s="306">
        <v>0</v>
      </c>
      <c r="J131" s="283"/>
      <c r="K131" s="284">
        <f>(H131+I131)-J131</f>
        <v>0</v>
      </c>
    </row>
    <row r="132" spans="1:11" ht="18" customHeight="1" x14ac:dyDescent="0.35">
      <c r="A132" s="733" t="s">
        <v>159</v>
      </c>
      <c r="B132" s="742" t="s">
        <v>25</v>
      </c>
      <c r="C132" s="742"/>
      <c r="D132" s="742"/>
      <c r="E132" s="742"/>
      <c r="F132" s="282"/>
      <c r="G132" s="282"/>
      <c r="H132" s="283"/>
      <c r="I132" s="306">
        <v>0</v>
      </c>
      <c r="J132" s="283"/>
      <c r="K132" s="284">
        <f>(H132+I132)-J132</f>
        <v>0</v>
      </c>
    </row>
    <row r="133" spans="1:11" ht="18" customHeight="1" x14ac:dyDescent="0.35">
      <c r="A133" s="733" t="s">
        <v>160</v>
      </c>
      <c r="B133" s="1351"/>
      <c r="C133" s="1352"/>
      <c r="D133" s="1353"/>
      <c r="E133" s="742"/>
      <c r="F133" s="282"/>
      <c r="G133" s="282"/>
      <c r="H133" s="283"/>
      <c r="I133" s="306">
        <v>0</v>
      </c>
      <c r="J133" s="283"/>
      <c r="K133" s="284">
        <f>(H133+I133)-J133</f>
        <v>0</v>
      </c>
    </row>
    <row r="134" spans="1:11" ht="18" customHeight="1" x14ac:dyDescent="0.35">
      <c r="A134" s="733" t="s">
        <v>161</v>
      </c>
      <c r="B134" s="1351"/>
      <c r="C134" s="1352"/>
      <c r="D134" s="1353"/>
      <c r="E134" s="742"/>
      <c r="F134" s="282"/>
      <c r="G134" s="282"/>
      <c r="H134" s="283"/>
      <c r="I134" s="306">
        <v>0</v>
      </c>
      <c r="J134" s="283"/>
      <c r="K134" s="284">
        <f>(H134+I134)-J134</f>
        <v>0</v>
      </c>
    </row>
    <row r="135" spans="1:11" ht="18" customHeight="1" x14ac:dyDescent="0.35">
      <c r="A135" s="733" t="s">
        <v>162</v>
      </c>
      <c r="B135" s="1351"/>
      <c r="C135" s="1352"/>
      <c r="D135" s="1353"/>
      <c r="E135" s="742"/>
      <c r="F135" s="282"/>
      <c r="G135" s="282"/>
      <c r="H135" s="283"/>
      <c r="I135" s="306">
        <v>0</v>
      </c>
      <c r="J135" s="283"/>
      <c r="K135" s="284">
        <f>(H135+I135)-J135</f>
        <v>0</v>
      </c>
    </row>
    <row r="136" spans="1:11" ht="18" customHeight="1" x14ac:dyDescent="0.35">
      <c r="A136" s="639"/>
      <c r="B136" s="742"/>
      <c r="C136" s="742"/>
      <c r="D136" s="742"/>
      <c r="E136" s="742"/>
      <c r="F136" s="742"/>
      <c r="G136" s="742"/>
      <c r="H136" s="742"/>
      <c r="I136" s="742"/>
      <c r="J136" s="742"/>
      <c r="K136" s="742"/>
    </row>
    <row r="137" spans="1:11" ht="18" customHeight="1" x14ac:dyDescent="0.35">
      <c r="A137" s="639" t="s">
        <v>163</v>
      </c>
      <c r="B137" s="636" t="s">
        <v>27</v>
      </c>
      <c r="C137" s="742"/>
      <c r="D137" s="742"/>
      <c r="E137" s="742"/>
      <c r="F137" s="286">
        <f t="shared" ref="F137:K137" si="13">SUM(F131:F135)</f>
        <v>0</v>
      </c>
      <c r="G137" s="286">
        <f t="shared" si="13"/>
        <v>0</v>
      </c>
      <c r="H137" s="284">
        <f t="shared" si="13"/>
        <v>0</v>
      </c>
      <c r="I137" s="284">
        <f t="shared" si="13"/>
        <v>0</v>
      </c>
      <c r="J137" s="284">
        <f t="shared" si="13"/>
        <v>0</v>
      </c>
      <c r="K137" s="284">
        <f t="shared" si="13"/>
        <v>0</v>
      </c>
    </row>
    <row r="138" spans="1:11" ht="18" customHeight="1" x14ac:dyDescent="0.35">
      <c r="A138" s="742"/>
      <c r="B138" s="742"/>
      <c r="C138" s="742"/>
      <c r="D138" s="742"/>
      <c r="E138" s="742"/>
      <c r="F138" s="742"/>
      <c r="G138" s="742"/>
      <c r="H138" s="742"/>
      <c r="I138" s="742"/>
      <c r="J138" s="742"/>
      <c r="K138" s="742"/>
    </row>
    <row r="139" spans="1:11" ht="42.75" customHeight="1" x14ac:dyDescent="0.35">
      <c r="A139" s="742"/>
      <c r="B139" s="742"/>
      <c r="C139" s="742"/>
      <c r="D139" s="742"/>
      <c r="E139" s="742"/>
      <c r="F139" s="641" t="s">
        <v>9</v>
      </c>
      <c r="G139" s="641" t="s">
        <v>37</v>
      </c>
      <c r="H139" s="641" t="s">
        <v>29</v>
      </c>
      <c r="I139" s="641" t="s">
        <v>30</v>
      </c>
      <c r="J139" s="641" t="s">
        <v>33</v>
      </c>
      <c r="K139" s="641" t="s">
        <v>34</v>
      </c>
    </row>
    <row r="140" spans="1:11" ht="18" customHeight="1" x14ac:dyDescent="0.35">
      <c r="A140" s="639" t="s">
        <v>166</v>
      </c>
      <c r="B140" s="636" t="s">
        <v>26</v>
      </c>
      <c r="C140" s="742"/>
      <c r="D140" s="742"/>
      <c r="E140" s="742"/>
      <c r="F140" s="742"/>
      <c r="G140" s="742"/>
      <c r="H140" s="742"/>
      <c r="I140" s="742"/>
      <c r="J140" s="742"/>
      <c r="K140" s="742"/>
    </row>
    <row r="141" spans="1:11" ht="18" customHeight="1" x14ac:dyDescent="0.35">
      <c r="A141" s="733" t="s">
        <v>137</v>
      </c>
      <c r="B141" s="636" t="s">
        <v>64</v>
      </c>
      <c r="C141" s="742"/>
      <c r="D141" s="742"/>
      <c r="E141" s="742"/>
      <c r="F141" s="300">
        <f t="shared" ref="F141:K141" si="14">F36</f>
        <v>3464</v>
      </c>
      <c r="G141" s="300">
        <f t="shared" si="14"/>
        <v>2518</v>
      </c>
      <c r="H141" s="300">
        <f t="shared" si="14"/>
        <v>481209</v>
      </c>
      <c r="I141" s="300">
        <f t="shared" si="14"/>
        <v>302152</v>
      </c>
      <c r="J141" s="300">
        <f t="shared" si="14"/>
        <v>19695</v>
      </c>
      <c r="K141" s="300">
        <f t="shared" si="14"/>
        <v>763666</v>
      </c>
    </row>
    <row r="142" spans="1:11" ht="18" customHeight="1" x14ac:dyDescent="0.35">
      <c r="A142" s="733" t="s">
        <v>142</v>
      </c>
      <c r="B142" s="636" t="s">
        <v>65</v>
      </c>
      <c r="C142" s="742"/>
      <c r="D142" s="742"/>
      <c r="E142" s="742"/>
      <c r="F142" s="300">
        <f t="shared" ref="F142:K142" si="15">F49</f>
        <v>1002.8</v>
      </c>
      <c r="G142" s="300">
        <f t="shared" si="15"/>
        <v>2081</v>
      </c>
      <c r="H142" s="300">
        <f t="shared" si="15"/>
        <v>46774</v>
      </c>
      <c r="I142" s="300">
        <f t="shared" si="15"/>
        <v>34064</v>
      </c>
      <c r="J142" s="300">
        <f t="shared" si="15"/>
        <v>0</v>
      </c>
      <c r="K142" s="300">
        <f t="shared" si="15"/>
        <v>80838</v>
      </c>
    </row>
    <row r="143" spans="1:11" ht="18" customHeight="1" x14ac:dyDescent="0.35">
      <c r="A143" s="733" t="s">
        <v>144</v>
      </c>
      <c r="B143" s="636" t="s">
        <v>66</v>
      </c>
      <c r="C143" s="742"/>
      <c r="D143" s="742"/>
      <c r="E143" s="742"/>
      <c r="F143" s="300">
        <f t="shared" ref="F143:K143" si="16">F64</f>
        <v>0</v>
      </c>
      <c r="G143" s="300">
        <f t="shared" si="16"/>
        <v>0</v>
      </c>
      <c r="H143" s="300">
        <f t="shared" si="16"/>
        <v>8691589</v>
      </c>
      <c r="I143" s="300">
        <f t="shared" si="16"/>
        <v>0</v>
      </c>
      <c r="J143" s="300">
        <f t="shared" si="16"/>
        <v>3928219</v>
      </c>
      <c r="K143" s="300">
        <f t="shared" si="16"/>
        <v>4763370</v>
      </c>
    </row>
    <row r="144" spans="1:11" ht="18" customHeight="1" x14ac:dyDescent="0.35">
      <c r="A144" s="733" t="s">
        <v>146</v>
      </c>
      <c r="B144" s="636" t="s">
        <v>67</v>
      </c>
      <c r="C144" s="742"/>
      <c r="D144" s="742"/>
      <c r="E144" s="742"/>
      <c r="F144" s="300">
        <f t="shared" ref="F144:K144" si="17">F74</f>
        <v>0</v>
      </c>
      <c r="G144" s="300">
        <f t="shared" si="17"/>
        <v>0</v>
      </c>
      <c r="H144" s="300">
        <f t="shared" si="17"/>
        <v>0</v>
      </c>
      <c r="I144" s="300">
        <f t="shared" si="17"/>
        <v>0</v>
      </c>
      <c r="J144" s="300">
        <f t="shared" si="17"/>
        <v>0</v>
      </c>
      <c r="K144" s="300">
        <f t="shared" si="17"/>
        <v>0</v>
      </c>
    </row>
    <row r="145" spans="1:11" ht="18" customHeight="1" x14ac:dyDescent="0.35">
      <c r="A145" s="733" t="s">
        <v>148</v>
      </c>
      <c r="B145" s="636" t="s">
        <v>68</v>
      </c>
      <c r="C145" s="742"/>
      <c r="D145" s="742"/>
      <c r="E145" s="742"/>
      <c r="F145" s="300">
        <f t="shared" ref="F145:K145" si="18">F82</f>
        <v>51</v>
      </c>
      <c r="G145" s="300">
        <f t="shared" si="18"/>
        <v>1221</v>
      </c>
      <c r="H145" s="300">
        <f t="shared" si="18"/>
        <v>84349</v>
      </c>
      <c r="I145" s="300">
        <f t="shared" si="18"/>
        <v>14448</v>
      </c>
      <c r="J145" s="300">
        <f t="shared" si="18"/>
        <v>0</v>
      </c>
      <c r="K145" s="300">
        <f t="shared" si="18"/>
        <v>98797</v>
      </c>
    </row>
    <row r="146" spans="1:11" ht="18" customHeight="1" x14ac:dyDescent="0.35">
      <c r="A146" s="733" t="s">
        <v>150</v>
      </c>
      <c r="B146" s="636" t="s">
        <v>69</v>
      </c>
      <c r="C146" s="742"/>
      <c r="D146" s="742"/>
      <c r="E146" s="742"/>
      <c r="F146" s="300">
        <f t="shared" ref="F146:K146" si="19">F98</f>
        <v>1168.5</v>
      </c>
      <c r="G146" s="300">
        <f t="shared" si="19"/>
        <v>0</v>
      </c>
      <c r="H146" s="300">
        <f t="shared" si="19"/>
        <v>60964</v>
      </c>
      <c r="I146" s="300">
        <f t="shared" si="19"/>
        <v>22099</v>
      </c>
      <c r="J146" s="300">
        <f t="shared" si="19"/>
        <v>0</v>
      </c>
      <c r="K146" s="300">
        <f t="shared" si="19"/>
        <v>83063</v>
      </c>
    </row>
    <row r="147" spans="1:11" ht="18" customHeight="1" x14ac:dyDescent="0.35">
      <c r="A147" s="733" t="s">
        <v>153</v>
      </c>
      <c r="B147" s="636" t="s">
        <v>61</v>
      </c>
      <c r="C147" s="742"/>
      <c r="D147" s="742"/>
      <c r="E147" s="742"/>
      <c r="F147" s="286">
        <f t="shared" ref="F147:K147" si="20">F108</f>
        <v>30</v>
      </c>
      <c r="G147" s="286">
        <f t="shared" si="20"/>
        <v>0</v>
      </c>
      <c r="H147" s="286">
        <f t="shared" si="20"/>
        <v>103731</v>
      </c>
      <c r="I147" s="286">
        <f t="shared" si="20"/>
        <v>57684</v>
      </c>
      <c r="J147" s="286">
        <f t="shared" si="20"/>
        <v>0</v>
      </c>
      <c r="K147" s="286">
        <f t="shared" si="20"/>
        <v>161415</v>
      </c>
    </row>
    <row r="148" spans="1:11" ht="18" customHeight="1" x14ac:dyDescent="0.35">
      <c r="A148" s="733" t="s">
        <v>155</v>
      </c>
      <c r="B148" s="636" t="s">
        <v>70</v>
      </c>
      <c r="C148" s="742"/>
      <c r="D148" s="742"/>
      <c r="E148" s="742"/>
      <c r="F148" s="301" t="s">
        <v>73</v>
      </c>
      <c r="G148" s="301" t="s">
        <v>73</v>
      </c>
      <c r="H148" s="302" t="s">
        <v>73</v>
      </c>
      <c r="I148" s="302" t="s">
        <v>73</v>
      </c>
      <c r="J148" s="302" t="s">
        <v>73</v>
      </c>
      <c r="K148" s="296">
        <f>F111</f>
        <v>1322823</v>
      </c>
    </row>
    <row r="149" spans="1:11" ht="18" customHeight="1" x14ac:dyDescent="0.35">
      <c r="A149" s="733" t="s">
        <v>163</v>
      </c>
      <c r="B149" s="636" t="s">
        <v>71</v>
      </c>
      <c r="C149" s="742"/>
      <c r="D149" s="742"/>
      <c r="E149" s="742"/>
      <c r="F149" s="286">
        <f t="shared" ref="F149:K149" si="21">F137</f>
        <v>0</v>
      </c>
      <c r="G149" s="286">
        <f t="shared" si="21"/>
        <v>0</v>
      </c>
      <c r="H149" s="286">
        <f t="shared" si="21"/>
        <v>0</v>
      </c>
      <c r="I149" s="286">
        <f t="shared" si="21"/>
        <v>0</v>
      </c>
      <c r="J149" s="286">
        <f t="shared" si="21"/>
        <v>0</v>
      </c>
      <c r="K149" s="286">
        <f t="shared" si="21"/>
        <v>0</v>
      </c>
    </row>
    <row r="150" spans="1:11" ht="18" customHeight="1" x14ac:dyDescent="0.35">
      <c r="A150" s="733" t="s">
        <v>185</v>
      </c>
      <c r="B150" s="636" t="s">
        <v>186</v>
      </c>
      <c r="C150" s="742"/>
      <c r="D150" s="742"/>
      <c r="E150" s="742"/>
      <c r="F150" s="301" t="s">
        <v>73</v>
      </c>
      <c r="G150" s="301" t="s">
        <v>73</v>
      </c>
      <c r="H150" s="286">
        <f>H18</f>
        <v>3955242</v>
      </c>
      <c r="I150" s="286">
        <f>I18</f>
        <v>0</v>
      </c>
      <c r="J150" s="286">
        <f>J18</f>
        <v>3342960</v>
      </c>
      <c r="K150" s="286">
        <f>K18</f>
        <v>612282</v>
      </c>
    </row>
    <row r="151" spans="1:11" ht="18" customHeight="1" x14ac:dyDescent="0.35">
      <c r="A151" s="742"/>
      <c r="B151" s="636"/>
      <c r="C151" s="742"/>
      <c r="D151" s="742"/>
      <c r="E151" s="742"/>
      <c r="F151" s="304"/>
      <c r="G151" s="304"/>
      <c r="H151" s="304"/>
      <c r="I151" s="304"/>
      <c r="J151" s="304"/>
      <c r="K151" s="304"/>
    </row>
    <row r="152" spans="1:11" ht="18" customHeight="1" x14ac:dyDescent="0.35">
      <c r="A152" s="639" t="s">
        <v>165</v>
      </c>
      <c r="B152" s="636" t="s">
        <v>26</v>
      </c>
      <c r="C152" s="742"/>
      <c r="D152" s="742"/>
      <c r="E152" s="742"/>
      <c r="F152" s="305">
        <f t="shared" ref="F152:K152" si="22">SUM(F141:F150)</f>
        <v>5716.3</v>
      </c>
      <c r="G152" s="305">
        <f t="shared" si="22"/>
        <v>5820</v>
      </c>
      <c r="H152" s="305">
        <f t="shared" si="22"/>
        <v>13423858</v>
      </c>
      <c r="I152" s="305">
        <f t="shared" si="22"/>
        <v>430447</v>
      </c>
      <c r="J152" s="305">
        <f t="shared" si="22"/>
        <v>7290874</v>
      </c>
      <c r="K152" s="305">
        <f t="shared" si="22"/>
        <v>7886254</v>
      </c>
    </row>
    <row r="154" spans="1:11" ht="18" customHeight="1" x14ac:dyDescent="0.35">
      <c r="A154" s="639" t="s">
        <v>168</v>
      </c>
      <c r="B154" s="636" t="s">
        <v>28</v>
      </c>
      <c r="C154" s="742"/>
      <c r="D154" s="742"/>
      <c r="E154" s="742"/>
      <c r="F154" s="310">
        <f>K152/F121</f>
        <v>4.9066666155649794E-2</v>
      </c>
      <c r="G154" s="742"/>
      <c r="H154" s="742"/>
      <c r="I154" s="742"/>
      <c r="J154" s="742"/>
      <c r="K154" s="742"/>
    </row>
    <row r="155" spans="1:11" ht="18" customHeight="1" x14ac:dyDescent="0.35">
      <c r="A155" s="639" t="s">
        <v>169</v>
      </c>
      <c r="B155" s="636" t="s">
        <v>72</v>
      </c>
      <c r="C155" s="742"/>
      <c r="D155" s="742"/>
      <c r="E155" s="742"/>
      <c r="F155" s="310">
        <f>K152/F127</f>
        <v>3.4626634075532454</v>
      </c>
      <c r="G155" s="636"/>
      <c r="H155" s="742"/>
      <c r="I155" s="742"/>
      <c r="J155" s="742"/>
      <c r="K155" s="742"/>
    </row>
    <row r="156" spans="1:11" ht="18" customHeight="1" x14ac:dyDescent="0.35">
      <c r="A156" s="274"/>
      <c r="B156" s="274"/>
      <c r="C156" s="274"/>
      <c r="D156" s="274"/>
      <c r="E156" s="274"/>
      <c r="F156" s="274"/>
      <c r="G156" s="275"/>
      <c r="H156" s="274"/>
      <c r="I156" s="274"/>
      <c r="J156" s="274"/>
      <c r="K156" s="274"/>
    </row>
    <row r="158" spans="1:11" ht="18" customHeight="1" x14ac:dyDescent="0.35">
      <c r="I158" s="108"/>
    </row>
  </sheetData>
  <sheetProtection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ageMargins left="0.7" right="0.7" top="0.75" bottom="0.75" header="0.3" footer="0.3"/>
  <pageSetup paperSize="5"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155"/>
  <sheetViews>
    <sheetView showGridLines="0" zoomScale="70" zoomScaleNormal="70" zoomScaleSheetLayoutView="80" workbookViewId="0">
      <selection activeCell="A2" sqref="A2"/>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951"/>
      <c r="B1" s="670"/>
      <c r="C1" s="952"/>
      <c r="D1" s="953"/>
      <c r="E1" s="952"/>
      <c r="F1" s="952"/>
      <c r="G1" s="952"/>
      <c r="H1" s="952"/>
      <c r="I1" s="952"/>
      <c r="J1" s="952"/>
      <c r="K1" s="952"/>
    </row>
    <row r="2" spans="1:11" ht="18" customHeight="1" x14ac:dyDescent="0.35">
      <c r="A2" s="951"/>
      <c r="B2" s="670"/>
      <c r="C2" s="670"/>
      <c r="D2" s="1487" t="s">
        <v>700</v>
      </c>
      <c r="E2" s="1488"/>
      <c r="F2" s="1488"/>
      <c r="G2" s="1488"/>
      <c r="H2" s="1488"/>
      <c r="I2" s="670"/>
      <c r="J2" s="670"/>
      <c r="K2" s="670"/>
    </row>
    <row r="3" spans="1:11" ht="18" customHeight="1" x14ac:dyDescent="0.3">
      <c r="A3" s="951"/>
      <c r="B3" s="686" t="s">
        <v>0</v>
      </c>
      <c r="C3" s="670"/>
      <c r="D3" s="670"/>
      <c r="E3" s="670"/>
      <c r="F3" s="670"/>
      <c r="G3" s="670"/>
      <c r="H3" s="670"/>
      <c r="I3" s="670"/>
      <c r="J3" s="670"/>
      <c r="K3" s="670"/>
    </row>
    <row r="4" spans="1:11" ht="18" customHeight="1" x14ac:dyDescent="0.25">
      <c r="A4" s="951"/>
      <c r="B4" s="670"/>
      <c r="C4" s="670"/>
      <c r="D4" s="670"/>
      <c r="E4" s="670"/>
      <c r="F4" s="670"/>
      <c r="G4" s="670"/>
      <c r="H4" s="670"/>
      <c r="I4" s="670"/>
      <c r="J4" s="670"/>
      <c r="K4" s="670"/>
    </row>
    <row r="5" spans="1:11" ht="18" customHeight="1" x14ac:dyDescent="0.3">
      <c r="A5" s="951"/>
      <c r="B5" s="954" t="s">
        <v>40</v>
      </c>
      <c r="C5" s="1489" t="s">
        <v>548</v>
      </c>
      <c r="D5" s="1493"/>
      <c r="E5" s="1493"/>
      <c r="F5" s="1493"/>
      <c r="G5" s="1494"/>
      <c r="H5" s="670"/>
      <c r="I5" s="670"/>
      <c r="J5" s="670"/>
      <c r="K5" s="670"/>
    </row>
    <row r="6" spans="1:11" ht="18" customHeight="1" x14ac:dyDescent="0.3">
      <c r="A6" s="951"/>
      <c r="B6" s="954" t="s">
        <v>3</v>
      </c>
      <c r="C6" s="1495">
        <v>210019</v>
      </c>
      <c r="D6" s="1496"/>
      <c r="E6" s="1496"/>
      <c r="F6" s="1496"/>
      <c r="G6" s="1497"/>
      <c r="H6" s="670"/>
      <c r="I6" s="670"/>
      <c r="J6" s="670"/>
      <c r="K6" s="670"/>
    </row>
    <row r="7" spans="1:11" ht="18" customHeight="1" x14ac:dyDescent="0.3">
      <c r="A7" s="951"/>
      <c r="B7" s="954" t="s">
        <v>4</v>
      </c>
      <c r="C7" s="1498">
        <v>2891</v>
      </c>
      <c r="D7" s="1499"/>
      <c r="E7" s="1499"/>
      <c r="F7" s="1499"/>
      <c r="G7" s="1500"/>
      <c r="H7" s="670"/>
      <c r="I7" s="670"/>
      <c r="J7" s="670"/>
      <c r="K7" s="670"/>
    </row>
    <row r="8" spans="1:11" ht="18" customHeight="1" x14ac:dyDescent="0.25">
      <c r="A8" s="951"/>
      <c r="B8" s="670"/>
      <c r="C8" s="670"/>
      <c r="D8" s="670"/>
      <c r="E8" s="670"/>
      <c r="F8" s="670"/>
      <c r="G8" s="670"/>
      <c r="H8" s="670"/>
      <c r="I8" s="670"/>
      <c r="J8" s="670"/>
      <c r="K8" s="670"/>
    </row>
    <row r="9" spans="1:11" ht="18" customHeight="1" x14ac:dyDescent="0.3">
      <c r="A9" s="951"/>
      <c r="B9" s="954" t="s">
        <v>1</v>
      </c>
      <c r="C9" s="1489" t="s">
        <v>410</v>
      </c>
      <c r="D9" s="1493"/>
      <c r="E9" s="1493"/>
      <c r="F9" s="1493"/>
      <c r="G9" s="1494"/>
      <c r="H9" s="670"/>
      <c r="I9" s="670"/>
      <c r="J9" s="670"/>
      <c r="K9" s="670"/>
    </row>
    <row r="10" spans="1:11" ht="18" customHeight="1" x14ac:dyDescent="0.3">
      <c r="A10" s="951"/>
      <c r="B10" s="954" t="s">
        <v>2</v>
      </c>
      <c r="C10" s="1484" t="s">
        <v>618</v>
      </c>
      <c r="D10" s="1485"/>
      <c r="E10" s="1485"/>
      <c r="F10" s="1485"/>
      <c r="G10" s="1486"/>
      <c r="H10" s="670"/>
      <c r="I10" s="670"/>
      <c r="J10" s="670"/>
      <c r="K10" s="670"/>
    </row>
    <row r="11" spans="1:11" ht="18" customHeight="1" x14ac:dyDescent="0.3">
      <c r="A11" s="951"/>
      <c r="B11" s="954" t="s">
        <v>32</v>
      </c>
      <c r="C11" s="1489" t="s">
        <v>411</v>
      </c>
      <c r="D11" s="1490"/>
      <c r="E11" s="1490"/>
      <c r="F11" s="1490"/>
      <c r="G11" s="1490"/>
      <c r="H11" s="670"/>
      <c r="I11" s="670"/>
      <c r="J11" s="670"/>
      <c r="K11" s="670"/>
    </row>
    <row r="12" spans="1:11" ht="18" customHeight="1" x14ac:dyDescent="0.3">
      <c r="A12" s="951"/>
      <c r="B12" s="954"/>
      <c r="C12" s="954"/>
      <c r="D12" s="954"/>
      <c r="E12" s="954"/>
      <c r="F12" s="954"/>
      <c r="G12" s="954"/>
      <c r="H12" s="670"/>
      <c r="I12" s="670"/>
      <c r="J12" s="670"/>
      <c r="K12" s="670"/>
    </row>
    <row r="13" spans="1:11" ht="24.65" customHeight="1" x14ac:dyDescent="0.25">
      <c r="A13" s="951"/>
      <c r="B13" s="1363"/>
      <c r="C13" s="1491"/>
      <c r="D13" s="1491"/>
      <c r="E13" s="1491"/>
      <c r="F13" s="1491"/>
      <c r="G13" s="1491"/>
      <c r="H13" s="1492"/>
      <c r="I13" s="952"/>
      <c r="J13" s="670"/>
      <c r="K13" s="670"/>
    </row>
    <row r="14" spans="1:11" ht="18" customHeight="1" x14ac:dyDescent="0.3">
      <c r="A14" s="951"/>
      <c r="B14" s="640"/>
      <c r="C14" s="670"/>
      <c r="D14" s="670"/>
      <c r="E14" s="670"/>
      <c r="F14" s="670"/>
      <c r="G14" s="670"/>
      <c r="H14" s="670"/>
      <c r="I14" s="670"/>
      <c r="J14" s="670"/>
      <c r="K14" s="670"/>
    </row>
    <row r="15" spans="1:11" ht="18" customHeight="1" x14ac:dyDescent="0.3">
      <c r="A15" s="951"/>
      <c r="B15" s="640"/>
      <c r="C15" s="670"/>
      <c r="D15" s="670"/>
      <c r="E15" s="670"/>
      <c r="F15" s="670"/>
      <c r="G15" s="670"/>
      <c r="H15" s="670"/>
      <c r="I15" s="670"/>
      <c r="J15" s="670"/>
      <c r="K15" s="670"/>
    </row>
    <row r="16" spans="1:11" ht="45" customHeight="1" x14ac:dyDescent="0.3">
      <c r="A16" s="953" t="s">
        <v>181</v>
      </c>
      <c r="B16" s="952"/>
      <c r="C16" s="952"/>
      <c r="D16" s="952"/>
      <c r="E16" s="952"/>
      <c r="F16" s="680" t="s">
        <v>9</v>
      </c>
      <c r="G16" s="680" t="s">
        <v>37</v>
      </c>
      <c r="H16" s="680" t="s">
        <v>29</v>
      </c>
      <c r="I16" s="680" t="s">
        <v>30</v>
      </c>
      <c r="J16" s="680" t="s">
        <v>33</v>
      </c>
      <c r="K16" s="680" t="s">
        <v>34</v>
      </c>
    </row>
    <row r="17" spans="1:11" ht="18" customHeight="1" x14ac:dyDescent="0.3">
      <c r="A17" s="955" t="s">
        <v>184</v>
      </c>
      <c r="B17" s="686" t="s">
        <v>182</v>
      </c>
      <c r="C17" s="670"/>
      <c r="D17" s="670"/>
      <c r="E17" s="670"/>
      <c r="F17" s="670"/>
      <c r="G17" s="670"/>
      <c r="H17" s="670"/>
      <c r="I17" s="670"/>
      <c r="J17" s="670"/>
      <c r="K17" s="670"/>
    </row>
    <row r="18" spans="1:11" ht="18" customHeight="1" x14ac:dyDescent="0.3">
      <c r="A18" s="954" t="s">
        <v>185</v>
      </c>
      <c r="B18" s="670" t="s">
        <v>183</v>
      </c>
      <c r="C18" s="670"/>
      <c r="D18" s="670"/>
      <c r="E18" s="670"/>
      <c r="F18" s="956" t="s">
        <v>73</v>
      </c>
      <c r="G18" s="956" t="s">
        <v>73</v>
      </c>
      <c r="H18" s="957">
        <v>9763968</v>
      </c>
      <c r="I18" s="958">
        <v>0</v>
      </c>
      <c r="J18" s="957">
        <v>8252480</v>
      </c>
      <c r="K18" s="959">
        <f>(H18+I18)-J18</f>
        <v>1511488</v>
      </c>
    </row>
    <row r="19" spans="1:11" ht="45" customHeight="1" x14ac:dyDescent="0.3">
      <c r="A19" s="953" t="s">
        <v>8</v>
      </c>
      <c r="B19" s="952"/>
      <c r="C19" s="952"/>
      <c r="D19" s="952"/>
      <c r="E19" s="952"/>
      <c r="F19" s="680" t="s">
        <v>9</v>
      </c>
      <c r="G19" s="680" t="s">
        <v>37</v>
      </c>
      <c r="H19" s="680" t="s">
        <v>29</v>
      </c>
      <c r="I19" s="680" t="s">
        <v>30</v>
      </c>
      <c r="J19" s="680" t="s">
        <v>33</v>
      </c>
      <c r="K19" s="680" t="s">
        <v>34</v>
      </c>
    </row>
    <row r="20" spans="1:11" ht="18" customHeight="1" x14ac:dyDescent="0.3">
      <c r="A20" s="955" t="s">
        <v>74</v>
      </c>
      <c r="B20" s="686" t="s">
        <v>41</v>
      </c>
      <c r="C20" s="670"/>
      <c r="D20" s="670"/>
      <c r="E20" s="670"/>
      <c r="F20" s="670"/>
      <c r="G20" s="670"/>
      <c r="H20" s="670"/>
      <c r="I20" s="670"/>
      <c r="J20" s="670"/>
      <c r="K20" s="670"/>
    </row>
    <row r="21" spans="1:11" ht="18" customHeight="1" x14ac:dyDescent="0.3">
      <c r="A21" s="954" t="s">
        <v>75</v>
      </c>
      <c r="B21" s="670" t="s">
        <v>42</v>
      </c>
      <c r="C21" s="670"/>
      <c r="D21" s="670"/>
      <c r="E21" s="670"/>
      <c r="F21" s="956">
        <v>1931.25</v>
      </c>
      <c r="G21" s="956">
        <v>4575</v>
      </c>
      <c r="H21" s="957">
        <v>108200</v>
      </c>
      <c r="I21" s="958">
        <f t="shared" ref="I21:I34" si="0">H21*F$114</f>
        <v>58536.200000000004</v>
      </c>
      <c r="J21" s="957">
        <v>0</v>
      </c>
      <c r="K21" s="959">
        <f t="shared" ref="K21:K34" si="1">(H21+I21)-J21</f>
        <v>166736.20000000001</v>
      </c>
    </row>
    <row r="22" spans="1:11" ht="18" customHeight="1" x14ac:dyDescent="0.3">
      <c r="A22" s="954" t="s">
        <v>76</v>
      </c>
      <c r="B22" s="670" t="s">
        <v>6</v>
      </c>
      <c r="C22" s="670"/>
      <c r="D22" s="670"/>
      <c r="E22" s="670"/>
      <c r="F22" s="956">
        <v>530</v>
      </c>
      <c r="G22" s="956">
        <v>1415</v>
      </c>
      <c r="H22" s="957">
        <v>27914</v>
      </c>
      <c r="I22" s="958">
        <f t="shared" si="0"/>
        <v>15101.474</v>
      </c>
      <c r="J22" s="957">
        <v>0</v>
      </c>
      <c r="K22" s="959">
        <f t="shared" si="1"/>
        <v>43015.474000000002</v>
      </c>
    </row>
    <row r="23" spans="1:11" ht="18" customHeight="1" x14ac:dyDescent="0.3">
      <c r="A23" s="954" t="s">
        <v>77</v>
      </c>
      <c r="B23" s="670" t="s">
        <v>43</v>
      </c>
      <c r="C23" s="670"/>
      <c r="D23" s="670"/>
      <c r="E23" s="670"/>
      <c r="F23" s="956">
        <v>16624</v>
      </c>
      <c r="G23" s="956">
        <v>38334</v>
      </c>
      <c r="H23" s="957">
        <v>646747.97</v>
      </c>
      <c r="I23" s="958">
        <f t="shared" si="0"/>
        <v>349890.65177</v>
      </c>
      <c r="J23" s="957">
        <v>249789</v>
      </c>
      <c r="K23" s="959">
        <f t="shared" si="1"/>
        <v>746849.62176999997</v>
      </c>
    </row>
    <row r="24" spans="1:11" ht="18" customHeight="1" x14ac:dyDescent="0.3">
      <c r="A24" s="954" t="s">
        <v>78</v>
      </c>
      <c r="B24" s="670" t="s">
        <v>44</v>
      </c>
      <c r="C24" s="670"/>
      <c r="D24" s="670"/>
      <c r="E24" s="670"/>
      <c r="F24" s="956">
        <v>0</v>
      </c>
      <c r="G24" s="956">
        <v>0</v>
      </c>
      <c r="H24" s="957">
        <v>0</v>
      </c>
      <c r="I24" s="958">
        <f t="shared" si="0"/>
        <v>0</v>
      </c>
      <c r="J24" s="957">
        <v>0</v>
      </c>
      <c r="K24" s="959">
        <f t="shared" si="1"/>
        <v>0</v>
      </c>
    </row>
    <row r="25" spans="1:11" ht="18" customHeight="1" x14ac:dyDescent="0.3">
      <c r="A25" s="954" t="s">
        <v>79</v>
      </c>
      <c r="B25" s="670" t="s">
        <v>5</v>
      </c>
      <c r="C25" s="670"/>
      <c r="D25" s="670"/>
      <c r="E25" s="670"/>
      <c r="F25" s="956">
        <v>522.5</v>
      </c>
      <c r="G25" s="956">
        <v>2194</v>
      </c>
      <c r="H25" s="957">
        <v>19613</v>
      </c>
      <c r="I25" s="958">
        <f t="shared" si="0"/>
        <v>10610.633</v>
      </c>
      <c r="J25" s="957">
        <v>0</v>
      </c>
      <c r="K25" s="959">
        <f t="shared" si="1"/>
        <v>30223.633000000002</v>
      </c>
    </row>
    <row r="26" spans="1:11" ht="18" customHeight="1" x14ac:dyDescent="0.3">
      <c r="A26" s="954" t="s">
        <v>80</v>
      </c>
      <c r="B26" s="670" t="s">
        <v>45</v>
      </c>
      <c r="C26" s="670"/>
      <c r="D26" s="670"/>
      <c r="E26" s="670"/>
      <c r="F26" s="956">
        <v>919.67</v>
      </c>
      <c r="G26" s="956">
        <v>6564</v>
      </c>
      <c r="H26" s="957">
        <v>107195.8</v>
      </c>
      <c r="I26" s="958">
        <f t="shared" si="0"/>
        <v>57992.927800000005</v>
      </c>
      <c r="J26" s="957">
        <v>46040</v>
      </c>
      <c r="K26" s="959">
        <f t="shared" si="1"/>
        <v>119148.72779999999</v>
      </c>
    </row>
    <row r="27" spans="1:11" ht="18" customHeight="1" x14ac:dyDescent="0.3">
      <c r="A27" s="954" t="s">
        <v>81</v>
      </c>
      <c r="B27" s="670" t="s">
        <v>46</v>
      </c>
      <c r="C27" s="670"/>
      <c r="D27" s="670"/>
      <c r="E27" s="670"/>
      <c r="F27" s="956">
        <v>0</v>
      </c>
      <c r="G27" s="956">
        <v>0</v>
      </c>
      <c r="H27" s="957">
        <v>75000</v>
      </c>
      <c r="I27" s="958">
        <f t="shared" si="0"/>
        <v>40575</v>
      </c>
      <c r="J27" s="957">
        <v>0</v>
      </c>
      <c r="K27" s="959">
        <f t="shared" si="1"/>
        <v>115575</v>
      </c>
    </row>
    <row r="28" spans="1:11" ht="18" customHeight="1" x14ac:dyDescent="0.3">
      <c r="A28" s="954" t="s">
        <v>82</v>
      </c>
      <c r="B28" s="670" t="s">
        <v>47</v>
      </c>
      <c r="C28" s="670"/>
      <c r="D28" s="670"/>
      <c r="E28" s="670"/>
      <c r="F28" s="956">
        <v>0</v>
      </c>
      <c r="G28" s="956">
        <v>0</v>
      </c>
      <c r="H28" s="957">
        <v>0</v>
      </c>
      <c r="I28" s="958">
        <f t="shared" si="0"/>
        <v>0</v>
      </c>
      <c r="J28" s="957">
        <v>0</v>
      </c>
      <c r="K28" s="959">
        <f t="shared" si="1"/>
        <v>0</v>
      </c>
    </row>
    <row r="29" spans="1:11" ht="18" customHeight="1" x14ac:dyDescent="0.3">
      <c r="A29" s="954" t="s">
        <v>83</v>
      </c>
      <c r="B29" s="670" t="s">
        <v>48</v>
      </c>
      <c r="C29" s="670"/>
      <c r="D29" s="670"/>
      <c r="E29" s="670"/>
      <c r="F29" s="956">
        <v>5905</v>
      </c>
      <c r="G29" s="956">
        <v>1217</v>
      </c>
      <c r="H29" s="957">
        <v>328710.14</v>
      </c>
      <c r="I29" s="958">
        <f t="shared" si="0"/>
        <v>177832.18574000002</v>
      </c>
      <c r="J29" s="957">
        <v>0</v>
      </c>
      <c r="K29" s="959">
        <f t="shared" si="1"/>
        <v>506542.32574</v>
      </c>
    </row>
    <row r="30" spans="1:11" ht="18" customHeight="1" x14ac:dyDescent="0.3">
      <c r="A30" s="954" t="s">
        <v>84</v>
      </c>
      <c r="B30" s="1474"/>
      <c r="C30" s="1475"/>
      <c r="D30" s="1476"/>
      <c r="E30" s="670"/>
      <c r="F30" s="956"/>
      <c r="G30" s="956"/>
      <c r="H30" s="957"/>
      <c r="I30" s="958">
        <f t="shared" si="0"/>
        <v>0</v>
      </c>
      <c r="J30" s="957"/>
      <c r="K30" s="959">
        <f t="shared" si="1"/>
        <v>0</v>
      </c>
    </row>
    <row r="31" spans="1:11" ht="18" customHeight="1" x14ac:dyDescent="0.3">
      <c r="A31" s="954" t="s">
        <v>133</v>
      </c>
      <c r="B31" s="1474"/>
      <c r="C31" s="1475"/>
      <c r="D31" s="1476"/>
      <c r="E31" s="670"/>
      <c r="F31" s="956"/>
      <c r="G31" s="956"/>
      <c r="H31" s="957"/>
      <c r="I31" s="958">
        <f t="shared" si="0"/>
        <v>0</v>
      </c>
      <c r="J31" s="957"/>
      <c r="K31" s="959">
        <f t="shared" si="1"/>
        <v>0</v>
      </c>
    </row>
    <row r="32" spans="1:11" ht="18" customHeight="1" x14ac:dyDescent="0.3">
      <c r="A32" s="954" t="s">
        <v>134</v>
      </c>
      <c r="B32" s="902"/>
      <c r="C32" s="903"/>
      <c r="D32" s="904"/>
      <c r="E32" s="670"/>
      <c r="F32" s="956"/>
      <c r="G32" s="956"/>
      <c r="H32" s="957"/>
      <c r="I32" s="958">
        <f t="shared" si="0"/>
        <v>0</v>
      </c>
      <c r="J32" s="957"/>
      <c r="K32" s="959">
        <f t="shared" si="1"/>
        <v>0</v>
      </c>
    </row>
    <row r="33" spans="1:11" ht="18" customHeight="1" x14ac:dyDescent="0.3">
      <c r="A33" s="954" t="s">
        <v>135</v>
      </c>
      <c r="B33" s="902"/>
      <c r="C33" s="903"/>
      <c r="D33" s="904"/>
      <c r="E33" s="670"/>
      <c r="F33" s="956"/>
      <c r="G33" s="956"/>
      <c r="H33" s="957"/>
      <c r="I33" s="958">
        <f t="shared" si="0"/>
        <v>0</v>
      </c>
      <c r="J33" s="957"/>
      <c r="K33" s="959">
        <f t="shared" si="1"/>
        <v>0</v>
      </c>
    </row>
    <row r="34" spans="1:11" ht="18" customHeight="1" x14ac:dyDescent="0.3">
      <c r="A34" s="954" t="s">
        <v>136</v>
      </c>
      <c r="B34" s="1474"/>
      <c r="C34" s="1475"/>
      <c r="D34" s="1476"/>
      <c r="E34" s="670"/>
      <c r="F34" s="956"/>
      <c r="G34" s="956"/>
      <c r="H34" s="957"/>
      <c r="I34" s="958">
        <f t="shared" si="0"/>
        <v>0</v>
      </c>
      <c r="J34" s="957"/>
      <c r="K34" s="959">
        <f t="shared" si="1"/>
        <v>0</v>
      </c>
    </row>
    <row r="35" spans="1:11" ht="18" customHeight="1" x14ac:dyDescent="0.25">
      <c r="A35" s="951"/>
      <c r="B35" s="670"/>
      <c r="C35" s="670"/>
      <c r="D35" s="670"/>
      <c r="E35" s="670"/>
      <c r="F35" s="670"/>
      <c r="G35" s="670"/>
      <c r="H35" s="670"/>
      <c r="I35" s="670"/>
      <c r="J35" s="670"/>
      <c r="K35" s="960"/>
    </row>
    <row r="36" spans="1:11" ht="18" customHeight="1" x14ac:dyDescent="0.3">
      <c r="A36" s="955" t="s">
        <v>137</v>
      </c>
      <c r="B36" s="686" t="s">
        <v>138</v>
      </c>
      <c r="C36" s="670"/>
      <c r="D36" s="670"/>
      <c r="E36" s="686" t="s">
        <v>7</v>
      </c>
      <c r="F36" s="961">
        <f t="shared" ref="F36:K36" si="2">SUM(F21:F34)</f>
        <v>26432.42</v>
      </c>
      <c r="G36" s="961">
        <f t="shared" si="2"/>
        <v>54299</v>
      </c>
      <c r="H36" s="961">
        <f t="shared" si="2"/>
        <v>1313380.9100000001</v>
      </c>
      <c r="I36" s="959">
        <f t="shared" si="2"/>
        <v>710539.07230999996</v>
      </c>
      <c r="J36" s="959">
        <f t="shared" si="2"/>
        <v>295829</v>
      </c>
      <c r="K36" s="959">
        <f t="shared" si="2"/>
        <v>1728090.9823100001</v>
      </c>
    </row>
    <row r="37" spans="1:11" ht="18" customHeight="1" thickBot="1" x14ac:dyDescent="0.35">
      <c r="A37" s="951"/>
      <c r="B37" s="686"/>
      <c r="C37" s="670"/>
      <c r="D37" s="670"/>
      <c r="E37" s="670"/>
      <c r="F37" s="962"/>
      <c r="G37" s="962"/>
      <c r="H37" s="963"/>
      <c r="I37" s="963"/>
      <c r="J37" s="963"/>
      <c r="K37" s="964"/>
    </row>
    <row r="38" spans="1:11" ht="42.75" customHeight="1" x14ac:dyDescent="0.3">
      <c r="A38" s="951"/>
      <c r="B38" s="670"/>
      <c r="C38" s="670"/>
      <c r="D38" s="670"/>
      <c r="E38" s="670"/>
      <c r="F38" s="680" t="s">
        <v>9</v>
      </c>
      <c r="G38" s="680" t="s">
        <v>37</v>
      </c>
      <c r="H38" s="680" t="s">
        <v>29</v>
      </c>
      <c r="I38" s="680" t="s">
        <v>30</v>
      </c>
      <c r="J38" s="680" t="s">
        <v>33</v>
      </c>
      <c r="K38" s="680" t="s">
        <v>34</v>
      </c>
    </row>
    <row r="39" spans="1:11" ht="18.75" customHeight="1" x14ac:dyDescent="0.3">
      <c r="A39" s="955" t="s">
        <v>86</v>
      </c>
      <c r="B39" s="686" t="s">
        <v>49</v>
      </c>
      <c r="C39" s="670"/>
      <c r="D39" s="670"/>
      <c r="E39" s="670"/>
      <c r="F39" s="670"/>
      <c r="G39" s="670"/>
      <c r="H39" s="670"/>
      <c r="I39" s="670"/>
      <c r="J39" s="670"/>
      <c r="K39" s="670"/>
    </row>
    <row r="40" spans="1:11" ht="18" customHeight="1" x14ac:dyDescent="0.3">
      <c r="A40" s="954" t="s">
        <v>87</v>
      </c>
      <c r="B40" s="670" t="s">
        <v>31</v>
      </c>
      <c r="C40" s="670"/>
      <c r="D40" s="670"/>
      <c r="E40" s="670"/>
      <c r="F40" s="956">
        <v>0</v>
      </c>
      <c r="G40" s="956">
        <v>0</v>
      </c>
      <c r="H40" s="957">
        <v>0</v>
      </c>
      <c r="I40" s="958">
        <f t="shared" ref="I40:I48" si="3">H40*F$114</f>
        <v>0</v>
      </c>
      <c r="J40" s="957">
        <v>0</v>
      </c>
      <c r="K40" s="959">
        <f t="shared" ref="K40:K47" si="4">(H40+I40)-J40</f>
        <v>0</v>
      </c>
    </row>
    <row r="41" spans="1:11" ht="18" customHeight="1" x14ac:dyDescent="0.3">
      <c r="A41" s="954" t="s">
        <v>88</v>
      </c>
      <c r="B41" s="1480" t="s">
        <v>50</v>
      </c>
      <c r="C41" s="1480"/>
      <c r="D41" s="670"/>
      <c r="E41" s="670"/>
      <c r="F41" s="956">
        <v>3243.5</v>
      </c>
      <c r="G41" s="956">
        <v>163</v>
      </c>
      <c r="H41" s="957">
        <v>117862.38</v>
      </c>
      <c r="I41" s="958">
        <f t="shared" si="3"/>
        <v>63763.547580000006</v>
      </c>
      <c r="J41" s="957">
        <v>0</v>
      </c>
      <c r="K41" s="959">
        <f t="shared" si="4"/>
        <v>181625.92758000002</v>
      </c>
    </row>
    <row r="42" spans="1:11" ht="18" customHeight="1" x14ac:dyDescent="0.3">
      <c r="A42" s="954" t="s">
        <v>89</v>
      </c>
      <c r="B42" s="670" t="s">
        <v>11</v>
      </c>
      <c r="C42" s="670"/>
      <c r="D42" s="670"/>
      <c r="E42" s="670"/>
      <c r="F42" s="956">
        <v>13259</v>
      </c>
      <c r="G42" s="956">
        <v>65</v>
      </c>
      <c r="H42" s="957">
        <v>703215.92</v>
      </c>
      <c r="I42" s="958">
        <f t="shared" si="3"/>
        <v>380439.81272000005</v>
      </c>
      <c r="J42" s="957">
        <v>41100</v>
      </c>
      <c r="K42" s="959">
        <f t="shared" si="4"/>
        <v>1042555.7327200002</v>
      </c>
    </row>
    <row r="43" spans="1:11" ht="18" customHeight="1" x14ac:dyDescent="0.3">
      <c r="A43" s="954" t="s">
        <v>90</v>
      </c>
      <c r="B43" s="670" t="s">
        <v>10</v>
      </c>
      <c r="C43" s="670"/>
      <c r="D43" s="670"/>
      <c r="E43" s="670"/>
      <c r="F43" s="956"/>
      <c r="G43" s="956"/>
      <c r="H43" s="957"/>
      <c r="I43" s="958">
        <f t="shared" si="3"/>
        <v>0</v>
      </c>
      <c r="J43" s="957"/>
      <c r="K43" s="959">
        <f t="shared" si="4"/>
        <v>0</v>
      </c>
    </row>
    <row r="44" spans="1:11" ht="18" customHeight="1" x14ac:dyDescent="0.3">
      <c r="A44" s="954" t="s">
        <v>91</v>
      </c>
      <c r="B44" s="1474"/>
      <c r="C44" s="1475"/>
      <c r="D44" s="1476"/>
      <c r="E44" s="670"/>
      <c r="F44" s="956"/>
      <c r="G44" s="956"/>
      <c r="H44" s="956"/>
      <c r="I44" s="958">
        <f t="shared" si="3"/>
        <v>0</v>
      </c>
      <c r="J44" s="956"/>
      <c r="K44" s="965">
        <f t="shared" si="4"/>
        <v>0</v>
      </c>
    </row>
    <row r="45" spans="1:11" ht="18" customHeight="1" x14ac:dyDescent="0.3">
      <c r="A45" s="954" t="s">
        <v>139</v>
      </c>
      <c r="B45" s="1474"/>
      <c r="C45" s="1475"/>
      <c r="D45" s="1476"/>
      <c r="E45" s="670"/>
      <c r="F45" s="956"/>
      <c r="G45" s="956"/>
      <c r="H45" s="957"/>
      <c r="I45" s="958">
        <f t="shared" si="3"/>
        <v>0</v>
      </c>
      <c r="J45" s="957"/>
      <c r="K45" s="959">
        <f t="shared" si="4"/>
        <v>0</v>
      </c>
    </row>
    <row r="46" spans="1:11" ht="18" customHeight="1" x14ac:dyDescent="0.3">
      <c r="A46" s="954" t="s">
        <v>140</v>
      </c>
      <c r="B46" s="1474"/>
      <c r="C46" s="1475"/>
      <c r="D46" s="1476"/>
      <c r="E46" s="670"/>
      <c r="F46" s="956"/>
      <c r="G46" s="956"/>
      <c r="H46" s="957"/>
      <c r="I46" s="958">
        <f t="shared" si="3"/>
        <v>0</v>
      </c>
      <c r="J46" s="957"/>
      <c r="K46" s="959">
        <f t="shared" si="4"/>
        <v>0</v>
      </c>
    </row>
    <row r="47" spans="1:11" ht="18" customHeight="1" x14ac:dyDescent="0.3">
      <c r="A47" s="954" t="s">
        <v>141</v>
      </c>
      <c r="B47" s="1474"/>
      <c r="C47" s="1475"/>
      <c r="D47" s="1476"/>
      <c r="E47" s="670"/>
      <c r="F47" s="956"/>
      <c r="G47" s="956"/>
      <c r="H47" s="957"/>
      <c r="I47" s="958">
        <f t="shared" si="3"/>
        <v>0</v>
      </c>
      <c r="J47" s="957"/>
      <c r="K47" s="959">
        <f t="shared" si="4"/>
        <v>0</v>
      </c>
    </row>
    <row r="48" spans="1:11" ht="18" customHeight="1" x14ac:dyDescent="0.3">
      <c r="A48" s="955" t="s">
        <v>142</v>
      </c>
      <c r="B48" s="686" t="s">
        <v>143</v>
      </c>
      <c r="C48" s="670"/>
      <c r="D48" s="670"/>
      <c r="E48" s="686" t="s">
        <v>7</v>
      </c>
      <c r="F48" s="966">
        <f t="shared" ref="F48:K48" si="5">SUM(F40:F47)</f>
        <v>16502.5</v>
      </c>
      <c r="G48" s="966">
        <f t="shared" si="5"/>
        <v>228</v>
      </c>
      <c r="H48" s="959">
        <f t="shared" si="5"/>
        <v>821078.3</v>
      </c>
      <c r="I48" s="958">
        <f t="shared" si="3"/>
        <v>444203.36030000006</v>
      </c>
      <c r="J48" s="959">
        <f t="shared" si="5"/>
        <v>41100</v>
      </c>
      <c r="K48" s="959">
        <f t="shared" si="5"/>
        <v>1224181.6603000001</v>
      </c>
    </row>
    <row r="49" spans="1:17" ht="18" customHeight="1" x14ac:dyDescent="0.3">
      <c r="A49" s="955" t="s">
        <v>92</v>
      </c>
      <c r="B49" s="1358" t="s">
        <v>38</v>
      </c>
      <c r="C49" s="1481"/>
      <c r="D49" s="670"/>
      <c r="E49" s="670"/>
      <c r="F49" s="670"/>
      <c r="G49" s="670"/>
      <c r="H49" s="670"/>
      <c r="I49" s="670"/>
      <c r="J49" s="670"/>
      <c r="K49" s="670"/>
    </row>
    <row r="50" spans="1:17" ht="18" customHeight="1" x14ac:dyDescent="0.3">
      <c r="A50" s="954" t="s">
        <v>51</v>
      </c>
      <c r="B50" s="1482" t="s">
        <v>749</v>
      </c>
      <c r="C50" s="1483"/>
      <c r="D50" s="1479"/>
      <c r="E50" s="670"/>
      <c r="F50" s="956">
        <v>4640</v>
      </c>
      <c r="G50" s="956">
        <v>851</v>
      </c>
      <c r="H50" s="957">
        <v>226531</v>
      </c>
      <c r="I50" s="958">
        <v>49215</v>
      </c>
      <c r="J50" s="957">
        <v>181628</v>
      </c>
      <c r="K50" s="959">
        <f t="shared" ref="K50:K63" si="6">(H50+I50)-J50</f>
        <v>94118</v>
      </c>
    </row>
    <row r="51" spans="1:17" ht="18" customHeight="1" x14ac:dyDescent="0.3">
      <c r="A51" s="954" t="s">
        <v>619</v>
      </c>
      <c r="B51" s="907" t="s">
        <v>750</v>
      </c>
      <c r="C51" s="908"/>
      <c r="D51" s="906"/>
      <c r="E51" s="670"/>
      <c r="F51" s="956">
        <v>24977</v>
      </c>
      <c r="G51" s="956">
        <v>9300</v>
      </c>
      <c r="H51" s="957">
        <v>1241815</v>
      </c>
      <c r="I51" s="958">
        <v>319670</v>
      </c>
      <c r="J51" s="957">
        <v>1006370</v>
      </c>
      <c r="K51" s="959">
        <f t="shared" si="6"/>
        <v>555115</v>
      </c>
    </row>
    <row r="52" spans="1:17" ht="18" customHeight="1" x14ac:dyDescent="0.3">
      <c r="A52" s="954" t="s">
        <v>620</v>
      </c>
      <c r="B52" s="907" t="s">
        <v>621</v>
      </c>
      <c r="C52" s="908"/>
      <c r="D52" s="906"/>
      <c r="E52" s="670"/>
      <c r="F52" s="956">
        <v>1805.36</v>
      </c>
      <c r="G52" s="956">
        <v>223</v>
      </c>
      <c r="H52" s="957">
        <v>106527</v>
      </c>
      <c r="I52" s="958">
        <v>57631.11</v>
      </c>
      <c r="J52" s="957">
        <v>0</v>
      </c>
      <c r="K52" s="959">
        <f t="shared" si="6"/>
        <v>164158.10999999999</v>
      </c>
    </row>
    <row r="53" spans="1:17" ht="18" customHeight="1" x14ac:dyDescent="0.3">
      <c r="A53" s="954" t="s">
        <v>93</v>
      </c>
      <c r="B53" s="907" t="s">
        <v>412</v>
      </c>
      <c r="C53" s="908"/>
      <c r="D53" s="906"/>
      <c r="E53" s="670"/>
      <c r="F53" s="956">
        <v>416</v>
      </c>
      <c r="G53" s="956">
        <v>5670</v>
      </c>
      <c r="H53" s="957">
        <v>24670.92</v>
      </c>
      <c r="I53" s="958">
        <v>0</v>
      </c>
      <c r="J53" s="957">
        <v>0</v>
      </c>
      <c r="K53" s="959">
        <f t="shared" si="6"/>
        <v>24670.92</v>
      </c>
    </row>
    <row r="54" spans="1:17" ht="18" customHeight="1" x14ac:dyDescent="0.3">
      <c r="A54" s="954" t="s">
        <v>94</v>
      </c>
      <c r="B54" s="907" t="s">
        <v>413</v>
      </c>
      <c r="C54" s="908"/>
      <c r="D54" s="906"/>
      <c r="E54" s="670"/>
      <c r="F54" s="956">
        <v>0</v>
      </c>
      <c r="G54" s="956">
        <v>0</v>
      </c>
      <c r="H54" s="957">
        <v>5863480</v>
      </c>
      <c r="I54" s="958">
        <v>0</v>
      </c>
      <c r="J54" s="957">
        <v>1257299</v>
      </c>
      <c r="K54" s="959">
        <f t="shared" si="6"/>
        <v>4606181</v>
      </c>
    </row>
    <row r="55" spans="1:17" ht="18" customHeight="1" x14ac:dyDescent="0.35">
      <c r="A55" s="1242" t="s">
        <v>876</v>
      </c>
      <c r="B55" s="1241" t="s">
        <v>877</v>
      </c>
      <c r="C55" s="1239"/>
      <c r="D55" s="1239"/>
      <c r="E55" s="1239"/>
      <c r="F55" s="1240">
        <v>54133</v>
      </c>
      <c r="G55" s="1240">
        <v>46005</v>
      </c>
      <c r="H55" s="1240">
        <v>10011393.59</v>
      </c>
      <c r="I55" s="1240">
        <v>1382752</v>
      </c>
      <c r="J55" s="1240">
        <v>4631812</v>
      </c>
      <c r="K55" s="1240">
        <v>6762333.5899999999</v>
      </c>
    </row>
    <row r="56" spans="1:17" ht="18" customHeight="1" x14ac:dyDescent="0.35">
      <c r="A56" s="1236" t="s">
        <v>874</v>
      </c>
      <c r="B56" s="1238" t="s">
        <v>875</v>
      </c>
      <c r="C56" s="1236"/>
      <c r="D56" s="1236"/>
      <c r="E56" s="1236"/>
      <c r="F56" s="1237">
        <v>60620</v>
      </c>
      <c r="G56" s="1237">
        <v>22187</v>
      </c>
      <c r="H56" s="1237">
        <v>10121861</v>
      </c>
      <c r="I56" s="1237">
        <v>1888557</v>
      </c>
      <c r="J56" s="1237">
        <v>6916651</v>
      </c>
      <c r="K56" s="1237">
        <v>5093767</v>
      </c>
    </row>
    <row r="57" spans="1:17" ht="18" customHeight="1" x14ac:dyDescent="0.3">
      <c r="A57" s="954" t="s">
        <v>751</v>
      </c>
      <c r="B57" s="907" t="s">
        <v>752</v>
      </c>
      <c r="C57" s="908"/>
      <c r="D57" s="906"/>
      <c r="E57" s="670"/>
      <c r="F57" s="956">
        <v>25338</v>
      </c>
      <c r="G57" s="956">
        <v>3698</v>
      </c>
      <c r="H57" s="957">
        <v>4315889</v>
      </c>
      <c r="I57" s="958">
        <v>1239175</v>
      </c>
      <c r="J57" s="957">
        <v>1953287</v>
      </c>
      <c r="K57" s="959">
        <f t="shared" si="6"/>
        <v>3601777</v>
      </c>
    </row>
    <row r="58" spans="1:17" ht="18" customHeight="1" x14ac:dyDescent="0.35">
      <c r="A58" s="1246" t="s">
        <v>878</v>
      </c>
      <c r="B58" s="1245" t="s">
        <v>879</v>
      </c>
      <c r="C58" s="1243"/>
      <c r="D58" s="1243"/>
      <c r="E58" s="1243"/>
      <c r="F58" s="1244">
        <v>30759</v>
      </c>
      <c r="G58" s="1244">
        <v>11298</v>
      </c>
      <c r="H58" s="1244">
        <v>2821897</v>
      </c>
      <c r="I58" s="1244">
        <v>407661</v>
      </c>
      <c r="J58" s="1244">
        <v>1228682</v>
      </c>
      <c r="K58" s="1244">
        <v>2000876</v>
      </c>
      <c r="L58" s="737"/>
      <c r="M58" s="737"/>
      <c r="N58" s="738"/>
      <c r="O58" s="738"/>
      <c r="P58" s="738"/>
      <c r="Q58" s="739"/>
    </row>
    <row r="59" spans="1:17" ht="22.9" customHeight="1" x14ac:dyDescent="0.3">
      <c r="A59" s="954" t="s">
        <v>622</v>
      </c>
      <c r="B59" s="907" t="s">
        <v>623</v>
      </c>
      <c r="C59" s="908"/>
      <c r="D59" s="906"/>
      <c r="E59" s="670"/>
      <c r="F59" s="956">
        <v>8445</v>
      </c>
      <c r="G59" s="956">
        <v>0</v>
      </c>
      <c r="H59" s="957">
        <v>238589</v>
      </c>
      <c r="I59" s="958">
        <v>0</v>
      </c>
      <c r="J59" s="957">
        <v>0</v>
      </c>
      <c r="K59" s="959">
        <f t="shared" si="6"/>
        <v>238589</v>
      </c>
    </row>
    <row r="60" spans="1:17" ht="18" customHeight="1" x14ac:dyDescent="0.3">
      <c r="A60" s="954" t="s">
        <v>100</v>
      </c>
      <c r="B60" s="907" t="s">
        <v>549</v>
      </c>
      <c r="C60" s="908"/>
      <c r="D60" s="906"/>
      <c r="E60" s="670"/>
      <c r="F60" s="956">
        <v>0</v>
      </c>
      <c r="G60" s="956">
        <v>0</v>
      </c>
      <c r="H60" s="957">
        <v>178742</v>
      </c>
      <c r="I60" s="958">
        <v>0</v>
      </c>
      <c r="J60" s="957">
        <v>0</v>
      </c>
      <c r="K60" s="959">
        <f t="shared" si="6"/>
        <v>178742</v>
      </c>
    </row>
    <row r="61" spans="1:17" ht="18" customHeight="1" x14ac:dyDescent="0.3">
      <c r="A61" s="954" t="s">
        <v>101</v>
      </c>
      <c r="B61" s="907" t="s">
        <v>753</v>
      </c>
      <c r="C61" s="908"/>
      <c r="D61" s="906"/>
      <c r="E61" s="670"/>
      <c r="F61" s="956">
        <v>6689</v>
      </c>
      <c r="G61" s="956">
        <v>1589</v>
      </c>
      <c r="H61" s="957">
        <v>324015</v>
      </c>
      <c r="I61" s="958">
        <v>486146</v>
      </c>
      <c r="J61" s="957">
        <v>708212</v>
      </c>
      <c r="K61" s="959">
        <f t="shared" si="6"/>
        <v>101949</v>
      </c>
    </row>
    <row r="62" spans="1:17" ht="18" customHeight="1" x14ac:dyDescent="0.3">
      <c r="A62" s="954" t="s">
        <v>289</v>
      </c>
      <c r="B62" s="907" t="s">
        <v>754</v>
      </c>
      <c r="C62" s="908"/>
      <c r="D62" s="906"/>
      <c r="E62" s="670"/>
      <c r="F62" s="956">
        <v>45516</v>
      </c>
      <c r="G62" s="956">
        <v>14657</v>
      </c>
      <c r="H62" s="957">
        <v>4480426</v>
      </c>
      <c r="I62" s="958">
        <v>950741</v>
      </c>
      <c r="J62" s="957">
        <v>2862235</v>
      </c>
      <c r="K62" s="959">
        <f t="shared" si="6"/>
        <v>2568932</v>
      </c>
    </row>
    <row r="63" spans="1:17" ht="18" customHeight="1" x14ac:dyDescent="0.3">
      <c r="A63" s="954" t="s">
        <v>550</v>
      </c>
      <c r="B63" s="1477" t="s">
        <v>755</v>
      </c>
      <c r="C63" s="1478"/>
      <c r="D63" s="1479"/>
      <c r="E63" s="670"/>
      <c r="F63" s="956">
        <v>23701</v>
      </c>
      <c r="G63" s="956">
        <v>5750</v>
      </c>
      <c r="H63" s="957">
        <v>3916348</v>
      </c>
      <c r="I63" s="958">
        <v>1246606</v>
      </c>
      <c r="J63" s="957">
        <v>1463873</v>
      </c>
      <c r="K63" s="959">
        <f t="shared" si="6"/>
        <v>3699081</v>
      </c>
    </row>
    <row r="64" spans="1:17" ht="18" customHeight="1" x14ac:dyDescent="0.3">
      <c r="A64" s="954" t="s">
        <v>144</v>
      </c>
      <c r="B64" s="686" t="s">
        <v>145</v>
      </c>
      <c r="C64" s="670"/>
      <c r="D64" s="670"/>
      <c r="E64" s="686" t="s">
        <v>7</v>
      </c>
      <c r="F64" s="961">
        <f t="shared" ref="F64:K64" si="7">SUM(F50:F63)</f>
        <v>287039.35999999999</v>
      </c>
      <c r="G64" s="961">
        <f t="shared" si="7"/>
        <v>121228</v>
      </c>
      <c r="H64" s="959">
        <f t="shared" si="7"/>
        <v>43872184.509999998</v>
      </c>
      <c r="I64" s="959">
        <f t="shared" si="7"/>
        <v>8028154.1099999994</v>
      </c>
      <c r="J64" s="959">
        <f t="shared" si="7"/>
        <v>22210049</v>
      </c>
      <c r="K64" s="959">
        <f t="shared" si="7"/>
        <v>29690289.620000001</v>
      </c>
    </row>
    <row r="65" spans="1:11" ht="42.75" customHeight="1" x14ac:dyDescent="0.25">
      <c r="A65" s="951"/>
      <c r="B65" s="670"/>
      <c r="C65" s="670"/>
      <c r="D65" s="670"/>
      <c r="E65" s="670"/>
      <c r="F65" s="967"/>
      <c r="G65" s="967"/>
      <c r="H65" s="967"/>
      <c r="I65" s="967"/>
      <c r="J65" s="967"/>
      <c r="K65" s="967"/>
    </row>
    <row r="66" spans="1:11" ht="18" customHeight="1" x14ac:dyDescent="0.3">
      <c r="A66" s="951"/>
      <c r="B66" s="670"/>
      <c r="C66" s="670"/>
      <c r="D66" s="670"/>
      <c r="E66" s="670"/>
      <c r="F66" s="680" t="s">
        <v>9</v>
      </c>
      <c r="G66" s="680" t="s">
        <v>37</v>
      </c>
      <c r="H66" s="680" t="s">
        <v>29</v>
      </c>
      <c r="I66" s="680" t="s">
        <v>30</v>
      </c>
      <c r="J66" s="680" t="s">
        <v>33</v>
      </c>
      <c r="K66" s="680" t="s">
        <v>34</v>
      </c>
    </row>
    <row r="67" spans="1:11" ht="18" customHeight="1" x14ac:dyDescent="0.3">
      <c r="A67" s="955" t="s">
        <v>102</v>
      </c>
      <c r="B67" s="686" t="s">
        <v>12</v>
      </c>
      <c r="C67" s="670"/>
      <c r="D67" s="670"/>
      <c r="E67" s="670"/>
      <c r="F67" s="968"/>
      <c r="G67" s="968"/>
      <c r="H67" s="968"/>
      <c r="I67" s="969"/>
      <c r="J67" s="968"/>
      <c r="K67" s="970"/>
    </row>
    <row r="68" spans="1:11" ht="18" customHeight="1" x14ac:dyDescent="0.3">
      <c r="A68" s="954" t="s">
        <v>103</v>
      </c>
      <c r="B68" s="670" t="s">
        <v>52</v>
      </c>
      <c r="C68" s="670"/>
      <c r="D68" s="670"/>
      <c r="E68" s="670"/>
      <c r="F68" s="971">
        <v>20</v>
      </c>
      <c r="G68" s="971">
        <v>0</v>
      </c>
      <c r="H68" s="971">
        <v>2962.81</v>
      </c>
      <c r="I68" s="958">
        <v>0</v>
      </c>
      <c r="J68" s="971">
        <v>0</v>
      </c>
      <c r="K68" s="959">
        <f>(H68+I68)-J68</f>
        <v>2962.81</v>
      </c>
    </row>
    <row r="69" spans="1:11" ht="18" customHeight="1" x14ac:dyDescent="0.3">
      <c r="A69" s="954" t="s">
        <v>104</v>
      </c>
      <c r="B69" s="670" t="s">
        <v>53</v>
      </c>
      <c r="C69" s="670"/>
      <c r="D69" s="670"/>
      <c r="E69" s="670"/>
      <c r="F69" s="971"/>
      <c r="G69" s="971"/>
      <c r="H69" s="971"/>
      <c r="I69" s="958">
        <v>0</v>
      </c>
      <c r="J69" s="971"/>
      <c r="K69" s="959">
        <f>(H69+I69)-J69</f>
        <v>0</v>
      </c>
    </row>
    <row r="70" spans="1:11" ht="18" customHeight="1" x14ac:dyDescent="0.3">
      <c r="A70" s="954" t="s">
        <v>178</v>
      </c>
      <c r="B70" s="907"/>
      <c r="C70" s="908"/>
      <c r="D70" s="906"/>
      <c r="E70" s="686"/>
      <c r="F70" s="972"/>
      <c r="G70" s="972"/>
      <c r="H70" s="973"/>
      <c r="I70" s="958">
        <v>0</v>
      </c>
      <c r="J70" s="973"/>
      <c r="K70" s="959">
        <f>(H70+I70)-J70</f>
        <v>0</v>
      </c>
    </row>
    <row r="71" spans="1:11" ht="18" customHeight="1" x14ac:dyDescent="0.3">
      <c r="A71" s="954" t="s">
        <v>179</v>
      </c>
      <c r="B71" s="907"/>
      <c r="C71" s="908"/>
      <c r="D71" s="906"/>
      <c r="E71" s="686"/>
      <c r="F71" s="972"/>
      <c r="G71" s="972"/>
      <c r="H71" s="973"/>
      <c r="I71" s="958">
        <v>0</v>
      </c>
      <c r="J71" s="973"/>
      <c r="K71" s="959">
        <f>(H71+I71)-J71</f>
        <v>0</v>
      </c>
    </row>
    <row r="72" spans="1:11" ht="18" customHeight="1" x14ac:dyDescent="0.3">
      <c r="A72" s="954" t="s">
        <v>180</v>
      </c>
      <c r="B72" s="974"/>
      <c r="C72" s="905"/>
      <c r="D72" s="975"/>
      <c r="E72" s="686"/>
      <c r="F72" s="956"/>
      <c r="G72" s="956"/>
      <c r="H72" s="957"/>
      <c r="I72" s="958">
        <v>0</v>
      </c>
      <c r="J72" s="957"/>
      <c r="K72" s="959">
        <f>(H72+I72)-J72</f>
        <v>0</v>
      </c>
    </row>
    <row r="73" spans="1:11" ht="18" customHeight="1" x14ac:dyDescent="0.3">
      <c r="A73" s="954"/>
      <c r="B73" s="670"/>
      <c r="C73" s="670"/>
      <c r="D73" s="670"/>
      <c r="E73" s="686"/>
      <c r="F73" s="976"/>
      <c r="G73" s="976"/>
      <c r="H73" s="977"/>
      <c r="I73" s="969"/>
      <c r="J73" s="977"/>
      <c r="K73" s="970"/>
    </row>
    <row r="74" spans="1:11" ht="42.75" customHeight="1" x14ac:dyDescent="0.3">
      <c r="A74" s="955" t="s">
        <v>146</v>
      </c>
      <c r="B74" s="686" t="s">
        <v>147</v>
      </c>
      <c r="C74" s="670"/>
      <c r="D74" s="670"/>
      <c r="E74" s="686" t="s">
        <v>7</v>
      </c>
      <c r="F74" s="978">
        <f t="shared" ref="F74:K74" si="8">SUM(F68:F72)</f>
        <v>20</v>
      </c>
      <c r="G74" s="978">
        <f t="shared" si="8"/>
        <v>0</v>
      </c>
      <c r="H74" s="978">
        <f t="shared" si="8"/>
        <v>2962.81</v>
      </c>
      <c r="I74" s="979">
        <f t="shared" si="8"/>
        <v>0</v>
      </c>
      <c r="J74" s="978">
        <f t="shared" si="8"/>
        <v>0</v>
      </c>
      <c r="K74" s="965">
        <f t="shared" si="8"/>
        <v>2962.81</v>
      </c>
    </row>
    <row r="75" spans="1:11" ht="18" customHeight="1" x14ac:dyDescent="0.3">
      <c r="A75" s="951"/>
      <c r="B75" s="670"/>
      <c r="C75" s="670"/>
      <c r="D75" s="670"/>
      <c r="E75" s="670"/>
      <c r="F75" s="680" t="s">
        <v>9</v>
      </c>
      <c r="G75" s="680" t="s">
        <v>37</v>
      </c>
      <c r="H75" s="680" t="s">
        <v>29</v>
      </c>
      <c r="I75" s="680" t="s">
        <v>30</v>
      </c>
      <c r="J75" s="680" t="s">
        <v>33</v>
      </c>
      <c r="K75" s="680" t="s">
        <v>34</v>
      </c>
    </row>
    <row r="76" spans="1:11" ht="18" customHeight="1" x14ac:dyDescent="0.3">
      <c r="A76" s="955" t="s">
        <v>105</v>
      </c>
      <c r="B76" s="686" t="s">
        <v>106</v>
      </c>
      <c r="C76" s="670"/>
      <c r="D76" s="670"/>
      <c r="E76" s="670"/>
      <c r="F76" s="670"/>
      <c r="G76" s="670"/>
      <c r="H76" s="670"/>
      <c r="I76" s="670"/>
      <c r="J76" s="670"/>
      <c r="K76" s="670"/>
    </row>
    <row r="77" spans="1:11" ht="18" customHeight="1" x14ac:dyDescent="0.3">
      <c r="A77" s="954" t="s">
        <v>107</v>
      </c>
      <c r="B77" s="670" t="s">
        <v>54</v>
      </c>
      <c r="C77" s="670"/>
      <c r="D77" s="670"/>
      <c r="E77" s="670"/>
      <c r="F77" s="956">
        <v>0</v>
      </c>
      <c r="G77" s="956">
        <v>0</v>
      </c>
      <c r="H77" s="957">
        <v>152300</v>
      </c>
      <c r="I77" s="958">
        <v>0</v>
      </c>
      <c r="J77" s="957">
        <v>0</v>
      </c>
      <c r="K77" s="959">
        <f>(H77+I77)-J77</f>
        <v>152300</v>
      </c>
    </row>
    <row r="78" spans="1:11" ht="18" customHeight="1" x14ac:dyDescent="0.3">
      <c r="A78" s="954" t="s">
        <v>108</v>
      </c>
      <c r="B78" s="670" t="s">
        <v>55</v>
      </c>
      <c r="C78" s="670"/>
      <c r="D78" s="670"/>
      <c r="E78" s="670"/>
      <c r="F78" s="956"/>
      <c r="G78" s="956"/>
      <c r="H78" s="957"/>
      <c r="I78" s="958">
        <v>0</v>
      </c>
      <c r="J78" s="957"/>
      <c r="K78" s="959">
        <f>(H78+I78)-J78</f>
        <v>0</v>
      </c>
    </row>
    <row r="79" spans="1:11" ht="18" customHeight="1" x14ac:dyDescent="0.3">
      <c r="A79" s="954" t="s">
        <v>109</v>
      </c>
      <c r="B79" s="670" t="s">
        <v>13</v>
      </c>
      <c r="C79" s="670"/>
      <c r="D79" s="670"/>
      <c r="E79" s="670"/>
      <c r="F79" s="956">
        <v>1587</v>
      </c>
      <c r="G79" s="956">
        <v>1680</v>
      </c>
      <c r="H79" s="957">
        <v>101122.27</v>
      </c>
      <c r="I79" s="958">
        <v>0</v>
      </c>
      <c r="J79" s="957">
        <v>0</v>
      </c>
      <c r="K79" s="959">
        <f>(H79+I79)-J79</f>
        <v>101122.27</v>
      </c>
    </row>
    <row r="80" spans="1:11" ht="18" customHeight="1" x14ac:dyDescent="0.3">
      <c r="A80" s="954" t="s">
        <v>110</v>
      </c>
      <c r="B80" s="670" t="s">
        <v>56</v>
      </c>
      <c r="C80" s="670"/>
      <c r="D80" s="670"/>
      <c r="E80" s="670"/>
      <c r="F80" s="956"/>
      <c r="G80" s="956"/>
      <c r="H80" s="957"/>
      <c r="I80" s="958">
        <v>0</v>
      </c>
      <c r="J80" s="957"/>
      <c r="K80" s="959">
        <f>(H80+I80)-J80</f>
        <v>0</v>
      </c>
    </row>
    <row r="81" spans="1:11" ht="18" customHeight="1" x14ac:dyDescent="0.3">
      <c r="A81" s="954"/>
      <c r="B81" s="670"/>
      <c r="C81" s="670"/>
      <c r="D81" s="670"/>
      <c r="E81" s="670"/>
      <c r="F81" s="670"/>
      <c r="G81" s="670"/>
      <c r="H81" s="670"/>
      <c r="I81" s="670"/>
      <c r="J81" s="670"/>
      <c r="K81" s="980"/>
    </row>
    <row r="82" spans="1:11" ht="18" customHeight="1" x14ac:dyDescent="0.3">
      <c r="A82" s="954" t="s">
        <v>148</v>
      </c>
      <c r="B82" s="686" t="s">
        <v>149</v>
      </c>
      <c r="C82" s="670"/>
      <c r="D82" s="670"/>
      <c r="E82" s="686" t="s">
        <v>7</v>
      </c>
      <c r="F82" s="978">
        <f t="shared" ref="F82:K82" si="9">SUM(F77:F80)</f>
        <v>1587</v>
      </c>
      <c r="G82" s="978">
        <f t="shared" si="9"/>
        <v>1680</v>
      </c>
      <c r="H82" s="965">
        <f t="shared" si="9"/>
        <v>253422.27000000002</v>
      </c>
      <c r="I82" s="965">
        <f t="shared" si="9"/>
        <v>0</v>
      </c>
      <c r="J82" s="965">
        <f t="shared" si="9"/>
        <v>0</v>
      </c>
      <c r="K82" s="965">
        <f t="shared" si="9"/>
        <v>253422.27000000002</v>
      </c>
    </row>
    <row r="83" spans="1:11" ht="18" customHeight="1" thickBot="1" x14ac:dyDescent="0.35">
      <c r="A83" s="954"/>
      <c r="B83" s="670"/>
      <c r="C83" s="670"/>
      <c r="D83" s="670"/>
      <c r="E83" s="670"/>
      <c r="F83" s="981"/>
      <c r="G83" s="981"/>
      <c r="H83" s="981"/>
      <c r="I83" s="981"/>
      <c r="J83" s="981"/>
      <c r="K83" s="981"/>
    </row>
    <row r="84" spans="1:11" ht="18" customHeight="1" x14ac:dyDescent="0.3">
      <c r="A84" s="951"/>
      <c r="B84" s="670"/>
      <c r="C84" s="670"/>
      <c r="D84" s="670"/>
      <c r="E84" s="670"/>
      <c r="F84" s="680" t="s">
        <v>9</v>
      </c>
      <c r="G84" s="680" t="s">
        <v>37</v>
      </c>
      <c r="H84" s="680" t="s">
        <v>29</v>
      </c>
      <c r="I84" s="680" t="s">
        <v>30</v>
      </c>
      <c r="J84" s="680" t="s">
        <v>33</v>
      </c>
      <c r="K84" s="680" t="s">
        <v>34</v>
      </c>
    </row>
    <row r="85" spans="1:11" ht="18" customHeight="1" x14ac:dyDescent="0.3">
      <c r="A85" s="955" t="s">
        <v>111</v>
      </c>
      <c r="B85" s="686" t="s">
        <v>57</v>
      </c>
      <c r="C85" s="670"/>
      <c r="D85" s="670"/>
      <c r="E85" s="670"/>
      <c r="F85" s="670"/>
      <c r="G85" s="670"/>
      <c r="H85" s="670"/>
      <c r="I85" s="670"/>
      <c r="J85" s="670"/>
      <c r="K85" s="670"/>
    </row>
    <row r="86" spans="1:11" ht="18" customHeight="1" x14ac:dyDescent="0.3">
      <c r="A86" s="954" t="s">
        <v>112</v>
      </c>
      <c r="B86" s="670" t="s">
        <v>113</v>
      </c>
      <c r="C86" s="670"/>
      <c r="D86" s="670"/>
      <c r="E86" s="670"/>
      <c r="F86" s="956">
        <v>2</v>
      </c>
      <c r="G86" s="956">
        <v>16</v>
      </c>
      <c r="H86" s="957">
        <v>88.71</v>
      </c>
      <c r="I86" s="958">
        <v>47.99</v>
      </c>
      <c r="J86" s="957">
        <v>0</v>
      </c>
      <c r="K86" s="959">
        <f t="shared" ref="K86:K96" si="10">(H86+I86)-J86</f>
        <v>136.69999999999999</v>
      </c>
    </row>
    <row r="87" spans="1:11" ht="18" customHeight="1" x14ac:dyDescent="0.3">
      <c r="A87" s="954" t="s">
        <v>114</v>
      </c>
      <c r="B87" s="670" t="s">
        <v>14</v>
      </c>
      <c r="C87" s="670"/>
      <c r="D87" s="670"/>
      <c r="E87" s="670"/>
      <c r="F87" s="956">
        <v>9</v>
      </c>
      <c r="G87" s="956">
        <v>0</v>
      </c>
      <c r="H87" s="957">
        <v>1363.42</v>
      </c>
      <c r="I87" s="958">
        <v>737.61</v>
      </c>
      <c r="J87" s="957">
        <v>0</v>
      </c>
      <c r="K87" s="959">
        <f t="shared" si="10"/>
        <v>2101.0300000000002</v>
      </c>
    </row>
    <row r="88" spans="1:11" ht="18" customHeight="1" x14ac:dyDescent="0.3">
      <c r="A88" s="954" t="s">
        <v>115</v>
      </c>
      <c r="B88" s="670" t="s">
        <v>116</v>
      </c>
      <c r="C88" s="670"/>
      <c r="D88" s="670"/>
      <c r="E88" s="670"/>
      <c r="F88" s="956">
        <v>18</v>
      </c>
      <c r="G88" s="956">
        <v>0</v>
      </c>
      <c r="H88" s="957">
        <v>8424.75</v>
      </c>
      <c r="I88" s="958">
        <f t="shared" ref="I88:I96" si="11">H88*F$114</f>
        <v>4557.7897499999999</v>
      </c>
      <c r="J88" s="957">
        <v>0</v>
      </c>
      <c r="K88" s="959">
        <f t="shared" si="10"/>
        <v>12982.53975</v>
      </c>
    </row>
    <row r="89" spans="1:11" ht="18" customHeight="1" x14ac:dyDescent="0.3">
      <c r="A89" s="954" t="s">
        <v>117</v>
      </c>
      <c r="B89" s="670" t="s">
        <v>58</v>
      </c>
      <c r="C89" s="670"/>
      <c r="D89" s="670"/>
      <c r="E89" s="670"/>
      <c r="F89" s="956">
        <v>0</v>
      </c>
      <c r="G89" s="956">
        <v>0</v>
      </c>
      <c r="H89" s="957">
        <v>75776.649999999994</v>
      </c>
      <c r="I89" s="958">
        <f t="shared" si="11"/>
        <v>40995.167650000003</v>
      </c>
      <c r="J89" s="957">
        <v>0</v>
      </c>
      <c r="K89" s="959">
        <f t="shared" si="10"/>
        <v>116771.81765</v>
      </c>
    </row>
    <row r="90" spans="1:11" ht="42.75" customHeight="1" x14ac:dyDescent="0.3">
      <c r="A90" s="954" t="s">
        <v>118</v>
      </c>
      <c r="B90" s="1480" t="s">
        <v>59</v>
      </c>
      <c r="C90" s="1480"/>
      <c r="D90" s="670"/>
      <c r="E90" s="670"/>
      <c r="F90" s="956">
        <v>7</v>
      </c>
      <c r="G90" s="956">
        <v>0</v>
      </c>
      <c r="H90" s="957">
        <v>737.14</v>
      </c>
      <c r="I90" s="958">
        <v>398.79</v>
      </c>
      <c r="J90" s="957">
        <v>0</v>
      </c>
      <c r="K90" s="959">
        <f t="shared" si="10"/>
        <v>1135.93</v>
      </c>
    </row>
    <row r="91" spans="1:11" ht="18" customHeight="1" x14ac:dyDescent="0.3">
      <c r="A91" s="954" t="s">
        <v>119</v>
      </c>
      <c r="B91" s="670" t="s">
        <v>60</v>
      </c>
      <c r="C91" s="670"/>
      <c r="D91" s="670"/>
      <c r="E91" s="670"/>
      <c r="F91" s="956">
        <v>1485</v>
      </c>
      <c r="G91" s="956">
        <v>0</v>
      </c>
      <c r="H91" s="957">
        <v>1295337.92</v>
      </c>
      <c r="I91" s="958">
        <f t="shared" si="11"/>
        <v>700777.81472000002</v>
      </c>
      <c r="J91" s="957">
        <v>0</v>
      </c>
      <c r="K91" s="959">
        <f t="shared" si="10"/>
        <v>1996115.7347200001</v>
      </c>
    </row>
    <row r="92" spans="1:11" ht="18" customHeight="1" x14ac:dyDescent="0.3">
      <c r="A92" s="954" t="s">
        <v>120</v>
      </c>
      <c r="B92" s="670" t="s">
        <v>121</v>
      </c>
      <c r="C92" s="670"/>
      <c r="D92" s="670"/>
      <c r="E92" s="670"/>
      <c r="F92" s="982">
        <v>0</v>
      </c>
      <c r="G92" s="982">
        <v>0</v>
      </c>
      <c r="H92" s="983">
        <v>0</v>
      </c>
      <c r="I92" s="958">
        <f t="shared" si="11"/>
        <v>0</v>
      </c>
      <c r="J92" s="983">
        <v>0</v>
      </c>
      <c r="K92" s="959">
        <f t="shared" si="10"/>
        <v>0</v>
      </c>
    </row>
    <row r="93" spans="1:11" ht="18" customHeight="1" x14ac:dyDescent="0.3">
      <c r="A93" s="954" t="s">
        <v>122</v>
      </c>
      <c r="B93" s="670" t="s">
        <v>123</v>
      </c>
      <c r="C93" s="670"/>
      <c r="D93" s="670"/>
      <c r="E93" s="670"/>
      <c r="F93" s="956"/>
      <c r="G93" s="956"/>
      <c r="H93" s="957"/>
      <c r="I93" s="958">
        <f t="shared" si="11"/>
        <v>0</v>
      </c>
      <c r="J93" s="957"/>
      <c r="K93" s="959">
        <f t="shared" si="10"/>
        <v>0</v>
      </c>
    </row>
    <row r="94" spans="1:11" ht="18" customHeight="1" x14ac:dyDescent="0.3">
      <c r="A94" s="954" t="s">
        <v>124</v>
      </c>
      <c r="B94" s="1477"/>
      <c r="C94" s="1478"/>
      <c r="D94" s="1479"/>
      <c r="E94" s="670"/>
      <c r="F94" s="956"/>
      <c r="G94" s="956"/>
      <c r="H94" s="957"/>
      <c r="I94" s="958">
        <f t="shared" si="11"/>
        <v>0</v>
      </c>
      <c r="J94" s="957"/>
      <c r="K94" s="959">
        <f t="shared" si="10"/>
        <v>0</v>
      </c>
    </row>
    <row r="95" spans="1:11" ht="18" customHeight="1" x14ac:dyDescent="0.3">
      <c r="A95" s="954" t="s">
        <v>125</v>
      </c>
      <c r="B95" s="1477"/>
      <c r="C95" s="1478"/>
      <c r="D95" s="1479"/>
      <c r="E95" s="670"/>
      <c r="F95" s="956"/>
      <c r="G95" s="956"/>
      <c r="H95" s="957"/>
      <c r="I95" s="958">
        <f t="shared" si="11"/>
        <v>0</v>
      </c>
      <c r="J95" s="957"/>
      <c r="K95" s="959">
        <f t="shared" si="10"/>
        <v>0</v>
      </c>
    </row>
    <row r="96" spans="1:11" ht="18" customHeight="1" x14ac:dyDescent="0.3">
      <c r="A96" s="954" t="s">
        <v>126</v>
      </c>
      <c r="B96" s="1477"/>
      <c r="C96" s="1478"/>
      <c r="D96" s="1479"/>
      <c r="E96" s="670"/>
      <c r="F96" s="956"/>
      <c r="G96" s="956"/>
      <c r="H96" s="957"/>
      <c r="I96" s="958">
        <f t="shared" si="11"/>
        <v>0</v>
      </c>
      <c r="J96" s="957"/>
      <c r="K96" s="959">
        <f t="shared" si="10"/>
        <v>0</v>
      </c>
    </row>
    <row r="97" spans="1:11" ht="18" customHeight="1" x14ac:dyDescent="0.3">
      <c r="A97" s="954"/>
      <c r="B97" s="670"/>
      <c r="C97" s="670"/>
      <c r="D97" s="670"/>
      <c r="E97" s="670"/>
      <c r="F97" s="670"/>
      <c r="G97" s="670"/>
      <c r="H97" s="670"/>
      <c r="I97" s="670"/>
      <c r="J97" s="670"/>
      <c r="K97" s="670"/>
    </row>
    <row r="98" spans="1:11" s="29" customFormat="1" ht="18" customHeight="1" x14ac:dyDescent="0.3">
      <c r="A98" s="955" t="s">
        <v>150</v>
      </c>
      <c r="B98" s="686" t="s">
        <v>151</v>
      </c>
      <c r="C98" s="670"/>
      <c r="D98" s="670"/>
      <c r="E98" s="686" t="s">
        <v>7</v>
      </c>
      <c r="F98" s="961">
        <f t="shared" ref="F98:K98" si="12">SUM(F86:F96)</f>
        <v>1521</v>
      </c>
      <c r="G98" s="961">
        <f t="shared" si="12"/>
        <v>16</v>
      </c>
      <c r="H98" s="961">
        <f t="shared" si="12"/>
        <v>1381728.5899999999</v>
      </c>
      <c r="I98" s="961">
        <f t="shared" si="12"/>
        <v>747515.16211999999</v>
      </c>
      <c r="J98" s="961">
        <f t="shared" si="12"/>
        <v>0</v>
      </c>
      <c r="K98" s="961">
        <f t="shared" si="12"/>
        <v>2129243.7521199998</v>
      </c>
    </row>
    <row r="99" spans="1:11" s="29" customFormat="1" ht="18" customHeight="1" thickBot="1" x14ac:dyDescent="0.35">
      <c r="A99" s="951"/>
      <c r="B99" s="686"/>
      <c r="C99" s="670"/>
      <c r="D99" s="670"/>
      <c r="E99" s="670"/>
      <c r="F99" s="981"/>
      <c r="G99" s="981"/>
      <c r="H99" s="981"/>
      <c r="I99" s="981"/>
      <c r="J99" s="981"/>
      <c r="K99" s="981"/>
    </row>
    <row r="100" spans="1:11" s="29" customFormat="1" ht="18" customHeight="1" x14ac:dyDescent="0.3">
      <c r="A100" s="951"/>
      <c r="B100" s="670"/>
      <c r="C100" s="670"/>
      <c r="D100" s="670"/>
      <c r="E100" s="670"/>
      <c r="F100" s="680" t="s">
        <v>9</v>
      </c>
      <c r="G100" s="680" t="s">
        <v>37</v>
      </c>
      <c r="H100" s="680" t="s">
        <v>29</v>
      </c>
      <c r="I100" s="680" t="s">
        <v>30</v>
      </c>
      <c r="J100" s="680" t="s">
        <v>33</v>
      </c>
      <c r="K100" s="680" t="s">
        <v>34</v>
      </c>
    </row>
    <row r="101" spans="1:11" ht="18" customHeight="1" x14ac:dyDescent="0.3">
      <c r="A101" s="955" t="s">
        <v>130</v>
      </c>
      <c r="B101" s="686" t="s">
        <v>63</v>
      </c>
      <c r="C101" s="670"/>
      <c r="D101" s="670"/>
      <c r="E101" s="670"/>
      <c r="F101" s="670"/>
      <c r="G101" s="670"/>
      <c r="H101" s="670"/>
      <c r="I101" s="670"/>
      <c r="J101" s="670"/>
      <c r="K101" s="670"/>
    </row>
    <row r="102" spans="1:11" ht="18" customHeight="1" x14ac:dyDescent="0.3">
      <c r="A102" s="954" t="s">
        <v>131</v>
      </c>
      <c r="B102" s="670" t="s">
        <v>152</v>
      </c>
      <c r="C102" s="670"/>
      <c r="D102" s="670"/>
      <c r="E102" s="670"/>
      <c r="F102" s="956">
        <v>576</v>
      </c>
      <c r="G102" s="956">
        <v>316</v>
      </c>
      <c r="H102" s="957">
        <v>22501.16</v>
      </c>
      <c r="I102" s="958">
        <f>H102*F$114</f>
        <v>12173.127560000001</v>
      </c>
      <c r="J102" s="957">
        <v>0</v>
      </c>
      <c r="K102" s="959">
        <f>(H102+I102)-J102</f>
        <v>34674.287559999997</v>
      </c>
    </row>
    <row r="103" spans="1:11" ht="18" customHeight="1" x14ac:dyDescent="0.3">
      <c r="A103" s="954" t="s">
        <v>132</v>
      </c>
      <c r="B103" s="1480" t="s">
        <v>62</v>
      </c>
      <c r="C103" s="1480"/>
      <c r="D103" s="670"/>
      <c r="E103" s="670"/>
      <c r="F103" s="956"/>
      <c r="G103" s="956"/>
      <c r="H103" s="957"/>
      <c r="I103" s="958">
        <f>H103*F$114</f>
        <v>0</v>
      </c>
      <c r="J103" s="957"/>
      <c r="K103" s="959">
        <f>(H103+I103)-J103</f>
        <v>0</v>
      </c>
    </row>
    <row r="104" spans="1:11" ht="18" customHeight="1" x14ac:dyDescent="0.3">
      <c r="A104" s="954" t="s">
        <v>128</v>
      </c>
      <c r="B104" s="1477"/>
      <c r="C104" s="1478"/>
      <c r="D104" s="1479"/>
      <c r="E104" s="670"/>
      <c r="F104" s="956"/>
      <c r="G104" s="956"/>
      <c r="H104" s="957"/>
      <c r="I104" s="958">
        <f>H104*F$114</f>
        <v>0</v>
      </c>
      <c r="J104" s="957"/>
      <c r="K104" s="959">
        <f>(H104+I104)-J104</f>
        <v>0</v>
      </c>
    </row>
    <row r="105" spans="1:11" ht="18" customHeight="1" x14ac:dyDescent="0.3">
      <c r="A105" s="954" t="s">
        <v>127</v>
      </c>
      <c r="B105" s="1477"/>
      <c r="C105" s="1478"/>
      <c r="D105" s="1479"/>
      <c r="E105" s="670"/>
      <c r="F105" s="956"/>
      <c r="G105" s="956"/>
      <c r="H105" s="957"/>
      <c r="I105" s="958">
        <f>H105*F$114</f>
        <v>0</v>
      </c>
      <c r="J105" s="957"/>
      <c r="K105" s="959">
        <f>(H105+I105)-J105</f>
        <v>0</v>
      </c>
    </row>
    <row r="106" spans="1:11" ht="18" customHeight="1" x14ac:dyDescent="0.3">
      <c r="A106" s="954" t="s">
        <v>129</v>
      </c>
      <c r="B106" s="1477"/>
      <c r="C106" s="1478"/>
      <c r="D106" s="1479"/>
      <c r="E106" s="670"/>
      <c r="F106" s="956"/>
      <c r="G106" s="956"/>
      <c r="H106" s="957"/>
      <c r="I106" s="958">
        <f>H106*F$114</f>
        <v>0</v>
      </c>
      <c r="J106" s="957"/>
      <c r="K106" s="959">
        <f>(H106+I106)-J106</f>
        <v>0</v>
      </c>
    </row>
    <row r="107" spans="1:11" ht="18" customHeight="1" x14ac:dyDescent="0.3">
      <c r="A107" s="951"/>
      <c r="B107" s="686"/>
      <c r="C107" s="670"/>
      <c r="D107" s="670"/>
      <c r="E107" s="670"/>
      <c r="F107" s="670"/>
      <c r="G107" s="670"/>
      <c r="H107" s="670"/>
      <c r="I107" s="670"/>
      <c r="J107" s="670"/>
      <c r="K107" s="670"/>
    </row>
    <row r="108" spans="1:11" ht="18" customHeight="1" x14ac:dyDescent="0.3">
      <c r="A108" s="955" t="s">
        <v>153</v>
      </c>
      <c r="B108" s="686" t="s">
        <v>154</v>
      </c>
      <c r="C108" s="670"/>
      <c r="D108" s="670"/>
      <c r="E108" s="686" t="s">
        <v>7</v>
      </c>
      <c r="F108" s="961">
        <f t="shared" ref="F108:K108" si="13">SUM(F102:F106)</f>
        <v>576</v>
      </c>
      <c r="G108" s="961">
        <f t="shared" si="13"/>
        <v>316</v>
      </c>
      <c r="H108" s="959">
        <f t="shared" si="13"/>
        <v>22501.16</v>
      </c>
      <c r="I108" s="959">
        <f t="shared" si="13"/>
        <v>12173.127560000001</v>
      </c>
      <c r="J108" s="959">
        <f t="shared" si="13"/>
        <v>0</v>
      </c>
      <c r="K108" s="959">
        <f t="shared" si="13"/>
        <v>34674.287559999997</v>
      </c>
    </row>
    <row r="109" spans="1:11" ht="18" customHeight="1" thickBot="1" x14ac:dyDescent="0.35">
      <c r="A109" s="984"/>
      <c r="B109" s="644"/>
      <c r="C109" s="985"/>
      <c r="D109" s="985"/>
      <c r="E109" s="985"/>
      <c r="F109" s="981"/>
      <c r="G109" s="981"/>
      <c r="H109" s="981"/>
      <c r="I109" s="981"/>
      <c r="J109" s="981"/>
      <c r="K109" s="981"/>
    </row>
    <row r="110" spans="1:11" ht="18" customHeight="1" x14ac:dyDescent="0.3">
      <c r="A110" s="955" t="s">
        <v>156</v>
      </c>
      <c r="B110" s="686" t="s">
        <v>39</v>
      </c>
      <c r="C110" s="670"/>
      <c r="D110" s="670"/>
      <c r="E110" s="670"/>
      <c r="F110" s="670"/>
      <c r="G110" s="670"/>
      <c r="H110" s="670"/>
      <c r="I110" s="670"/>
      <c r="J110" s="670"/>
      <c r="K110" s="670"/>
    </row>
    <row r="111" spans="1:11" ht="18" customHeight="1" x14ac:dyDescent="0.3">
      <c r="A111" s="955" t="s">
        <v>155</v>
      </c>
      <c r="B111" s="686" t="s">
        <v>164</v>
      </c>
      <c r="C111" s="670"/>
      <c r="D111" s="670"/>
      <c r="E111" s="686" t="s">
        <v>7</v>
      </c>
      <c r="F111" s="957">
        <v>8301400</v>
      </c>
      <c r="G111" s="670"/>
      <c r="H111" s="670"/>
      <c r="I111" s="670"/>
      <c r="J111" s="670"/>
      <c r="K111" s="670"/>
    </row>
    <row r="112" spans="1:11" ht="18" customHeight="1" x14ac:dyDescent="0.3">
      <c r="A112" s="951"/>
      <c r="B112" s="686"/>
      <c r="C112" s="670"/>
      <c r="D112" s="670"/>
      <c r="E112" s="686"/>
      <c r="F112" s="316"/>
      <c r="G112" s="670"/>
      <c r="H112" s="670"/>
      <c r="I112" s="670"/>
      <c r="J112" s="670"/>
      <c r="K112" s="670"/>
    </row>
    <row r="113" spans="1:11" ht="18" customHeight="1" x14ac:dyDescent="0.3">
      <c r="A113" s="955"/>
      <c r="B113" s="686" t="s">
        <v>15</v>
      </c>
      <c r="C113" s="670"/>
      <c r="D113" s="670"/>
      <c r="E113" s="670"/>
      <c r="F113" s="670"/>
      <c r="G113" s="670"/>
      <c r="H113" s="670"/>
      <c r="I113" s="670"/>
      <c r="J113" s="670"/>
      <c r="K113" s="670"/>
    </row>
    <row r="114" spans="1:11" ht="18" customHeight="1" x14ac:dyDescent="0.3">
      <c r="A114" s="954" t="s">
        <v>171</v>
      </c>
      <c r="B114" s="670" t="s">
        <v>35</v>
      </c>
      <c r="C114" s="670"/>
      <c r="D114" s="670"/>
      <c r="E114" s="670"/>
      <c r="F114" s="986">
        <v>0.54100000000000004</v>
      </c>
      <c r="G114" s="670"/>
      <c r="H114" s="670"/>
      <c r="I114" s="670"/>
      <c r="J114" s="670"/>
      <c r="K114" s="670"/>
    </row>
    <row r="115" spans="1:11" ht="18" customHeight="1" x14ac:dyDescent="0.3">
      <c r="A115" s="954"/>
      <c r="B115" s="686"/>
      <c r="C115" s="670"/>
      <c r="D115" s="670"/>
      <c r="E115" s="670"/>
      <c r="F115" s="670"/>
      <c r="G115" s="670"/>
      <c r="H115" s="670"/>
      <c r="I115" s="670"/>
      <c r="J115" s="670"/>
      <c r="K115" s="670"/>
    </row>
    <row r="116" spans="1:11" ht="18" customHeight="1" x14ac:dyDescent="0.3">
      <c r="A116" s="954" t="s">
        <v>170</v>
      </c>
      <c r="B116" s="686" t="s">
        <v>16</v>
      </c>
      <c r="C116" s="670"/>
      <c r="D116" s="670"/>
      <c r="E116" s="670"/>
      <c r="F116" s="670"/>
      <c r="G116" s="670"/>
      <c r="H116" s="670"/>
      <c r="I116" s="670"/>
      <c r="J116" s="670"/>
      <c r="K116" s="670"/>
    </row>
    <row r="117" spans="1:11" ht="18" customHeight="1" x14ac:dyDescent="0.3">
      <c r="A117" s="954" t="s">
        <v>172</v>
      </c>
      <c r="B117" s="670" t="s">
        <v>17</v>
      </c>
      <c r="C117" s="670"/>
      <c r="D117" s="670"/>
      <c r="E117" s="670"/>
      <c r="F117" s="957">
        <v>409068059</v>
      </c>
      <c r="G117" s="670"/>
      <c r="H117" s="670"/>
      <c r="I117" s="670"/>
      <c r="J117" s="670"/>
      <c r="K117" s="670"/>
    </row>
    <row r="118" spans="1:11" ht="18" customHeight="1" x14ac:dyDescent="0.3">
      <c r="A118" s="954" t="s">
        <v>173</v>
      </c>
      <c r="B118" s="670" t="s">
        <v>18</v>
      </c>
      <c r="C118" s="670"/>
      <c r="D118" s="670"/>
      <c r="E118" s="670"/>
      <c r="F118" s="957">
        <v>2567736</v>
      </c>
      <c r="G118" s="670"/>
      <c r="H118" s="670"/>
      <c r="I118" s="670"/>
      <c r="J118" s="670"/>
      <c r="K118" s="670"/>
    </row>
    <row r="119" spans="1:11" ht="42.75" customHeight="1" x14ac:dyDescent="0.3">
      <c r="A119" s="954" t="s">
        <v>174</v>
      </c>
      <c r="B119" s="686" t="s">
        <v>19</v>
      </c>
      <c r="C119" s="670"/>
      <c r="D119" s="670"/>
      <c r="E119" s="670"/>
      <c r="F119" s="965">
        <f>SUM(F117:F118)</f>
        <v>411635795</v>
      </c>
      <c r="G119" s="670"/>
      <c r="H119" s="670"/>
      <c r="I119" s="670"/>
      <c r="J119" s="670"/>
      <c r="K119" s="670"/>
    </row>
    <row r="120" spans="1:11" ht="18" customHeight="1" x14ac:dyDescent="0.3">
      <c r="A120" s="954"/>
      <c r="B120" s="686"/>
      <c r="C120" s="670"/>
      <c r="D120" s="670"/>
      <c r="E120" s="670"/>
      <c r="F120" s="670"/>
      <c r="G120" s="670"/>
      <c r="H120" s="670"/>
      <c r="I120" s="670"/>
      <c r="J120" s="670"/>
      <c r="K120" s="670"/>
    </row>
    <row r="121" spans="1:11" ht="18" customHeight="1" x14ac:dyDescent="0.3">
      <c r="A121" s="954" t="s">
        <v>167</v>
      </c>
      <c r="B121" s="686" t="s">
        <v>36</v>
      </c>
      <c r="C121" s="670"/>
      <c r="D121" s="670"/>
      <c r="E121" s="670"/>
      <c r="F121" s="957">
        <v>432141737</v>
      </c>
      <c r="G121" s="670"/>
      <c r="H121" s="670"/>
      <c r="I121" s="670"/>
      <c r="J121" s="670"/>
      <c r="K121" s="670"/>
    </row>
    <row r="122" spans="1:11" ht="18" customHeight="1" x14ac:dyDescent="0.3">
      <c r="A122" s="954"/>
      <c r="B122" s="670"/>
      <c r="C122" s="670"/>
      <c r="D122" s="670"/>
      <c r="E122" s="670"/>
      <c r="F122" s="670"/>
      <c r="G122" s="670"/>
      <c r="H122" s="670"/>
      <c r="I122" s="670"/>
      <c r="J122" s="670"/>
      <c r="K122" s="670"/>
    </row>
    <row r="123" spans="1:11" ht="18" customHeight="1" x14ac:dyDescent="0.3">
      <c r="A123" s="954" t="s">
        <v>175</v>
      </c>
      <c r="B123" s="686" t="s">
        <v>20</v>
      </c>
      <c r="C123" s="670"/>
      <c r="D123" s="670"/>
      <c r="E123" s="670"/>
      <c r="F123" s="957">
        <v>-20505942</v>
      </c>
      <c r="G123" s="670"/>
      <c r="H123" s="670"/>
      <c r="I123" s="670"/>
      <c r="J123" s="670"/>
      <c r="K123" s="670"/>
    </row>
    <row r="124" spans="1:11" ht="18" customHeight="1" x14ac:dyDescent="0.3">
      <c r="A124" s="954"/>
      <c r="B124" s="670"/>
      <c r="C124" s="670"/>
      <c r="D124" s="670"/>
      <c r="E124" s="670"/>
      <c r="F124" s="670"/>
      <c r="G124" s="670"/>
      <c r="H124" s="670"/>
      <c r="I124" s="670"/>
      <c r="J124" s="670"/>
      <c r="K124" s="670"/>
    </row>
    <row r="125" spans="1:11" ht="18" customHeight="1" x14ac:dyDescent="0.3">
      <c r="A125" s="954" t="s">
        <v>176</v>
      </c>
      <c r="B125" s="686" t="s">
        <v>21</v>
      </c>
      <c r="C125" s="670"/>
      <c r="D125" s="670"/>
      <c r="E125" s="670"/>
      <c r="F125" s="957">
        <v>14818236</v>
      </c>
      <c r="G125" s="670"/>
      <c r="H125" s="670"/>
      <c r="I125" s="670"/>
      <c r="J125" s="670"/>
      <c r="K125" s="670"/>
    </row>
    <row r="126" spans="1:11" ht="18" customHeight="1" x14ac:dyDescent="0.3">
      <c r="A126" s="954"/>
      <c r="B126" s="670"/>
      <c r="C126" s="670"/>
      <c r="D126" s="670"/>
      <c r="E126" s="670"/>
      <c r="F126" s="670"/>
      <c r="G126" s="670"/>
      <c r="H126" s="670"/>
      <c r="I126" s="670"/>
      <c r="J126" s="670"/>
      <c r="K126" s="670"/>
    </row>
    <row r="127" spans="1:11" ht="18" customHeight="1" x14ac:dyDescent="0.3">
      <c r="A127" s="954" t="s">
        <v>177</v>
      </c>
      <c r="B127" s="686" t="s">
        <v>22</v>
      </c>
      <c r="C127" s="670"/>
      <c r="D127" s="670"/>
      <c r="E127" s="670"/>
      <c r="F127" s="957">
        <v>-5687706</v>
      </c>
      <c r="G127" s="670"/>
      <c r="H127" s="670"/>
      <c r="I127" s="670"/>
      <c r="J127" s="670"/>
      <c r="K127" s="670"/>
    </row>
    <row r="128" spans="1:11" ht="18" customHeight="1" x14ac:dyDescent="0.3">
      <c r="A128" s="954"/>
      <c r="B128" s="670"/>
      <c r="C128" s="670"/>
      <c r="D128" s="670"/>
      <c r="E128" s="670"/>
      <c r="F128" s="670"/>
      <c r="G128" s="670"/>
      <c r="H128" s="670"/>
      <c r="I128" s="670"/>
      <c r="J128" s="670"/>
      <c r="K128" s="670"/>
    </row>
    <row r="129" spans="1:11" ht="42.75" customHeight="1" x14ac:dyDescent="0.3">
      <c r="A129" s="951"/>
      <c r="B129" s="670"/>
      <c r="C129" s="670"/>
      <c r="D129" s="670"/>
      <c r="E129" s="670"/>
      <c r="F129" s="680" t="s">
        <v>9</v>
      </c>
      <c r="G129" s="680" t="s">
        <v>37</v>
      </c>
      <c r="H129" s="680" t="s">
        <v>29</v>
      </c>
      <c r="I129" s="680" t="s">
        <v>30</v>
      </c>
      <c r="J129" s="680" t="s">
        <v>33</v>
      </c>
      <c r="K129" s="680" t="s">
        <v>34</v>
      </c>
    </row>
    <row r="130" spans="1:11" ht="18" customHeight="1" x14ac:dyDescent="0.3">
      <c r="A130" s="955" t="s">
        <v>157</v>
      </c>
      <c r="B130" s="686" t="s">
        <v>23</v>
      </c>
      <c r="C130" s="670"/>
      <c r="D130" s="670"/>
      <c r="E130" s="670"/>
      <c r="F130" s="670"/>
      <c r="G130" s="670"/>
      <c r="H130" s="670"/>
      <c r="I130" s="670"/>
      <c r="J130" s="670"/>
      <c r="K130" s="670"/>
    </row>
    <row r="131" spans="1:11" ht="18" customHeight="1" x14ac:dyDescent="0.3">
      <c r="A131" s="954" t="s">
        <v>158</v>
      </c>
      <c r="B131" s="670" t="s">
        <v>24</v>
      </c>
      <c r="C131" s="670"/>
      <c r="D131" s="670"/>
      <c r="E131" s="670"/>
      <c r="F131" s="956"/>
      <c r="G131" s="956"/>
      <c r="H131" s="957"/>
      <c r="I131" s="958">
        <v>0</v>
      </c>
      <c r="J131" s="957"/>
      <c r="K131" s="959">
        <f>(H131+I131)-J131</f>
        <v>0</v>
      </c>
    </row>
    <row r="132" spans="1:11" ht="18" customHeight="1" x14ac:dyDescent="0.3">
      <c r="A132" s="954" t="s">
        <v>159</v>
      </c>
      <c r="B132" s="670" t="s">
        <v>25</v>
      </c>
      <c r="C132" s="670"/>
      <c r="D132" s="670"/>
      <c r="E132" s="670"/>
      <c r="F132" s="956"/>
      <c r="G132" s="956"/>
      <c r="H132" s="957"/>
      <c r="I132" s="958">
        <v>0</v>
      </c>
      <c r="J132" s="957"/>
      <c r="K132" s="959">
        <f>(H132+I132)-J132</f>
        <v>0</v>
      </c>
    </row>
    <row r="133" spans="1:11" ht="18" customHeight="1" x14ac:dyDescent="0.3">
      <c r="A133" s="954" t="s">
        <v>160</v>
      </c>
      <c r="B133" s="1474"/>
      <c r="C133" s="1475"/>
      <c r="D133" s="1476"/>
      <c r="E133" s="670"/>
      <c r="F133" s="956"/>
      <c r="G133" s="956"/>
      <c r="H133" s="957"/>
      <c r="I133" s="958">
        <v>0</v>
      </c>
      <c r="J133" s="957"/>
      <c r="K133" s="959">
        <f>(H133+I133)-J133</f>
        <v>0</v>
      </c>
    </row>
    <row r="134" spans="1:11" ht="18" customHeight="1" x14ac:dyDescent="0.3">
      <c r="A134" s="954" t="s">
        <v>161</v>
      </c>
      <c r="B134" s="1474"/>
      <c r="C134" s="1475"/>
      <c r="D134" s="1476"/>
      <c r="E134" s="670"/>
      <c r="F134" s="956"/>
      <c r="G134" s="956"/>
      <c r="H134" s="957"/>
      <c r="I134" s="958">
        <v>0</v>
      </c>
      <c r="J134" s="957"/>
      <c r="K134" s="959">
        <f>(H134+I134)-J134</f>
        <v>0</v>
      </c>
    </row>
    <row r="135" spans="1:11" ht="18" customHeight="1" x14ac:dyDescent="0.3">
      <c r="A135" s="954" t="s">
        <v>162</v>
      </c>
      <c r="B135" s="1474"/>
      <c r="C135" s="1475"/>
      <c r="D135" s="1476"/>
      <c r="E135" s="670"/>
      <c r="F135" s="956"/>
      <c r="G135" s="956"/>
      <c r="H135" s="957"/>
      <c r="I135" s="958">
        <v>0</v>
      </c>
      <c r="J135" s="957"/>
      <c r="K135" s="959">
        <f>(H135+I135)-J135</f>
        <v>0</v>
      </c>
    </row>
    <row r="136" spans="1:11" ht="18" customHeight="1" x14ac:dyDescent="0.3">
      <c r="A136" s="955"/>
      <c r="B136" s="670"/>
      <c r="C136" s="670"/>
      <c r="D136" s="670"/>
      <c r="E136" s="670"/>
      <c r="F136" s="670"/>
      <c r="G136" s="670"/>
      <c r="H136" s="670"/>
      <c r="I136" s="670"/>
      <c r="J136" s="670"/>
      <c r="K136" s="670"/>
    </row>
    <row r="137" spans="1:11" ht="18" customHeight="1" x14ac:dyDescent="0.3">
      <c r="A137" s="955" t="s">
        <v>163</v>
      </c>
      <c r="B137" s="686" t="s">
        <v>27</v>
      </c>
      <c r="C137" s="670"/>
      <c r="D137" s="670"/>
      <c r="E137" s="670"/>
      <c r="F137" s="961">
        <f t="shared" ref="F137:K137" si="14">SUM(F131:F135)</f>
        <v>0</v>
      </c>
      <c r="G137" s="961">
        <f t="shared" si="14"/>
        <v>0</v>
      </c>
      <c r="H137" s="959">
        <f t="shared" si="14"/>
        <v>0</v>
      </c>
      <c r="I137" s="959">
        <f t="shared" si="14"/>
        <v>0</v>
      </c>
      <c r="J137" s="959">
        <f t="shared" si="14"/>
        <v>0</v>
      </c>
      <c r="K137" s="959">
        <f t="shared" si="14"/>
        <v>0</v>
      </c>
    </row>
    <row r="138" spans="1:11" ht="18" customHeight="1" x14ac:dyDescent="0.25">
      <c r="A138" s="670"/>
      <c r="B138" s="670"/>
      <c r="C138" s="670"/>
      <c r="D138" s="670"/>
      <c r="E138" s="670"/>
      <c r="F138" s="670"/>
      <c r="G138" s="670"/>
      <c r="H138" s="670"/>
      <c r="I138" s="670"/>
      <c r="J138" s="670"/>
      <c r="K138" s="670"/>
    </row>
    <row r="139" spans="1:11" ht="18" customHeight="1" x14ac:dyDescent="0.3">
      <c r="A139" s="951"/>
      <c r="B139" s="670"/>
      <c r="C139" s="670"/>
      <c r="D139" s="670"/>
      <c r="E139" s="670"/>
      <c r="F139" s="680" t="s">
        <v>9</v>
      </c>
      <c r="G139" s="680" t="s">
        <v>37</v>
      </c>
      <c r="H139" s="680" t="s">
        <v>29</v>
      </c>
      <c r="I139" s="680" t="s">
        <v>30</v>
      </c>
      <c r="J139" s="680" t="s">
        <v>33</v>
      </c>
      <c r="K139" s="680" t="s">
        <v>34</v>
      </c>
    </row>
    <row r="140" spans="1:11" ht="18" customHeight="1" x14ac:dyDescent="0.3">
      <c r="A140" s="955" t="s">
        <v>166</v>
      </c>
      <c r="B140" s="686" t="s">
        <v>26</v>
      </c>
      <c r="C140" s="670"/>
      <c r="D140" s="670"/>
      <c r="E140" s="670"/>
      <c r="F140" s="670"/>
      <c r="G140" s="670"/>
      <c r="H140" s="670"/>
      <c r="I140" s="670"/>
      <c r="J140" s="670"/>
      <c r="K140" s="670"/>
    </row>
    <row r="141" spans="1:11" ht="18" customHeight="1" x14ac:dyDescent="0.3">
      <c r="A141" s="954" t="s">
        <v>137</v>
      </c>
      <c r="B141" s="686" t="s">
        <v>64</v>
      </c>
      <c r="C141" s="670"/>
      <c r="D141" s="670"/>
      <c r="E141" s="670"/>
      <c r="F141" s="987">
        <f t="shared" ref="F141:K141" si="15">F36</f>
        <v>26432.42</v>
      </c>
      <c r="G141" s="987">
        <f t="shared" si="15"/>
        <v>54299</v>
      </c>
      <c r="H141" s="987">
        <f t="shared" si="15"/>
        <v>1313380.9100000001</v>
      </c>
      <c r="I141" s="987">
        <f t="shared" si="15"/>
        <v>710539.07230999996</v>
      </c>
      <c r="J141" s="987">
        <f t="shared" si="15"/>
        <v>295829</v>
      </c>
      <c r="K141" s="987">
        <f t="shared" si="15"/>
        <v>1728090.9823100001</v>
      </c>
    </row>
    <row r="142" spans="1:11" ht="18" customHeight="1" x14ac:dyDescent="0.3">
      <c r="A142" s="954" t="s">
        <v>142</v>
      </c>
      <c r="B142" s="686" t="s">
        <v>65</v>
      </c>
      <c r="C142" s="670"/>
      <c r="D142" s="670"/>
      <c r="E142" s="670"/>
      <c r="F142" s="987">
        <f t="shared" ref="F142:K142" si="16">F48</f>
        <v>16502.5</v>
      </c>
      <c r="G142" s="987">
        <f t="shared" si="16"/>
        <v>228</v>
      </c>
      <c r="H142" s="987">
        <f t="shared" si="16"/>
        <v>821078.3</v>
      </c>
      <c r="I142" s="987">
        <f t="shared" si="16"/>
        <v>444203.36030000006</v>
      </c>
      <c r="J142" s="987">
        <f t="shared" si="16"/>
        <v>41100</v>
      </c>
      <c r="K142" s="987">
        <f t="shared" si="16"/>
        <v>1224181.6603000001</v>
      </c>
    </row>
    <row r="143" spans="1:11" ht="18" customHeight="1" x14ac:dyDescent="0.3">
      <c r="A143" s="954" t="s">
        <v>144</v>
      </c>
      <c r="B143" s="686" t="s">
        <v>66</v>
      </c>
      <c r="C143" s="670"/>
      <c r="D143" s="670"/>
      <c r="E143" s="670"/>
      <c r="F143" s="987">
        <f t="shared" ref="F143:K143" si="17">F64</f>
        <v>287039.35999999999</v>
      </c>
      <c r="G143" s="987">
        <f t="shared" si="17"/>
        <v>121228</v>
      </c>
      <c r="H143" s="987">
        <f t="shared" si="17"/>
        <v>43872184.509999998</v>
      </c>
      <c r="I143" s="987">
        <f t="shared" si="17"/>
        <v>8028154.1099999994</v>
      </c>
      <c r="J143" s="987">
        <f t="shared" si="17"/>
        <v>22210049</v>
      </c>
      <c r="K143" s="987">
        <f t="shared" si="17"/>
        <v>29690289.620000001</v>
      </c>
    </row>
    <row r="144" spans="1:11" ht="18" customHeight="1" x14ac:dyDescent="0.3">
      <c r="A144" s="954" t="s">
        <v>146</v>
      </c>
      <c r="B144" s="686" t="s">
        <v>67</v>
      </c>
      <c r="C144" s="670"/>
      <c r="D144" s="670"/>
      <c r="E144" s="670"/>
      <c r="F144" s="987">
        <f t="shared" ref="F144:K144" si="18">F74</f>
        <v>20</v>
      </c>
      <c r="G144" s="987">
        <f t="shared" si="18"/>
        <v>0</v>
      </c>
      <c r="H144" s="987">
        <f t="shared" si="18"/>
        <v>2962.81</v>
      </c>
      <c r="I144" s="987">
        <f t="shared" si="18"/>
        <v>0</v>
      </c>
      <c r="J144" s="987">
        <f t="shared" si="18"/>
        <v>0</v>
      </c>
      <c r="K144" s="987">
        <f t="shared" si="18"/>
        <v>2962.81</v>
      </c>
    </row>
    <row r="145" spans="1:11" ht="18" customHeight="1" x14ac:dyDescent="0.3">
      <c r="A145" s="954" t="s">
        <v>148</v>
      </c>
      <c r="B145" s="686" t="s">
        <v>68</v>
      </c>
      <c r="C145" s="670"/>
      <c r="D145" s="670"/>
      <c r="E145" s="670"/>
      <c r="F145" s="987">
        <f t="shared" ref="F145:K145" si="19">F82</f>
        <v>1587</v>
      </c>
      <c r="G145" s="987">
        <f t="shared" si="19"/>
        <v>1680</v>
      </c>
      <c r="H145" s="987">
        <f t="shared" si="19"/>
        <v>253422.27000000002</v>
      </c>
      <c r="I145" s="987">
        <f t="shared" si="19"/>
        <v>0</v>
      </c>
      <c r="J145" s="987">
        <f t="shared" si="19"/>
        <v>0</v>
      </c>
      <c r="K145" s="987">
        <f t="shared" si="19"/>
        <v>253422.27000000002</v>
      </c>
    </row>
    <row r="146" spans="1:11" ht="18" customHeight="1" x14ac:dyDescent="0.3">
      <c r="A146" s="954" t="s">
        <v>150</v>
      </c>
      <c r="B146" s="686" t="s">
        <v>69</v>
      </c>
      <c r="C146" s="670"/>
      <c r="D146" s="670"/>
      <c r="E146" s="670"/>
      <c r="F146" s="987">
        <f t="shared" ref="F146:K146" si="20">F98</f>
        <v>1521</v>
      </c>
      <c r="G146" s="987">
        <f t="shared" si="20"/>
        <v>16</v>
      </c>
      <c r="H146" s="987">
        <f t="shared" si="20"/>
        <v>1381728.5899999999</v>
      </c>
      <c r="I146" s="987">
        <f t="shared" si="20"/>
        <v>747515.16211999999</v>
      </c>
      <c r="J146" s="987">
        <f t="shared" si="20"/>
        <v>0</v>
      </c>
      <c r="K146" s="987">
        <f t="shared" si="20"/>
        <v>2129243.7521199998</v>
      </c>
    </row>
    <row r="147" spans="1:11" ht="18" customHeight="1" x14ac:dyDescent="0.3">
      <c r="A147" s="954" t="s">
        <v>153</v>
      </c>
      <c r="B147" s="686" t="s">
        <v>61</v>
      </c>
      <c r="C147" s="670"/>
      <c r="D147" s="670"/>
      <c r="E147" s="670"/>
      <c r="F147" s="961">
        <f t="shared" ref="F147:K147" si="21">F108</f>
        <v>576</v>
      </c>
      <c r="G147" s="961">
        <f t="shared" si="21"/>
        <v>316</v>
      </c>
      <c r="H147" s="961">
        <f t="shared" si="21"/>
        <v>22501.16</v>
      </c>
      <c r="I147" s="961">
        <f t="shared" si="21"/>
        <v>12173.127560000001</v>
      </c>
      <c r="J147" s="961">
        <f t="shared" si="21"/>
        <v>0</v>
      </c>
      <c r="K147" s="961">
        <f t="shared" si="21"/>
        <v>34674.287559999997</v>
      </c>
    </row>
    <row r="148" spans="1:11" ht="18" customHeight="1" x14ac:dyDescent="0.3">
      <c r="A148" s="954" t="s">
        <v>155</v>
      </c>
      <c r="B148" s="686" t="s">
        <v>70</v>
      </c>
      <c r="C148" s="670"/>
      <c r="D148" s="670"/>
      <c r="E148" s="670"/>
      <c r="F148" s="988"/>
      <c r="G148" s="988"/>
      <c r="H148" s="989"/>
      <c r="I148" s="989"/>
      <c r="J148" s="989"/>
      <c r="K148" s="990">
        <f>F111</f>
        <v>8301400</v>
      </c>
    </row>
    <row r="149" spans="1:11" ht="18" customHeight="1" x14ac:dyDescent="0.3">
      <c r="A149" s="954" t="s">
        <v>163</v>
      </c>
      <c r="B149" s="686" t="s">
        <v>71</v>
      </c>
      <c r="C149" s="670"/>
      <c r="D149" s="670"/>
      <c r="E149" s="670"/>
      <c r="F149" s="961">
        <f t="shared" ref="F149:K149" si="22">F137</f>
        <v>0</v>
      </c>
      <c r="G149" s="961">
        <f t="shared" si="22"/>
        <v>0</v>
      </c>
      <c r="H149" s="961">
        <f t="shared" si="22"/>
        <v>0</v>
      </c>
      <c r="I149" s="961">
        <f t="shared" si="22"/>
        <v>0</v>
      </c>
      <c r="J149" s="961">
        <f t="shared" si="22"/>
        <v>0</v>
      </c>
      <c r="K149" s="961">
        <f t="shared" si="22"/>
        <v>0</v>
      </c>
    </row>
    <row r="150" spans="1:11" ht="18" customHeight="1" x14ac:dyDescent="0.3">
      <c r="A150" s="954" t="s">
        <v>185</v>
      </c>
      <c r="B150" s="686" t="s">
        <v>186</v>
      </c>
      <c r="C150" s="670"/>
      <c r="D150" s="670"/>
      <c r="E150" s="670"/>
      <c r="F150" s="988"/>
      <c r="G150" s="988"/>
      <c r="H150" s="961">
        <f>H18</f>
        <v>9763968</v>
      </c>
      <c r="I150" s="961">
        <f>I18</f>
        <v>0</v>
      </c>
      <c r="J150" s="961">
        <f>J18</f>
        <v>8252480</v>
      </c>
      <c r="K150" s="961">
        <f>K18</f>
        <v>1511488</v>
      </c>
    </row>
    <row r="151" spans="1:11" ht="18" customHeight="1" x14ac:dyDescent="0.3">
      <c r="A151" s="951"/>
      <c r="B151" s="686"/>
      <c r="C151" s="670"/>
      <c r="D151" s="670"/>
      <c r="E151" s="670"/>
      <c r="F151" s="967"/>
      <c r="G151" s="967"/>
      <c r="H151" s="967"/>
      <c r="I151" s="967"/>
      <c r="J151" s="967"/>
      <c r="K151" s="967"/>
    </row>
    <row r="152" spans="1:11" ht="18" customHeight="1" x14ac:dyDescent="0.3">
      <c r="A152" s="955" t="s">
        <v>165</v>
      </c>
      <c r="B152" s="686" t="s">
        <v>26</v>
      </c>
      <c r="C152" s="670"/>
      <c r="D152" s="670"/>
      <c r="E152" s="670"/>
      <c r="F152" s="991">
        <f t="shared" ref="F152:K152" si="23">SUM(F141:F150)</f>
        <v>333678.27999999997</v>
      </c>
      <c r="G152" s="991">
        <f t="shared" si="23"/>
        <v>177767</v>
      </c>
      <c r="H152" s="991">
        <f t="shared" si="23"/>
        <v>57431226.549999997</v>
      </c>
      <c r="I152" s="991">
        <f t="shared" si="23"/>
        <v>9942584.8322899994</v>
      </c>
      <c r="J152" s="991">
        <f t="shared" si="23"/>
        <v>30799458</v>
      </c>
      <c r="K152" s="991">
        <f t="shared" si="23"/>
        <v>44875753.382290006</v>
      </c>
    </row>
    <row r="153" spans="1:11" ht="18" customHeight="1" x14ac:dyDescent="0.25">
      <c r="A153" s="951"/>
      <c r="B153" s="670"/>
      <c r="C153" s="670"/>
      <c r="D153" s="670"/>
      <c r="E153" s="670"/>
      <c r="F153" s="670"/>
      <c r="G153" s="670"/>
      <c r="H153" s="670"/>
      <c r="I153" s="670"/>
      <c r="J153" s="670"/>
      <c r="K153" s="670"/>
    </row>
    <row r="154" spans="1:11" ht="18" customHeight="1" x14ac:dyDescent="0.3">
      <c r="A154" s="955" t="s">
        <v>168</v>
      </c>
      <c r="B154" s="686" t="s">
        <v>28</v>
      </c>
      <c r="C154" s="670"/>
      <c r="D154" s="670"/>
      <c r="E154" s="670"/>
      <c r="F154" s="992">
        <f>K152/F121</f>
        <v>0.10384498774366246</v>
      </c>
      <c r="G154" s="670"/>
      <c r="H154" s="670"/>
      <c r="I154" s="670"/>
      <c r="J154" s="670"/>
      <c r="K154" s="670"/>
    </row>
    <row r="155" spans="1:11" ht="18" customHeight="1" x14ac:dyDescent="0.3">
      <c r="A155" s="955" t="s">
        <v>169</v>
      </c>
      <c r="B155" s="686" t="s">
        <v>72</v>
      </c>
      <c r="C155" s="670"/>
      <c r="D155" s="670"/>
      <c r="E155" s="670"/>
      <c r="F155" s="992">
        <f>K152/F127</f>
        <v>-7.8899565804368237</v>
      </c>
      <c r="G155" s="686"/>
      <c r="H155" s="670"/>
      <c r="I155" s="670"/>
      <c r="J155" s="670"/>
      <c r="K155" s="670"/>
    </row>
  </sheetData>
  <sheetProtection sheet="1" objects="1" scenarios="1"/>
  <mergeCells count="30">
    <mergeCell ref="D2:H2"/>
    <mergeCell ref="B45:D45"/>
    <mergeCell ref="B46:D46"/>
    <mergeCell ref="B47:D47"/>
    <mergeCell ref="B34:D34"/>
    <mergeCell ref="C11:G11"/>
    <mergeCell ref="B41:C41"/>
    <mergeCell ref="B44:D44"/>
    <mergeCell ref="B13:H13"/>
    <mergeCell ref="C5:G5"/>
    <mergeCell ref="C6:G6"/>
    <mergeCell ref="C7:G7"/>
    <mergeCell ref="B31:D31"/>
    <mergeCell ref="C9:G9"/>
    <mergeCell ref="B90:C90"/>
    <mergeCell ref="B94:D94"/>
    <mergeCell ref="B49:C49"/>
    <mergeCell ref="B50:D50"/>
    <mergeCell ref="C10:G10"/>
    <mergeCell ref="B30:D30"/>
    <mergeCell ref="B63:D63"/>
    <mergeCell ref="B135:D135"/>
    <mergeCell ref="B95:D95"/>
    <mergeCell ref="B96:D96"/>
    <mergeCell ref="B103:C103"/>
    <mergeCell ref="B104:D104"/>
    <mergeCell ref="B105:D105"/>
    <mergeCell ref="B106:D106"/>
    <mergeCell ref="B133:D133"/>
    <mergeCell ref="B134:D134"/>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64" max="16383" man="1"/>
    <brk id="99" max="16383" man="1"/>
    <brk id="128" max="16383"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0"/>
    <pageSetUpPr fitToPage="1"/>
  </sheetPr>
  <dimension ref="A1:R155"/>
  <sheetViews>
    <sheetView showGridLines="0" zoomScale="75" zoomScaleNormal="75" zoomScaleSheetLayoutView="85" workbookViewId="0">
      <selection activeCell="A2" sqref="A2"/>
    </sheetView>
  </sheetViews>
  <sheetFormatPr defaultRowHeight="18" customHeight="1" x14ac:dyDescent="0.25"/>
  <cols>
    <col min="1" max="1" width="8.26953125" style="2" customWidth="1"/>
    <col min="2" max="2" width="55.453125" bestFit="1" customWidth="1"/>
    <col min="3" max="3" width="9.54296875" customWidth="1"/>
    <col min="5" max="5" width="12.453125" customWidth="1"/>
    <col min="6" max="6" width="18.54296875" customWidth="1"/>
    <col min="7" max="7" width="23.54296875" customWidth="1"/>
    <col min="8" max="8" width="17.26953125" customWidth="1"/>
    <col min="9" max="9" width="21.26953125" customWidth="1"/>
    <col min="10" max="10" width="19.7265625" customWidth="1"/>
    <col min="11" max="11" width="17.54296875" customWidth="1"/>
    <col min="12" max="12" width="2.54296875" customWidth="1"/>
    <col min="13" max="13" width="15.453125" bestFit="1" customWidth="1"/>
    <col min="14" max="14" width="11.26953125" style="122" bestFit="1" customWidth="1"/>
  </cols>
  <sheetData>
    <row r="1" spans="1:18" ht="18" customHeight="1" x14ac:dyDescent="0.3">
      <c r="A1" s="1012"/>
      <c r="B1" s="342"/>
      <c r="C1" s="1013"/>
      <c r="D1" s="1014"/>
      <c r="E1" s="1013"/>
      <c r="F1" s="1013"/>
      <c r="G1" s="1013"/>
      <c r="H1" s="1013"/>
      <c r="I1" s="1013"/>
      <c r="J1" s="1013"/>
      <c r="K1" s="1013"/>
      <c r="L1" s="311"/>
      <c r="M1" s="311"/>
      <c r="N1" s="311"/>
      <c r="O1" s="277"/>
      <c r="P1" s="277"/>
      <c r="Q1" s="277"/>
      <c r="R1" s="277"/>
    </row>
    <row r="2" spans="1:18" ht="18" customHeight="1" x14ac:dyDescent="0.35">
      <c r="A2" s="1012"/>
      <c r="B2" s="342"/>
      <c r="C2" s="342"/>
      <c r="D2" s="1505" t="s">
        <v>730</v>
      </c>
      <c r="E2" s="1506"/>
      <c r="F2" s="1506"/>
      <c r="G2" s="1506"/>
      <c r="H2" s="1506"/>
      <c r="I2" s="342"/>
      <c r="J2" s="342"/>
      <c r="K2" s="342"/>
      <c r="L2" s="311"/>
      <c r="M2" s="311"/>
      <c r="N2" s="311"/>
      <c r="O2" s="277"/>
      <c r="P2" s="277"/>
      <c r="Q2" s="277"/>
      <c r="R2" s="277"/>
    </row>
    <row r="3" spans="1:18" ht="18" customHeight="1" x14ac:dyDescent="0.3">
      <c r="A3" s="1012"/>
      <c r="B3" s="368" t="s">
        <v>0</v>
      </c>
      <c r="C3" s="342"/>
      <c r="D3" s="342"/>
      <c r="E3" s="342"/>
      <c r="F3" s="342"/>
      <c r="G3" s="342"/>
      <c r="H3" s="342"/>
      <c r="I3" s="342"/>
      <c r="J3" s="342"/>
      <c r="K3" s="342"/>
      <c r="L3" s="311"/>
      <c r="M3" s="311"/>
      <c r="N3" s="311"/>
      <c r="O3" s="277"/>
      <c r="P3" s="277"/>
      <c r="Q3" s="277"/>
      <c r="R3" s="277"/>
    </row>
    <row r="4" spans="1:18" ht="18" customHeight="1" x14ac:dyDescent="0.25">
      <c r="A4" s="1012"/>
      <c r="B4" s="342"/>
      <c r="C4" s="342"/>
      <c r="D4" s="342"/>
      <c r="E4" s="342"/>
      <c r="F4" s="342"/>
      <c r="G4" s="342"/>
      <c r="H4" s="342"/>
      <c r="I4" s="342"/>
      <c r="J4" s="342"/>
      <c r="K4" s="342"/>
      <c r="L4" s="277"/>
      <c r="M4" s="277"/>
      <c r="O4" s="277"/>
      <c r="P4" s="277"/>
      <c r="Q4" s="277"/>
      <c r="R4" s="277"/>
    </row>
    <row r="5" spans="1:18" ht="18" customHeight="1" x14ac:dyDescent="0.35">
      <c r="A5" s="1012"/>
      <c r="B5" s="1015" t="s">
        <v>40</v>
      </c>
      <c r="C5" s="1508" t="s">
        <v>249</v>
      </c>
      <c r="D5" s="1509"/>
      <c r="E5" s="1509"/>
      <c r="F5" s="1509"/>
      <c r="G5" s="1510"/>
      <c r="H5" s="1000"/>
      <c r="I5" s="1016"/>
      <c r="J5" s="1016"/>
      <c r="K5" s="1016"/>
      <c r="L5" s="311"/>
      <c r="M5" s="311"/>
      <c r="N5" s="311"/>
      <c r="O5" s="277"/>
      <c r="P5" s="277"/>
      <c r="Q5" s="277"/>
      <c r="R5" s="277"/>
    </row>
    <row r="6" spans="1:18" ht="18" customHeight="1" x14ac:dyDescent="0.35">
      <c r="A6" s="1012"/>
      <c r="B6" s="1015" t="s">
        <v>3</v>
      </c>
      <c r="C6" s="1511" t="s">
        <v>448</v>
      </c>
      <c r="D6" s="1512"/>
      <c r="E6" s="1512"/>
      <c r="F6" s="1512"/>
      <c r="G6" s="1513"/>
      <c r="H6" s="1000"/>
      <c r="I6" s="1016"/>
      <c r="J6" s="1016"/>
      <c r="K6" s="1016"/>
      <c r="L6" s="311"/>
      <c r="M6" s="311"/>
      <c r="N6" s="311"/>
      <c r="O6" s="277"/>
      <c r="P6" s="277"/>
      <c r="Q6" s="277"/>
      <c r="R6" s="277"/>
    </row>
    <row r="7" spans="1:18" ht="18" customHeight="1" x14ac:dyDescent="0.35">
      <c r="A7" s="1012"/>
      <c r="B7" s="1015" t="s">
        <v>4</v>
      </c>
      <c r="C7" s="1514">
        <v>1786</v>
      </c>
      <c r="D7" s="1515"/>
      <c r="E7" s="1515"/>
      <c r="F7" s="1515"/>
      <c r="G7" s="1516"/>
      <c r="H7" s="1000"/>
      <c r="I7" s="1016"/>
      <c r="J7" s="1016"/>
      <c r="K7" s="1016"/>
      <c r="L7" s="311"/>
      <c r="M7" s="312"/>
      <c r="N7" s="320"/>
      <c r="O7" s="277"/>
      <c r="P7" s="277"/>
      <c r="Q7" s="277"/>
      <c r="R7" s="277"/>
    </row>
    <row r="8" spans="1:18" ht="18" customHeight="1" x14ac:dyDescent="0.35">
      <c r="A8" s="1012"/>
      <c r="B8" s="1000"/>
      <c r="C8" s="1000"/>
      <c r="D8" s="1000"/>
      <c r="E8" s="1000"/>
      <c r="F8" s="1000"/>
      <c r="G8" s="1000"/>
      <c r="H8" s="1000"/>
      <c r="I8" s="1016"/>
      <c r="J8" s="1016"/>
      <c r="K8" s="1016"/>
      <c r="L8" s="311"/>
      <c r="M8" s="311"/>
      <c r="N8" s="311"/>
      <c r="O8" s="277"/>
      <c r="P8" s="277"/>
      <c r="Q8" s="277"/>
      <c r="R8" s="277"/>
    </row>
    <row r="9" spans="1:18" ht="18" customHeight="1" x14ac:dyDescent="0.35">
      <c r="A9" s="1012"/>
      <c r="B9" s="1015" t="s">
        <v>1</v>
      </c>
      <c r="C9" s="1508" t="s">
        <v>449</v>
      </c>
      <c r="D9" s="1509"/>
      <c r="E9" s="1509"/>
      <c r="F9" s="1509"/>
      <c r="G9" s="1510"/>
      <c r="H9" s="1000"/>
      <c r="I9" s="1016"/>
      <c r="J9" s="1016"/>
      <c r="K9" s="1016"/>
      <c r="L9" s="311"/>
      <c r="M9" s="311"/>
      <c r="N9" s="311"/>
      <c r="O9" s="277"/>
      <c r="P9" s="277"/>
      <c r="Q9" s="277"/>
      <c r="R9" s="277"/>
    </row>
    <row r="10" spans="1:18" ht="18" customHeight="1" x14ac:dyDescent="0.35">
      <c r="A10" s="1012"/>
      <c r="B10" s="1015" t="s">
        <v>2</v>
      </c>
      <c r="C10" s="1517" t="s">
        <v>450</v>
      </c>
      <c r="D10" s="1518"/>
      <c r="E10" s="1518"/>
      <c r="F10" s="1518"/>
      <c r="G10" s="1519"/>
      <c r="H10" s="1000"/>
      <c r="I10" s="1016"/>
      <c r="J10" s="1016"/>
      <c r="K10" s="1016"/>
      <c r="L10" s="311"/>
      <c r="M10" s="311"/>
      <c r="N10" s="311"/>
      <c r="O10" s="277"/>
      <c r="P10" s="277"/>
      <c r="Q10" s="277"/>
      <c r="R10" s="277"/>
    </row>
    <row r="11" spans="1:18" ht="18" customHeight="1" x14ac:dyDescent="0.35">
      <c r="A11" s="1012"/>
      <c r="B11" s="1015" t="s">
        <v>32</v>
      </c>
      <c r="C11" s="1507" t="s">
        <v>756</v>
      </c>
      <c r="D11" s="1507"/>
      <c r="E11" s="1507"/>
      <c r="F11" s="1507"/>
      <c r="G11" s="1507"/>
      <c r="H11" s="1000"/>
      <c r="I11" s="1016"/>
      <c r="J11" s="1016"/>
      <c r="K11" s="1016"/>
      <c r="L11" s="311"/>
      <c r="M11" s="311"/>
      <c r="N11" s="311"/>
      <c r="O11" s="277"/>
      <c r="P11" s="277"/>
      <c r="Q11" s="277"/>
      <c r="R11" s="277"/>
    </row>
    <row r="12" spans="1:18" ht="18" customHeight="1" x14ac:dyDescent="0.35">
      <c r="A12" s="1012"/>
      <c r="B12" s="1015"/>
      <c r="C12" s="1015"/>
      <c r="D12" s="1015"/>
      <c r="E12" s="1015"/>
      <c r="F12" s="1015"/>
      <c r="G12" s="1015"/>
      <c r="H12" s="1000"/>
      <c r="I12" s="1016"/>
      <c r="J12" s="1016"/>
      <c r="K12" s="1016"/>
      <c r="L12" s="311"/>
      <c r="M12" s="311"/>
      <c r="N12" s="311"/>
      <c r="O12" s="277"/>
      <c r="P12" s="277"/>
      <c r="Q12" s="277"/>
      <c r="R12" s="277"/>
    </row>
    <row r="13" spans="1:18" ht="24.65" customHeight="1" x14ac:dyDescent="0.35">
      <c r="A13" s="1012"/>
      <c r="B13" s="1015"/>
      <c r="C13" s="1015"/>
      <c r="D13" s="1015"/>
      <c r="E13" s="1015"/>
      <c r="F13" s="1015"/>
      <c r="G13" s="1015"/>
      <c r="H13" s="1000"/>
      <c r="I13" s="1016"/>
      <c r="J13" s="1016"/>
      <c r="K13" s="1016"/>
      <c r="L13" s="311"/>
      <c r="M13" s="311"/>
      <c r="N13" s="311"/>
      <c r="O13" s="277"/>
      <c r="P13" s="277"/>
      <c r="Q13" s="277"/>
      <c r="R13" s="277"/>
    </row>
    <row r="14" spans="1:18" ht="18" customHeight="1" x14ac:dyDescent="0.35">
      <c r="A14" s="1012"/>
      <c r="B14" s="1015"/>
      <c r="C14" s="1015"/>
      <c r="D14" s="1015"/>
      <c r="E14" s="1015"/>
      <c r="F14" s="1015"/>
      <c r="G14" s="1015"/>
      <c r="H14" s="1000"/>
      <c r="I14" s="1016"/>
      <c r="J14" s="1016"/>
      <c r="K14" s="1016"/>
      <c r="L14" s="311"/>
      <c r="M14" s="311"/>
      <c r="N14" s="311"/>
      <c r="O14" s="277"/>
      <c r="P14" s="277"/>
      <c r="Q14" s="277"/>
      <c r="R14" s="277"/>
    </row>
    <row r="15" spans="1:18" ht="45" customHeight="1" x14ac:dyDescent="0.3">
      <c r="A15" s="1014"/>
      <c r="B15" s="1017"/>
      <c r="C15" s="1017"/>
      <c r="D15" s="1017"/>
      <c r="E15" s="1017"/>
      <c r="F15" s="997" t="s">
        <v>9</v>
      </c>
      <c r="G15" s="997" t="s">
        <v>37</v>
      </c>
      <c r="H15" s="997" t="s">
        <v>29</v>
      </c>
      <c r="I15" s="997" t="s">
        <v>30</v>
      </c>
      <c r="J15" s="997" t="s">
        <v>33</v>
      </c>
      <c r="K15" s="997" t="s">
        <v>34</v>
      </c>
      <c r="L15" s="311"/>
      <c r="M15" s="311"/>
      <c r="N15" s="311"/>
      <c r="O15" s="277"/>
      <c r="P15" s="277"/>
      <c r="Q15" s="277"/>
      <c r="R15" s="277"/>
    </row>
    <row r="16" spans="1:18" ht="18" customHeight="1" x14ac:dyDescent="0.3">
      <c r="A16" s="1014" t="s">
        <v>181</v>
      </c>
      <c r="B16" s="1017"/>
      <c r="C16" s="1017"/>
      <c r="D16" s="1017"/>
      <c r="E16" s="1017"/>
      <c r="F16" s="997"/>
      <c r="G16" s="997"/>
      <c r="H16" s="997"/>
      <c r="I16" s="997"/>
      <c r="J16" s="997"/>
      <c r="K16" s="997"/>
      <c r="L16" s="311"/>
      <c r="M16" s="311"/>
      <c r="N16" s="311"/>
      <c r="O16" s="277"/>
      <c r="P16" s="277"/>
      <c r="Q16" s="277"/>
      <c r="R16" s="277"/>
    </row>
    <row r="17" spans="1:18" ht="18" customHeight="1" x14ac:dyDescent="0.3">
      <c r="A17" s="1018" t="s">
        <v>184</v>
      </c>
      <c r="B17" s="1006" t="s">
        <v>182</v>
      </c>
      <c r="C17" s="1000"/>
      <c r="D17" s="1000"/>
      <c r="E17" s="1000"/>
      <c r="F17" s="1000"/>
      <c r="G17" s="1000"/>
      <c r="H17" s="1000"/>
      <c r="I17" s="1000"/>
      <c r="J17" s="1000"/>
      <c r="K17" s="1000"/>
      <c r="L17" s="311"/>
      <c r="M17" s="311"/>
      <c r="N17" s="311"/>
      <c r="O17" s="277"/>
      <c r="P17" s="277"/>
      <c r="Q17" s="277"/>
      <c r="R17" s="277"/>
    </row>
    <row r="18" spans="1:18" ht="13" x14ac:dyDescent="0.3">
      <c r="A18" s="1019" t="s">
        <v>185</v>
      </c>
      <c r="B18" s="1000" t="s">
        <v>183</v>
      </c>
      <c r="C18" s="1000"/>
      <c r="D18" s="1000"/>
      <c r="E18" s="1000"/>
      <c r="F18" s="1020" t="s">
        <v>73</v>
      </c>
      <c r="G18" s="1020" t="s">
        <v>73</v>
      </c>
      <c r="H18" s="1021">
        <v>6725147.5659900326</v>
      </c>
      <c r="I18" s="1022">
        <v>0</v>
      </c>
      <c r="J18" s="1021">
        <v>5684076.7681561802</v>
      </c>
      <c r="K18" s="1023">
        <v>1041070.7978338525</v>
      </c>
      <c r="L18" s="311"/>
      <c r="M18" s="435"/>
      <c r="N18" s="311"/>
      <c r="O18" s="277"/>
      <c r="P18" s="277"/>
      <c r="Q18" s="277"/>
      <c r="R18" s="277"/>
    </row>
    <row r="19" spans="1:18" ht="26" x14ac:dyDescent="0.3">
      <c r="A19" s="1014" t="s">
        <v>8</v>
      </c>
      <c r="B19" s="1017"/>
      <c r="C19" s="1017"/>
      <c r="D19" s="1017"/>
      <c r="E19" s="1017"/>
      <c r="F19" s="997" t="s">
        <v>9</v>
      </c>
      <c r="G19" s="997" t="s">
        <v>37</v>
      </c>
      <c r="H19" s="998" t="s">
        <v>29</v>
      </c>
      <c r="I19" s="998" t="s">
        <v>30</v>
      </c>
      <c r="J19" s="997" t="s">
        <v>33</v>
      </c>
      <c r="K19" s="999" t="s">
        <v>34</v>
      </c>
      <c r="L19" s="311"/>
      <c r="M19" s="311"/>
      <c r="N19" s="311"/>
      <c r="O19" s="277"/>
      <c r="P19" s="277"/>
      <c r="Q19" s="277"/>
      <c r="R19" s="277"/>
    </row>
    <row r="20" spans="1:18" ht="18" customHeight="1" x14ac:dyDescent="0.3">
      <c r="A20" s="1018" t="s">
        <v>74</v>
      </c>
      <c r="B20" s="1006" t="s">
        <v>41</v>
      </c>
      <c r="C20" s="1000"/>
      <c r="D20" s="1000"/>
      <c r="E20" s="1000"/>
      <c r="F20" s="1000"/>
      <c r="G20" s="1000"/>
      <c r="H20" s="1024"/>
      <c r="I20" s="1003"/>
      <c r="J20" s="1000"/>
      <c r="K20" s="1005"/>
      <c r="L20" s="311"/>
      <c r="M20" s="311"/>
      <c r="N20" s="311"/>
      <c r="O20" s="277"/>
      <c r="P20" s="277"/>
      <c r="Q20" s="277"/>
      <c r="R20" s="277"/>
    </row>
    <row r="21" spans="1:18" ht="13" x14ac:dyDescent="0.3">
      <c r="A21" s="1019" t="s">
        <v>75</v>
      </c>
      <c r="B21" s="1000" t="s">
        <v>42</v>
      </c>
      <c r="C21" s="1000"/>
      <c r="D21" s="1000"/>
      <c r="E21" s="1000"/>
      <c r="F21" s="1020">
        <v>5225.079285714286</v>
      </c>
      <c r="G21" s="1020">
        <v>28991.5</v>
      </c>
      <c r="H21" s="1025">
        <v>376409</v>
      </c>
      <c r="I21" s="1025">
        <v>186880.22325042062</v>
      </c>
      <c r="J21" s="1025">
        <v>89826</v>
      </c>
      <c r="K21" s="1026">
        <v>473463.22325042065</v>
      </c>
      <c r="L21" s="317"/>
      <c r="M21" s="319"/>
      <c r="N21" s="311"/>
      <c r="O21" s="277"/>
      <c r="P21" s="277"/>
      <c r="Q21" s="277"/>
      <c r="R21" s="277"/>
    </row>
    <row r="22" spans="1:18" ht="18" customHeight="1" x14ac:dyDescent="0.3">
      <c r="A22" s="1019" t="s">
        <v>76</v>
      </c>
      <c r="B22" s="1000" t="s">
        <v>6</v>
      </c>
      <c r="C22" s="1000"/>
      <c r="D22" s="1000"/>
      <c r="E22" s="1000"/>
      <c r="F22" s="1020">
        <v>1119.6492857142857</v>
      </c>
      <c r="G22" s="1020">
        <v>3274.75</v>
      </c>
      <c r="H22" s="1025">
        <v>38673</v>
      </c>
      <c r="I22" s="1025">
        <v>19200.441205612824</v>
      </c>
      <c r="J22" s="1025">
        <v>2212</v>
      </c>
      <c r="K22" s="1026">
        <v>55661.44120561282</v>
      </c>
      <c r="L22" s="317"/>
      <c r="M22" s="317"/>
      <c r="N22" s="311"/>
      <c r="O22" s="277"/>
      <c r="P22" s="277"/>
      <c r="Q22" s="277"/>
      <c r="R22" s="277"/>
    </row>
    <row r="23" spans="1:18" ht="18" customHeight="1" x14ac:dyDescent="0.3">
      <c r="A23" s="1019" t="s">
        <v>77</v>
      </c>
      <c r="B23" s="1000" t="s">
        <v>43</v>
      </c>
      <c r="C23" s="1000"/>
      <c r="D23" s="1000"/>
      <c r="E23" s="1000"/>
      <c r="F23" s="1020">
        <v>988.88571428571436</v>
      </c>
      <c r="G23" s="1020">
        <v>28537</v>
      </c>
      <c r="H23" s="1025">
        <v>75095</v>
      </c>
      <c r="I23" s="1025">
        <v>37283.301847167146</v>
      </c>
      <c r="J23" s="1025">
        <v>2949</v>
      </c>
      <c r="K23" s="1026">
        <v>109429.30184716714</v>
      </c>
      <c r="L23" s="317"/>
      <c r="M23" s="317"/>
      <c r="N23" s="311"/>
      <c r="O23" s="277"/>
      <c r="P23" s="277"/>
      <c r="Q23" s="277"/>
      <c r="R23" s="277"/>
    </row>
    <row r="24" spans="1:18" ht="18" customHeight="1" x14ac:dyDescent="0.3">
      <c r="A24" s="1019" t="s">
        <v>78</v>
      </c>
      <c r="B24" s="1000" t="s">
        <v>44</v>
      </c>
      <c r="C24" s="1000"/>
      <c r="D24" s="1000"/>
      <c r="E24" s="1000"/>
      <c r="F24" s="1020">
        <v>3650</v>
      </c>
      <c r="G24" s="1020">
        <v>0</v>
      </c>
      <c r="H24" s="1025">
        <v>254696</v>
      </c>
      <c r="I24" s="1025">
        <v>126451.93218278291</v>
      </c>
      <c r="J24" s="1025">
        <v>88351</v>
      </c>
      <c r="K24" s="1026">
        <v>292796.93218278291</v>
      </c>
      <c r="L24" s="317"/>
      <c r="M24" s="317"/>
      <c r="N24" s="311"/>
      <c r="O24" s="277"/>
      <c r="P24" s="277"/>
      <c r="Q24" s="277"/>
      <c r="R24" s="277"/>
    </row>
    <row r="25" spans="1:18" ht="18" customHeight="1" x14ac:dyDescent="0.3">
      <c r="A25" s="1019" t="s">
        <v>79</v>
      </c>
      <c r="B25" s="1000" t="s">
        <v>5</v>
      </c>
      <c r="C25" s="1000"/>
      <c r="D25" s="1000"/>
      <c r="E25" s="1000"/>
      <c r="F25" s="1020">
        <v>49</v>
      </c>
      <c r="G25" s="1020">
        <v>2743</v>
      </c>
      <c r="H25" s="1025">
        <v>3257</v>
      </c>
      <c r="I25" s="1025">
        <v>1617.0412692752298</v>
      </c>
      <c r="J25" s="1025">
        <v>0</v>
      </c>
      <c r="K25" s="1026">
        <v>4874.0412692752298</v>
      </c>
      <c r="L25" s="317"/>
      <c r="M25" s="317"/>
      <c r="N25" s="311"/>
      <c r="O25" s="277"/>
      <c r="P25" s="277"/>
      <c r="Q25" s="277"/>
      <c r="R25" s="277"/>
    </row>
    <row r="26" spans="1:18" ht="18" customHeight="1" x14ac:dyDescent="0.3">
      <c r="A26" s="1019" t="s">
        <v>80</v>
      </c>
      <c r="B26" s="1000" t="s">
        <v>45</v>
      </c>
      <c r="C26" s="1000"/>
      <c r="D26" s="1000"/>
      <c r="E26" s="1000"/>
      <c r="F26" s="1020">
        <v>247.24642857142857</v>
      </c>
      <c r="G26" s="1020">
        <v>954.25</v>
      </c>
      <c r="H26" s="1025">
        <v>5628</v>
      </c>
      <c r="I26" s="1025">
        <v>2794.1996510534213</v>
      </c>
      <c r="J26" s="1025">
        <v>737</v>
      </c>
      <c r="K26" s="1026">
        <v>7685.1996510534209</v>
      </c>
      <c r="L26" s="317"/>
      <c r="M26" s="317"/>
      <c r="N26" s="311"/>
      <c r="O26" s="277"/>
      <c r="P26" s="277"/>
      <c r="Q26" s="277"/>
      <c r="R26" s="277"/>
    </row>
    <row r="27" spans="1:18" ht="18" customHeight="1" x14ac:dyDescent="0.3">
      <c r="A27" s="1019" t="s">
        <v>81</v>
      </c>
      <c r="B27" s="1000" t="s">
        <v>46</v>
      </c>
      <c r="C27" s="1000"/>
      <c r="D27" s="1000"/>
      <c r="E27" s="1000"/>
      <c r="F27" s="1020">
        <v>2402.2400000000002</v>
      </c>
      <c r="G27" s="1020">
        <v>6872.3</v>
      </c>
      <c r="H27" s="1025">
        <v>344473</v>
      </c>
      <c r="I27" s="1025">
        <v>171024.58002795401</v>
      </c>
      <c r="J27" s="1025">
        <v>2064</v>
      </c>
      <c r="K27" s="1026">
        <v>513433.58002795401</v>
      </c>
      <c r="L27" s="317"/>
      <c r="M27" s="317"/>
      <c r="N27" s="311"/>
      <c r="O27" s="277"/>
      <c r="P27" s="277"/>
      <c r="Q27" s="277"/>
      <c r="R27" s="277"/>
    </row>
    <row r="28" spans="1:18" ht="18" customHeight="1" x14ac:dyDescent="0.3">
      <c r="A28" s="1019" t="s">
        <v>82</v>
      </c>
      <c r="B28" s="1000" t="s">
        <v>47</v>
      </c>
      <c r="C28" s="1000"/>
      <c r="D28" s="1000"/>
      <c r="E28" s="1000"/>
      <c r="F28" s="1020">
        <v>0</v>
      </c>
      <c r="G28" s="1020">
        <v>0</v>
      </c>
      <c r="H28" s="1025">
        <v>0</v>
      </c>
      <c r="I28" s="1025">
        <v>0</v>
      </c>
      <c r="J28" s="1025">
        <v>0</v>
      </c>
      <c r="K28" s="1026">
        <v>0</v>
      </c>
      <c r="L28" s="317"/>
      <c r="M28" s="317"/>
      <c r="N28" s="311"/>
      <c r="O28" s="277"/>
      <c r="P28" s="277"/>
      <c r="Q28" s="277"/>
      <c r="R28" s="277"/>
    </row>
    <row r="29" spans="1:18" ht="18" customHeight="1" x14ac:dyDescent="0.3">
      <c r="A29" s="1019" t="s">
        <v>83</v>
      </c>
      <c r="B29" s="1000" t="s">
        <v>48</v>
      </c>
      <c r="C29" s="1000"/>
      <c r="D29" s="1000"/>
      <c r="E29" s="1000"/>
      <c r="F29" s="1020">
        <v>25330.5</v>
      </c>
      <c r="G29" s="1020">
        <v>3831</v>
      </c>
      <c r="H29" s="1025">
        <v>1387133</v>
      </c>
      <c r="I29" s="1025">
        <v>688686.30855804647</v>
      </c>
      <c r="J29" s="1025">
        <v>0</v>
      </c>
      <c r="K29" s="1026">
        <v>2075819.3085580464</v>
      </c>
      <c r="L29" s="317"/>
      <c r="M29" s="317"/>
      <c r="N29" s="311"/>
      <c r="O29" s="277"/>
      <c r="P29" s="277"/>
      <c r="Q29" s="277"/>
      <c r="R29" s="277"/>
    </row>
    <row r="30" spans="1:18" ht="18" customHeight="1" x14ac:dyDescent="0.3">
      <c r="A30" s="1019" t="s">
        <v>84</v>
      </c>
      <c r="B30" s="1501" t="s">
        <v>451</v>
      </c>
      <c r="C30" s="1501"/>
      <c r="D30" s="1501"/>
      <c r="E30" s="1000"/>
      <c r="F30" s="1020">
        <v>0</v>
      </c>
      <c r="G30" s="1020">
        <v>0</v>
      </c>
      <c r="H30" s="1025">
        <v>0</v>
      </c>
      <c r="I30" s="1025">
        <v>0</v>
      </c>
      <c r="J30" s="1025">
        <v>0</v>
      </c>
      <c r="K30" s="1026">
        <v>0</v>
      </c>
      <c r="L30" s="317"/>
      <c r="M30" s="317"/>
      <c r="N30" s="311"/>
      <c r="O30" s="277"/>
      <c r="P30" s="277"/>
      <c r="Q30" s="277"/>
      <c r="R30" s="277"/>
    </row>
    <row r="31" spans="1:18" s="742" customFormat="1" ht="18" customHeight="1" x14ac:dyDescent="0.3">
      <c r="A31" s="1019"/>
      <c r="B31" s="1218"/>
      <c r="C31" s="1218"/>
      <c r="D31" s="1218"/>
      <c r="E31" s="1000"/>
      <c r="F31" s="1048"/>
      <c r="G31" s="1048"/>
      <c r="H31" s="1220"/>
      <c r="I31" s="1220"/>
      <c r="J31" s="1220"/>
      <c r="K31" s="1221"/>
      <c r="L31" s="735"/>
      <c r="M31" s="735"/>
    </row>
    <row r="32" spans="1:18" s="742" customFormat="1" ht="18" customHeight="1" x14ac:dyDescent="0.3">
      <c r="A32" s="1019"/>
      <c r="B32" s="1218"/>
      <c r="C32" s="1218"/>
      <c r="D32" s="1218"/>
      <c r="E32" s="1000"/>
      <c r="F32" s="1048"/>
      <c r="G32" s="1048"/>
      <c r="H32" s="1220"/>
      <c r="I32" s="1220"/>
      <c r="J32" s="1220"/>
      <c r="K32" s="1221"/>
      <c r="L32" s="735"/>
      <c r="M32" s="735"/>
    </row>
    <row r="33" spans="1:18" s="742" customFormat="1" ht="18" customHeight="1" x14ac:dyDescent="0.3">
      <c r="A33" s="1019"/>
      <c r="B33" s="1218"/>
      <c r="C33" s="1218"/>
      <c r="D33" s="1218"/>
      <c r="E33" s="1000"/>
      <c r="F33" s="1048"/>
      <c r="G33" s="1048"/>
      <c r="H33" s="1220"/>
      <c r="I33" s="1220"/>
      <c r="J33" s="1220"/>
      <c r="K33" s="1221"/>
      <c r="L33" s="735"/>
      <c r="M33" s="735"/>
    </row>
    <row r="34" spans="1:18" s="742" customFormat="1" ht="18" customHeight="1" x14ac:dyDescent="0.3">
      <c r="A34" s="1019"/>
      <c r="B34" s="1218"/>
      <c r="C34" s="1218"/>
      <c r="D34" s="1218"/>
      <c r="E34" s="1000"/>
      <c r="F34" s="1048"/>
      <c r="G34" s="1048"/>
      <c r="H34" s="1220"/>
      <c r="I34" s="1220"/>
      <c r="J34" s="1220"/>
      <c r="K34" s="1221"/>
      <c r="L34" s="735"/>
      <c r="M34" s="735"/>
    </row>
    <row r="35" spans="1:18" s="742" customFormat="1" ht="18" customHeight="1" x14ac:dyDescent="0.25">
      <c r="A35" s="1012"/>
      <c r="B35" s="1000"/>
      <c r="C35" s="1000"/>
      <c r="D35" s="1000"/>
      <c r="E35" s="1000"/>
      <c r="F35" s="1000"/>
      <c r="G35" s="1000"/>
      <c r="H35" s="1003"/>
      <c r="I35" s="1003"/>
      <c r="J35" s="1000"/>
      <c r="K35" s="993"/>
      <c r="L35" s="735"/>
      <c r="M35" s="735"/>
      <c r="N35" s="321"/>
    </row>
    <row r="36" spans="1:18" ht="42.75" customHeight="1" x14ac:dyDescent="0.3">
      <c r="A36" s="1018" t="s">
        <v>137</v>
      </c>
      <c r="B36" s="1006" t="s">
        <v>138</v>
      </c>
      <c r="C36" s="1000"/>
      <c r="D36" s="1000"/>
      <c r="E36" s="1006" t="s">
        <v>7</v>
      </c>
      <c r="F36" s="1027">
        <f>SUM(F21:F34)</f>
        <v>39012.600714285712</v>
      </c>
      <c r="G36" s="1027">
        <f t="shared" ref="G36:J36" si="0">SUM(G21:G34)</f>
        <v>75203.8</v>
      </c>
      <c r="H36" s="1027">
        <f t="shared" si="0"/>
        <v>2485364</v>
      </c>
      <c r="I36" s="1027">
        <f t="shared" si="0"/>
        <v>1233938.0279923128</v>
      </c>
      <c r="J36" s="1027">
        <f t="shared" si="0"/>
        <v>186139</v>
      </c>
      <c r="K36" s="1023">
        <f>SUM(K21:K30)</f>
        <v>3533163.0279923128</v>
      </c>
      <c r="L36" s="311"/>
      <c r="M36" s="311"/>
      <c r="O36" s="277"/>
      <c r="P36" s="277"/>
      <c r="Q36" s="277"/>
      <c r="R36" s="277"/>
    </row>
    <row r="37" spans="1:18" ht="18.75" customHeight="1" x14ac:dyDescent="0.3">
      <c r="A37" s="1012"/>
      <c r="B37" s="1006"/>
      <c r="C37" s="1000"/>
      <c r="D37" s="1000"/>
      <c r="E37" s="1000"/>
      <c r="F37" s="994"/>
      <c r="G37" s="994"/>
      <c r="H37" s="995"/>
      <c r="I37" s="995"/>
      <c r="J37" s="995"/>
      <c r="K37" s="996"/>
      <c r="L37" s="314"/>
      <c r="M37" s="311"/>
      <c r="O37" s="277"/>
      <c r="P37" s="277"/>
      <c r="Q37" s="277"/>
      <c r="R37" s="277"/>
    </row>
    <row r="38" spans="1:18" ht="18" customHeight="1" x14ac:dyDescent="0.3">
      <c r="A38" s="1012"/>
      <c r="B38" s="1000"/>
      <c r="C38" s="1000"/>
      <c r="D38" s="1000"/>
      <c r="E38" s="1000"/>
      <c r="F38" s="997" t="s">
        <v>9</v>
      </c>
      <c r="G38" s="997" t="s">
        <v>37</v>
      </c>
      <c r="H38" s="998" t="s">
        <v>29</v>
      </c>
      <c r="I38" s="998" t="s">
        <v>30</v>
      </c>
      <c r="J38" s="998" t="s">
        <v>33</v>
      </c>
      <c r="K38" s="999" t="s">
        <v>34</v>
      </c>
      <c r="L38" s="311"/>
      <c r="M38" s="311"/>
      <c r="O38" s="277"/>
      <c r="P38" s="277"/>
      <c r="Q38" s="277"/>
      <c r="R38" s="277"/>
    </row>
    <row r="39" spans="1:18" ht="18" customHeight="1" x14ac:dyDescent="0.3">
      <c r="A39" s="1018" t="s">
        <v>86</v>
      </c>
      <c r="B39" s="1006" t="s">
        <v>49</v>
      </c>
      <c r="C39" s="1000"/>
      <c r="D39" s="1000"/>
      <c r="E39" s="1000"/>
      <c r="F39" s="1000"/>
      <c r="G39" s="1000"/>
      <c r="H39" s="1003"/>
      <c r="I39" s="1003"/>
      <c r="J39" s="1003"/>
      <c r="K39" s="1005"/>
      <c r="L39" s="311"/>
      <c r="M39" s="311"/>
      <c r="O39" s="277"/>
      <c r="P39" s="277"/>
      <c r="Q39" s="277"/>
      <c r="R39" s="277"/>
    </row>
    <row r="40" spans="1:18" ht="18" customHeight="1" x14ac:dyDescent="0.3">
      <c r="A40" s="1019" t="s">
        <v>87</v>
      </c>
      <c r="B40" s="1000" t="s">
        <v>31</v>
      </c>
      <c r="C40" s="1000"/>
      <c r="D40" s="1000"/>
      <c r="E40" s="1000"/>
      <c r="F40" s="1020">
        <v>5692.5</v>
      </c>
      <c r="G40" s="1020">
        <v>1664</v>
      </c>
      <c r="H40" s="1025">
        <v>384447</v>
      </c>
      <c r="I40" s="1025">
        <v>0</v>
      </c>
      <c r="J40" s="1025">
        <v>0</v>
      </c>
      <c r="K40" s="1026">
        <v>384447</v>
      </c>
      <c r="L40" s="317"/>
      <c r="M40" s="317"/>
      <c r="O40" s="277"/>
      <c r="P40" s="277"/>
      <c r="Q40" s="277"/>
      <c r="R40" s="277"/>
    </row>
    <row r="41" spans="1:18" ht="18" customHeight="1" x14ac:dyDescent="0.3">
      <c r="A41" s="1019" t="s">
        <v>88</v>
      </c>
      <c r="B41" s="1502" t="s">
        <v>50</v>
      </c>
      <c r="C41" s="1502"/>
      <c r="D41" s="1000"/>
      <c r="E41" s="1000"/>
      <c r="F41" s="1020">
        <v>21945</v>
      </c>
      <c r="G41" s="1020">
        <v>395</v>
      </c>
      <c r="H41" s="1029">
        <v>1672658</v>
      </c>
      <c r="I41" s="1025">
        <v>0</v>
      </c>
      <c r="J41" s="1025">
        <v>0</v>
      </c>
      <c r="K41" s="1026">
        <v>1672658</v>
      </c>
      <c r="L41" s="317"/>
      <c r="M41" s="317"/>
      <c r="O41" s="277"/>
      <c r="P41" s="277"/>
      <c r="Q41" s="277"/>
      <c r="R41" s="277"/>
    </row>
    <row r="42" spans="1:18" ht="18" customHeight="1" x14ac:dyDescent="0.3">
      <c r="A42" s="1019" t="s">
        <v>89</v>
      </c>
      <c r="B42" s="1000" t="s">
        <v>11</v>
      </c>
      <c r="C42" s="1000"/>
      <c r="D42" s="1000"/>
      <c r="E42" s="1000"/>
      <c r="F42" s="1020">
        <v>6071</v>
      </c>
      <c r="G42" s="1020">
        <v>41</v>
      </c>
      <c r="H42" s="1025">
        <v>361372</v>
      </c>
      <c r="I42" s="1025">
        <v>0</v>
      </c>
      <c r="J42" s="1025">
        <v>0</v>
      </c>
      <c r="K42" s="1026">
        <v>361372</v>
      </c>
      <c r="L42" s="317"/>
      <c r="M42" s="317"/>
      <c r="O42" s="277"/>
      <c r="P42" s="277"/>
      <c r="Q42" s="277"/>
      <c r="R42" s="277"/>
    </row>
    <row r="43" spans="1:18" ht="18" customHeight="1" x14ac:dyDescent="0.3">
      <c r="A43" s="1019" t="s">
        <v>90</v>
      </c>
      <c r="B43" s="1000" t="s">
        <v>10</v>
      </c>
      <c r="C43" s="1000"/>
      <c r="D43" s="1000"/>
      <c r="E43" s="1000"/>
      <c r="F43" s="1020">
        <v>115.5</v>
      </c>
      <c r="G43" s="1020">
        <v>26</v>
      </c>
      <c r="H43" s="1025">
        <v>8293</v>
      </c>
      <c r="I43" s="1025">
        <v>0</v>
      </c>
      <c r="J43" s="1025">
        <v>0</v>
      </c>
      <c r="K43" s="1026">
        <v>8293</v>
      </c>
      <c r="L43" s="317"/>
      <c r="M43" s="317"/>
      <c r="O43" s="277"/>
      <c r="P43" s="277"/>
      <c r="Q43" s="277"/>
      <c r="R43" s="277"/>
    </row>
    <row r="44" spans="1:18" ht="18" customHeight="1" x14ac:dyDescent="0.3">
      <c r="A44" s="1019" t="s">
        <v>91</v>
      </c>
      <c r="B44" s="1501" t="s">
        <v>279</v>
      </c>
      <c r="C44" s="1501"/>
      <c r="D44" s="1501"/>
      <c r="E44" s="1000"/>
      <c r="F44" s="1020">
        <v>11848.57</v>
      </c>
      <c r="G44" s="1020">
        <v>709</v>
      </c>
      <c r="H44" s="1030">
        <v>510257</v>
      </c>
      <c r="I44" s="1025">
        <v>0</v>
      </c>
      <c r="J44" s="1025">
        <v>0</v>
      </c>
      <c r="K44" s="1030">
        <v>510257</v>
      </c>
      <c r="L44" s="317"/>
      <c r="M44" s="317"/>
      <c r="O44" s="277"/>
      <c r="P44" s="277"/>
      <c r="Q44" s="277"/>
      <c r="R44" s="277"/>
    </row>
    <row r="45" spans="1:18" s="742" customFormat="1" ht="18" customHeight="1" x14ac:dyDescent="0.3">
      <c r="A45" s="1019"/>
      <c r="B45" s="1218"/>
      <c r="C45" s="1218"/>
      <c r="D45" s="1218"/>
      <c r="E45" s="1000"/>
      <c r="F45" s="1048"/>
      <c r="G45" s="1048"/>
      <c r="H45" s="1222"/>
      <c r="I45" s="1220"/>
      <c r="J45" s="1220"/>
      <c r="K45" s="1222"/>
      <c r="L45" s="735"/>
      <c r="M45" s="735"/>
      <c r="N45" s="321"/>
    </row>
    <row r="46" spans="1:18" s="742" customFormat="1" ht="18" customHeight="1" x14ac:dyDescent="0.3">
      <c r="A46" s="1019"/>
      <c r="B46" s="1218"/>
      <c r="C46" s="1218"/>
      <c r="D46" s="1218"/>
      <c r="E46" s="1000"/>
      <c r="F46" s="1048"/>
      <c r="G46" s="1048"/>
      <c r="H46" s="1222"/>
      <c r="I46" s="1220"/>
      <c r="J46" s="1220"/>
      <c r="K46" s="1222"/>
      <c r="L46" s="735"/>
      <c r="M46" s="735"/>
      <c r="N46" s="321"/>
    </row>
    <row r="47" spans="1:18" s="742" customFormat="1" ht="18" customHeight="1" x14ac:dyDescent="0.3">
      <c r="A47" s="1019"/>
      <c r="B47" s="1223"/>
      <c r="C47" s="1223"/>
      <c r="D47" s="1223"/>
      <c r="E47" s="1000"/>
      <c r="F47" s="1048"/>
      <c r="G47" s="1048"/>
      <c r="H47" s="1222"/>
      <c r="I47" s="1220"/>
      <c r="J47" s="1220"/>
      <c r="K47" s="1222"/>
      <c r="L47" s="735"/>
      <c r="M47" s="735"/>
      <c r="N47" s="321"/>
    </row>
    <row r="48" spans="1:18" s="742" customFormat="1" ht="18" customHeight="1" x14ac:dyDescent="0.35">
      <c r="A48" s="1018" t="s">
        <v>142</v>
      </c>
      <c r="B48" s="1006" t="s">
        <v>143</v>
      </c>
      <c r="C48" s="1000"/>
      <c r="D48" s="1000"/>
      <c r="E48" s="1006" t="s">
        <v>7</v>
      </c>
      <c r="F48" s="1031">
        <v>45672.57</v>
      </c>
      <c r="G48" s="1031">
        <v>2835</v>
      </c>
      <c r="H48" s="1028">
        <v>2937027</v>
      </c>
      <c r="I48" s="1028">
        <v>0</v>
      </c>
      <c r="J48" s="1028">
        <v>0</v>
      </c>
      <c r="K48" s="1023">
        <v>2937027</v>
      </c>
      <c r="L48" s="735"/>
      <c r="M48" s="735"/>
      <c r="N48" s="321"/>
    </row>
    <row r="49" spans="1:18" ht="26.5" customHeight="1" x14ac:dyDescent="0.3">
      <c r="A49" s="1018" t="s">
        <v>92</v>
      </c>
      <c r="B49" s="1503" t="s">
        <v>38</v>
      </c>
      <c r="C49" s="1504"/>
      <c r="D49" s="1000"/>
      <c r="E49" s="1000"/>
      <c r="F49" s="997" t="s">
        <v>9</v>
      </c>
      <c r="G49" s="997" t="s">
        <v>37</v>
      </c>
      <c r="H49" s="998" t="s">
        <v>29</v>
      </c>
      <c r="I49" s="998" t="s">
        <v>30</v>
      </c>
      <c r="J49" s="998" t="s">
        <v>33</v>
      </c>
      <c r="K49" s="999" t="s">
        <v>34</v>
      </c>
      <c r="L49" s="311"/>
      <c r="M49" s="311"/>
      <c r="N49" s="311"/>
      <c r="O49" s="311"/>
      <c r="P49" s="311"/>
      <c r="Q49" s="311"/>
      <c r="R49" s="311"/>
    </row>
    <row r="50" spans="1:18" s="736" customFormat="1" ht="26.5" customHeight="1" x14ac:dyDescent="0.3">
      <c r="A50" s="1019" t="s">
        <v>51</v>
      </c>
      <c r="B50" s="1501" t="s">
        <v>757</v>
      </c>
      <c r="C50" s="1501"/>
      <c r="D50" s="1501"/>
      <c r="E50" s="1000"/>
      <c r="F50" s="1020">
        <v>0</v>
      </c>
      <c r="G50" s="1020">
        <v>0</v>
      </c>
      <c r="H50" s="1032">
        <v>1367064</v>
      </c>
      <c r="I50" s="1033">
        <v>291828.85887051706</v>
      </c>
      <c r="J50" s="1032">
        <v>781906.99999999988</v>
      </c>
      <c r="K50" s="1034">
        <v>876985.85887051711</v>
      </c>
    </row>
    <row r="51" spans="1:18" ht="18" customHeight="1" x14ac:dyDescent="0.3">
      <c r="A51" s="1019" t="s">
        <v>93</v>
      </c>
      <c r="B51" s="1002" t="s">
        <v>452</v>
      </c>
      <c r="C51" s="1002"/>
      <c r="D51" s="1002"/>
      <c r="E51" s="1000"/>
      <c r="F51" s="1020">
        <v>0</v>
      </c>
      <c r="G51" s="1020">
        <v>0</v>
      </c>
      <c r="H51" s="1032">
        <v>555722.91</v>
      </c>
      <c r="I51" s="1033">
        <v>118630.86342227069</v>
      </c>
      <c r="J51" s="1032">
        <v>10342.44</v>
      </c>
      <c r="K51" s="1034">
        <v>664011.33342227084</v>
      </c>
      <c r="L51" s="311"/>
      <c r="M51" s="311"/>
      <c r="N51" s="311"/>
      <c r="O51" s="311"/>
      <c r="P51" s="311"/>
      <c r="Q51" s="311"/>
      <c r="R51" s="311"/>
    </row>
    <row r="52" spans="1:18" ht="18" customHeight="1" x14ac:dyDescent="0.3">
      <c r="A52" s="1019" t="s">
        <v>94</v>
      </c>
      <c r="B52" s="1501" t="s">
        <v>453</v>
      </c>
      <c r="C52" s="1501"/>
      <c r="D52" s="1501"/>
      <c r="E52" s="1000"/>
      <c r="F52" s="1020">
        <v>1779.9642857142858</v>
      </c>
      <c r="G52" s="1020">
        <v>6872.2</v>
      </c>
      <c r="H52" s="1032">
        <v>40518.147600000004</v>
      </c>
      <c r="I52" s="1033">
        <v>8649.4595554086573</v>
      </c>
      <c r="J52" s="1032">
        <v>5308.2</v>
      </c>
      <c r="K52" s="1034">
        <v>43859.407155408662</v>
      </c>
      <c r="L52" s="311"/>
      <c r="M52" s="311"/>
      <c r="N52" s="311"/>
      <c r="O52" s="311"/>
      <c r="P52" s="311"/>
      <c r="Q52" s="311"/>
      <c r="R52" s="311"/>
    </row>
    <row r="53" spans="1:18" ht="18" customHeight="1" x14ac:dyDescent="0.3">
      <c r="A53" s="1019" t="s">
        <v>95</v>
      </c>
      <c r="B53" s="1501" t="s">
        <v>758</v>
      </c>
      <c r="C53" s="1501"/>
      <c r="D53" s="1501"/>
      <c r="E53" s="1000"/>
      <c r="F53" s="1020">
        <v>0</v>
      </c>
      <c r="G53" s="1020">
        <v>0</v>
      </c>
      <c r="H53" s="1032">
        <v>196950</v>
      </c>
      <c r="I53" s="1033">
        <v>0</v>
      </c>
      <c r="J53" s="1032">
        <v>0</v>
      </c>
      <c r="K53" s="1034">
        <v>196950</v>
      </c>
      <c r="L53" s="317"/>
      <c r="M53" s="322"/>
      <c r="N53" s="311"/>
      <c r="O53" s="311"/>
      <c r="P53" s="311"/>
      <c r="Q53" s="311"/>
      <c r="R53" s="311"/>
    </row>
    <row r="54" spans="1:18" ht="18" customHeight="1" x14ac:dyDescent="0.3">
      <c r="A54" s="1019" t="s">
        <v>96</v>
      </c>
      <c r="B54" s="1501" t="s">
        <v>759</v>
      </c>
      <c r="C54" s="1501"/>
      <c r="D54" s="1501"/>
      <c r="E54" s="1000"/>
      <c r="F54" s="1020">
        <v>0</v>
      </c>
      <c r="G54" s="1020">
        <v>0</v>
      </c>
      <c r="H54" s="1032">
        <v>249300</v>
      </c>
      <c r="I54" s="1033">
        <v>0</v>
      </c>
      <c r="J54" s="1032">
        <v>0</v>
      </c>
      <c r="K54" s="1034">
        <v>249300</v>
      </c>
      <c r="L54" s="317"/>
      <c r="M54" s="322"/>
      <c r="N54" s="311"/>
      <c r="O54" s="311"/>
      <c r="P54" s="311"/>
      <c r="Q54" s="311"/>
      <c r="R54" s="311"/>
    </row>
    <row r="55" spans="1:18" s="321" customFormat="1" ht="18" customHeight="1" x14ac:dyDescent="0.3">
      <c r="A55" s="1019" t="s">
        <v>97</v>
      </c>
      <c r="B55" s="1002" t="s">
        <v>760</v>
      </c>
      <c r="C55" s="1002"/>
      <c r="D55" s="1002"/>
      <c r="E55" s="1000"/>
      <c r="F55" s="1020">
        <v>0</v>
      </c>
      <c r="G55" s="1020">
        <v>0</v>
      </c>
      <c r="H55" s="1032">
        <v>365000.0400000001</v>
      </c>
      <c r="I55" s="1033">
        <v>0</v>
      </c>
      <c r="J55" s="1032">
        <v>0</v>
      </c>
      <c r="K55" s="1034">
        <v>365000.0500000001</v>
      </c>
      <c r="L55" s="735"/>
      <c r="M55" s="322"/>
      <c r="O55" s="742"/>
      <c r="P55" s="742"/>
      <c r="Q55" s="742"/>
      <c r="R55" s="742"/>
    </row>
    <row r="56" spans="1:18" s="122" customFormat="1" ht="18" customHeight="1" x14ac:dyDescent="0.3">
      <c r="A56" s="1019" t="s">
        <v>98</v>
      </c>
      <c r="B56" s="1501" t="s">
        <v>761</v>
      </c>
      <c r="C56" s="1501"/>
      <c r="D56" s="1501"/>
      <c r="E56" s="1000"/>
      <c r="F56" s="1020">
        <v>0</v>
      </c>
      <c r="G56" s="1020">
        <v>0</v>
      </c>
      <c r="H56" s="1032">
        <v>331962.86</v>
      </c>
      <c r="I56" s="1033">
        <v>0</v>
      </c>
      <c r="J56" s="1032">
        <v>0</v>
      </c>
      <c r="K56" s="1034">
        <v>331962.86</v>
      </c>
      <c r="L56" s="317"/>
      <c r="M56" s="322"/>
      <c r="O56" s="277"/>
      <c r="P56" s="277"/>
      <c r="Q56" s="277"/>
      <c r="R56" s="277"/>
    </row>
    <row r="57" spans="1:18" s="122" customFormat="1" ht="18" customHeight="1" x14ac:dyDescent="0.3">
      <c r="A57" s="1019" t="s">
        <v>99</v>
      </c>
      <c r="B57" s="1002" t="s">
        <v>762</v>
      </c>
      <c r="C57" s="1002"/>
      <c r="D57" s="1002"/>
      <c r="E57" s="1000"/>
      <c r="F57" s="1020">
        <v>0</v>
      </c>
      <c r="G57" s="1020">
        <v>0</v>
      </c>
      <c r="H57" s="1032">
        <v>288667.94</v>
      </c>
      <c r="I57" s="1033">
        <v>0</v>
      </c>
      <c r="J57" s="1032">
        <v>0</v>
      </c>
      <c r="K57" s="1034">
        <v>288667.94</v>
      </c>
      <c r="L57" s="317"/>
      <c r="M57" s="322"/>
      <c r="O57" s="277"/>
      <c r="P57" s="277"/>
      <c r="Q57" s="277"/>
      <c r="R57" s="277"/>
    </row>
    <row r="58" spans="1:18" s="122" customFormat="1" ht="18" customHeight="1" x14ac:dyDescent="0.3">
      <c r="A58" s="1019" t="s">
        <v>763</v>
      </c>
      <c r="B58" s="1002" t="s">
        <v>764</v>
      </c>
      <c r="C58" s="1002"/>
      <c r="D58" s="1002"/>
      <c r="E58" s="1000"/>
      <c r="F58" s="1020">
        <v>0</v>
      </c>
      <c r="G58" s="1020">
        <v>0</v>
      </c>
      <c r="H58" s="1032">
        <v>17000</v>
      </c>
      <c r="I58" s="1033">
        <v>0</v>
      </c>
      <c r="J58" s="1032">
        <v>0</v>
      </c>
      <c r="K58" s="1034">
        <v>17000</v>
      </c>
      <c r="L58" s="317"/>
      <c r="M58" s="322"/>
      <c r="O58" s="277"/>
      <c r="P58" s="277"/>
      <c r="Q58" s="277"/>
      <c r="R58" s="277"/>
    </row>
    <row r="59" spans="1:18" s="321" customFormat="1" ht="18" customHeight="1" x14ac:dyDescent="0.3">
      <c r="A59" s="1019" t="s">
        <v>100</v>
      </c>
      <c r="B59" s="1002" t="s">
        <v>765</v>
      </c>
      <c r="C59" s="1002"/>
      <c r="D59" s="1002"/>
      <c r="E59" s="1000"/>
      <c r="F59" s="1020">
        <v>0</v>
      </c>
      <c r="G59" s="1020">
        <v>0</v>
      </c>
      <c r="H59" s="1032">
        <v>365004</v>
      </c>
      <c r="I59" s="1033">
        <v>0</v>
      </c>
      <c r="J59" s="1032">
        <v>0</v>
      </c>
      <c r="K59" s="1034">
        <v>365004</v>
      </c>
      <c r="L59" s="735"/>
      <c r="M59" s="322"/>
      <c r="O59" s="742"/>
      <c r="P59" s="742"/>
      <c r="Q59" s="742"/>
      <c r="R59" s="742"/>
    </row>
    <row r="60" spans="1:18" s="321" customFormat="1" ht="18" customHeight="1" x14ac:dyDescent="0.35">
      <c r="A60" s="1233" t="s">
        <v>872</v>
      </c>
      <c r="B60" s="1234" t="s">
        <v>873</v>
      </c>
      <c r="C60" s="1233"/>
      <c r="D60" s="1233"/>
      <c r="E60" s="1233"/>
      <c r="F60" s="1235">
        <v>0</v>
      </c>
      <c r="G60" s="1235">
        <v>0</v>
      </c>
      <c r="H60" s="1235">
        <v>33500</v>
      </c>
      <c r="I60" s="1235">
        <v>0</v>
      </c>
      <c r="J60" s="1235">
        <v>0</v>
      </c>
      <c r="K60" s="1235">
        <v>33500</v>
      </c>
      <c r="L60" s="735"/>
      <c r="M60" s="322"/>
      <c r="O60" s="742"/>
      <c r="P60" s="742"/>
      <c r="Q60" s="742"/>
      <c r="R60" s="742"/>
    </row>
    <row r="61" spans="1:18" s="748" customFormat="1" ht="18" customHeight="1" x14ac:dyDescent="0.3">
      <c r="A61" s="1019" t="s">
        <v>766</v>
      </c>
      <c r="B61" s="1002" t="s">
        <v>767</v>
      </c>
      <c r="C61" s="1002"/>
      <c r="D61" s="1002"/>
      <c r="E61" s="1000"/>
      <c r="F61" s="1020">
        <v>0</v>
      </c>
      <c r="G61" s="1020">
        <v>0</v>
      </c>
      <c r="H61" s="1032">
        <v>225996</v>
      </c>
      <c r="I61" s="1033">
        <v>0</v>
      </c>
      <c r="J61" s="1032">
        <v>0</v>
      </c>
      <c r="K61" s="1034">
        <v>225996</v>
      </c>
      <c r="L61" s="739"/>
      <c r="M61" s="749"/>
      <c r="O61" s="734"/>
      <c r="P61" s="734"/>
      <c r="Q61" s="734"/>
      <c r="R61" s="734"/>
    </row>
    <row r="62" spans="1:18" s="122" customFormat="1" ht="18" customHeight="1" x14ac:dyDescent="0.3">
      <c r="A62" s="1019" t="s">
        <v>579</v>
      </c>
      <c r="B62" s="1002" t="s">
        <v>580</v>
      </c>
      <c r="C62" s="1002"/>
      <c r="D62" s="1002"/>
      <c r="E62" s="1000"/>
      <c r="F62" s="1020">
        <v>0</v>
      </c>
      <c r="G62" s="1020">
        <v>0</v>
      </c>
      <c r="H62" s="1032">
        <v>5149725.97</v>
      </c>
      <c r="I62" s="1033">
        <v>0</v>
      </c>
      <c r="J62" s="1032">
        <v>0</v>
      </c>
      <c r="K62" s="1034">
        <v>5149725.97</v>
      </c>
      <c r="L62" s="311"/>
      <c r="M62" s="311"/>
      <c r="O62" s="277"/>
      <c r="P62" s="277"/>
      <c r="Q62" s="277"/>
      <c r="R62" s="277"/>
    </row>
    <row r="63" spans="1:18" s="323" customFormat="1" ht="18" customHeight="1" x14ac:dyDescent="0.35">
      <c r="A63" s="1230" t="s">
        <v>870</v>
      </c>
      <c r="B63" s="1231" t="s">
        <v>871</v>
      </c>
      <c r="C63" s="1230"/>
      <c r="D63" s="1230"/>
      <c r="E63" s="1230"/>
      <c r="F63" s="1232">
        <v>0</v>
      </c>
      <c r="G63" s="1232">
        <v>0</v>
      </c>
      <c r="H63" s="1232">
        <v>480316.16000000003</v>
      </c>
      <c r="I63" s="1232">
        <v>0</v>
      </c>
      <c r="J63" s="1232">
        <v>0</v>
      </c>
      <c r="K63" s="1232">
        <v>480316.16000000003</v>
      </c>
      <c r="L63" s="736"/>
      <c r="M63" s="736"/>
      <c r="O63" s="736"/>
      <c r="P63" s="736"/>
      <c r="Q63" s="736"/>
      <c r="R63" s="736"/>
    </row>
    <row r="64" spans="1:18" s="122" customFormat="1" ht="18" customHeight="1" x14ac:dyDescent="0.3">
      <c r="A64" s="1019" t="s">
        <v>144</v>
      </c>
      <c r="B64" s="1006" t="s">
        <v>145</v>
      </c>
      <c r="C64" s="1000"/>
      <c r="D64" s="1000"/>
      <c r="E64" s="1006" t="s">
        <v>7</v>
      </c>
      <c r="F64" s="1027">
        <v>1779.9642857142858</v>
      </c>
      <c r="G64" s="1027">
        <v>6872.2</v>
      </c>
      <c r="H64" s="1028">
        <v>9666728.0275999997</v>
      </c>
      <c r="I64" s="1028">
        <v>419109.18184819643</v>
      </c>
      <c r="J64" s="1028">
        <v>797557.63999999978</v>
      </c>
      <c r="K64" s="1023">
        <v>9288279.579448197</v>
      </c>
      <c r="L64" s="311"/>
      <c r="M64" s="1280"/>
      <c r="O64" s="277"/>
      <c r="P64" s="277"/>
      <c r="Q64" s="277"/>
      <c r="R64" s="277"/>
    </row>
    <row r="65" spans="1:18" s="122" customFormat="1" ht="18" customHeight="1" x14ac:dyDescent="0.3">
      <c r="A65" s="1012"/>
      <c r="B65" s="1000"/>
      <c r="C65" s="1000"/>
      <c r="D65" s="1000"/>
      <c r="E65" s="1000"/>
      <c r="F65" s="1001"/>
      <c r="G65" s="1001"/>
      <c r="H65" s="995"/>
      <c r="I65" s="995"/>
      <c r="J65" s="995"/>
      <c r="K65" s="996"/>
      <c r="L65" s="311"/>
      <c r="M65" s="313"/>
      <c r="O65" s="277"/>
      <c r="P65" s="277"/>
      <c r="Q65" s="277"/>
      <c r="R65" s="277"/>
    </row>
    <row r="66" spans="1:18" s="122" customFormat="1" ht="18" customHeight="1" x14ac:dyDescent="0.3">
      <c r="A66" s="1012"/>
      <c r="B66" s="1000"/>
      <c r="C66" s="1000"/>
      <c r="D66" s="1000"/>
      <c r="E66" s="1000"/>
      <c r="F66" s="997" t="s">
        <v>9</v>
      </c>
      <c r="G66" s="997" t="s">
        <v>37</v>
      </c>
      <c r="H66" s="998" t="s">
        <v>29</v>
      </c>
      <c r="I66" s="998" t="s">
        <v>30</v>
      </c>
      <c r="J66" s="998" t="s">
        <v>33</v>
      </c>
      <c r="K66" s="999" t="s">
        <v>34</v>
      </c>
      <c r="L66" s="311"/>
      <c r="M66" s="311"/>
      <c r="O66" s="277"/>
      <c r="P66" s="277"/>
      <c r="Q66" s="277"/>
      <c r="R66" s="277"/>
    </row>
    <row r="67" spans="1:18" s="323" customFormat="1" ht="18" customHeight="1" x14ac:dyDescent="0.3">
      <c r="A67" s="1018" t="s">
        <v>102</v>
      </c>
      <c r="B67" s="1006" t="s">
        <v>12</v>
      </c>
      <c r="C67" s="1000"/>
      <c r="D67" s="1000"/>
      <c r="E67" s="1000"/>
      <c r="F67" s="1000"/>
      <c r="G67" s="1000"/>
      <c r="H67" s="1003"/>
      <c r="I67" s="1004"/>
      <c r="J67" s="1003"/>
      <c r="K67" s="1005"/>
      <c r="L67" s="736"/>
      <c r="M67" s="736"/>
      <c r="O67" s="736"/>
      <c r="P67" s="736"/>
      <c r="Q67" s="736"/>
      <c r="R67" s="736"/>
    </row>
    <row r="68" spans="1:18" s="323" customFormat="1" ht="18" customHeight="1" x14ac:dyDescent="0.3">
      <c r="A68" s="1019" t="s">
        <v>103</v>
      </c>
      <c r="B68" s="1000" t="s">
        <v>52</v>
      </c>
      <c r="C68" s="1000"/>
      <c r="D68" s="1000"/>
      <c r="E68" s="1000"/>
      <c r="F68" s="1020">
        <v>0</v>
      </c>
      <c r="G68" s="1020">
        <v>0</v>
      </c>
      <c r="H68" s="1030">
        <v>3349468.2300000009</v>
      </c>
      <c r="I68" s="1032">
        <v>0</v>
      </c>
      <c r="J68" s="1030">
        <v>3349468.2300000009</v>
      </c>
      <c r="K68" s="1026">
        <v>1E-4</v>
      </c>
      <c r="L68" s="736"/>
      <c r="M68" s="736"/>
      <c r="O68" s="736"/>
      <c r="P68" s="736"/>
      <c r="Q68" s="736"/>
      <c r="R68" s="736"/>
    </row>
    <row r="69" spans="1:18" s="122" customFormat="1" ht="18" customHeight="1" x14ac:dyDescent="0.3">
      <c r="A69" s="1019" t="s">
        <v>104</v>
      </c>
      <c r="B69" s="1000" t="s">
        <v>53</v>
      </c>
      <c r="C69" s="1000"/>
      <c r="D69" s="1000"/>
      <c r="E69" s="1000"/>
      <c r="F69" s="1020">
        <v>0</v>
      </c>
      <c r="G69" s="1020">
        <v>0</v>
      </c>
      <c r="H69" s="1025">
        <v>0</v>
      </c>
      <c r="I69" s="1032">
        <v>0</v>
      </c>
      <c r="J69" s="1025">
        <v>0</v>
      </c>
      <c r="K69" s="1026">
        <v>0</v>
      </c>
      <c r="L69" s="311"/>
      <c r="M69" s="311"/>
      <c r="N69" s="311"/>
      <c r="O69" s="277"/>
      <c r="P69" s="277"/>
      <c r="Q69" s="277"/>
      <c r="R69" s="277"/>
    </row>
    <row r="70" spans="1:18" s="122" customFormat="1" ht="18" customHeight="1" x14ac:dyDescent="0.3">
      <c r="A70" s="1019" t="s">
        <v>178</v>
      </c>
      <c r="B70" s="1002" t="s">
        <v>624</v>
      </c>
      <c r="C70" s="1002"/>
      <c r="D70" s="1002"/>
      <c r="E70" s="1006"/>
      <c r="F70" s="1020">
        <v>0</v>
      </c>
      <c r="G70" s="1020">
        <v>0</v>
      </c>
      <c r="H70" s="1035">
        <v>123279.85000000002</v>
      </c>
      <c r="I70" s="1032">
        <v>0</v>
      </c>
      <c r="J70" s="1035">
        <v>123279.85000000002</v>
      </c>
      <c r="K70" s="1026">
        <v>1E-4</v>
      </c>
      <c r="L70" s="311"/>
      <c r="M70" s="311"/>
      <c r="N70" s="311"/>
      <c r="O70" s="277"/>
      <c r="P70" s="277"/>
      <c r="Q70" s="277"/>
      <c r="R70" s="277"/>
    </row>
    <row r="71" spans="1:18" s="122" customFormat="1" ht="18" customHeight="1" x14ac:dyDescent="0.3">
      <c r="A71" s="1019" t="s">
        <v>179</v>
      </c>
      <c r="B71" s="1002"/>
      <c r="C71" s="1002"/>
      <c r="D71" s="1002"/>
      <c r="E71" s="1006"/>
      <c r="F71" s="1007"/>
      <c r="G71" s="1007"/>
      <c r="H71" s="1008"/>
      <c r="I71" s="1008"/>
      <c r="J71" s="1008"/>
      <c r="K71" s="1005"/>
      <c r="L71" s="311"/>
      <c r="M71" s="311"/>
      <c r="N71" s="311"/>
      <c r="O71" s="277"/>
      <c r="P71" s="277"/>
      <c r="Q71" s="277"/>
      <c r="R71" s="277"/>
    </row>
    <row r="72" spans="1:18" s="122" customFormat="1" ht="18" customHeight="1" x14ac:dyDescent="0.3">
      <c r="A72" s="1019" t="s">
        <v>180</v>
      </c>
      <c r="B72" s="1002"/>
      <c r="C72" s="1002"/>
      <c r="D72" s="1002"/>
      <c r="E72" s="1006"/>
      <c r="F72" s="1007"/>
      <c r="G72" s="1007"/>
      <c r="H72" s="1008"/>
      <c r="I72" s="1008"/>
      <c r="J72" s="1008"/>
      <c r="K72" s="1005"/>
      <c r="L72" s="311"/>
      <c r="M72" s="311"/>
      <c r="N72" s="311"/>
      <c r="O72" s="277"/>
      <c r="P72" s="277"/>
      <c r="Q72" s="277"/>
      <c r="R72" s="277"/>
    </row>
    <row r="73" spans="1:18" s="122" customFormat="1" ht="18" customHeight="1" x14ac:dyDescent="0.3">
      <c r="A73" s="1018" t="s">
        <v>146</v>
      </c>
      <c r="B73" s="1006" t="s">
        <v>147</v>
      </c>
      <c r="C73" s="1000"/>
      <c r="D73" s="1000"/>
      <c r="E73" s="1006" t="s">
        <v>7</v>
      </c>
      <c r="F73" s="1036">
        <v>0</v>
      </c>
      <c r="G73" s="1036">
        <v>0</v>
      </c>
      <c r="H73" s="1028">
        <v>3472748.080000001</v>
      </c>
      <c r="I73" s="1037">
        <v>0</v>
      </c>
      <c r="J73" s="1038">
        <v>3472748.080000001</v>
      </c>
      <c r="K73" s="1039">
        <v>2.0000000000000001E-4</v>
      </c>
      <c r="L73" s="311"/>
      <c r="M73" s="322"/>
      <c r="N73" s="311"/>
      <c r="O73" s="277"/>
      <c r="P73" s="277"/>
      <c r="Q73" s="277"/>
      <c r="R73" s="277"/>
    </row>
    <row r="74" spans="1:18" s="122" customFormat="1" ht="18" customHeight="1" x14ac:dyDescent="0.3">
      <c r="A74" s="1040"/>
      <c r="B74" s="1006"/>
      <c r="C74" s="1000"/>
      <c r="D74" s="1000"/>
      <c r="E74" s="1006"/>
      <c r="F74" s="1009"/>
      <c r="G74" s="1009"/>
      <c r="H74" s="1003"/>
      <c r="I74" s="1004"/>
      <c r="J74" s="1004"/>
      <c r="K74" s="1010"/>
      <c r="L74" s="311"/>
      <c r="M74" s="319"/>
      <c r="N74" s="311"/>
      <c r="O74" s="277"/>
      <c r="P74" s="277"/>
      <c r="Q74" s="277"/>
      <c r="R74" s="277"/>
    </row>
    <row r="75" spans="1:18" s="122" customFormat="1" ht="18" customHeight="1" x14ac:dyDescent="0.3">
      <c r="A75" s="1012"/>
      <c r="B75" s="1000"/>
      <c r="C75" s="1000"/>
      <c r="D75" s="1000"/>
      <c r="E75" s="1000"/>
      <c r="F75" s="997" t="s">
        <v>9</v>
      </c>
      <c r="G75" s="997" t="s">
        <v>37</v>
      </c>
      <c r="H75" s="998" t="s">
        <v>29</v>
      </c>
      <c r="I75" s="998" t="s">
        <v>30</v>
      </c>
      <c r="J75" s="998" t="s">
        <v>33</v>
      </c>
      <c r="K75" s="999" t="s">
        <v>34</v>
      </c>
      <c r="L75" s="317"/>
      <c r="M75" s="322"/>
      <c r="N75" s="311"/>
      <c r="O75" s="277"/>
      <c r="P75" s="277"/>
      <c r="Q75" s="277"/>
      <c r="R75" s="277"/>
    </row>
    <row r="76" spans="1:18" s="122" customFormat="1" ht="18" customHeight="1" x14ac:dyDescent="0.3">
      <c r="A76" s="1018" t="s">
        <v>105</v>
      </c>
      <c r="B76" s="1006" t="s">
        <v>106</v>
      </c>
      <c r="C76" s="1000"/>
      <c r="D76" s="1000"/>
      <c r="E76" s="1000"/>
      <c r="F76" s="1000"/>
      <c r="G76" s="1000"/>
      <c r="H76" s="1003"/>
      <c r="I76" s="1003"/>
      <c r="J76" s="1003"/>
      <c r="K76" s="1005"/>
      <c r="L76" s="311"/>
      <c r="M76" s="311"/>
      <c r="N76" s="311"/>
      <c r="O76" s="277"/>
      <c r="P76" s="277"/>
      <c r="Q76" s="277"/>
      <c r="R76" s="277"/>
    </row>
    <row r="77" spans="1:18" s="122" customFormat="1" ht="18" customHeight="1" x14ac:dyDescent="0.3">
      <c r="A77" s="1019" t="s">
        <v>107</v>
      </c>
      <c r="B77" s="1000" t="s">
        <v>54</v>
      </c>
      <c r="C77" s="1000"/>
      <c r="D77" s="1000"/>
      <c r="E77" s="1000"/>
      <c r="F77" s="1041">
        <v>0</v>
      </c>
      <c r="G77" s="1041">
        <v>0</v>
      </c>
      <c r="H77" s="1032">
        <v>260554</v>
      </c>
      <c r="I77" s="1033">
        <v>0</v>
      </c>
      <c r="J77" s="1032">
        <v>0</v>
      </c>
      <c r="K77" s="1034">
        <v>260554</v>
      </c>
      <c r="L77" s="311"/>
      <c r="M77" s="311"/>
      <c r="N77" s="311"/>
      <c r="O77" s="277"/>
      <c r="P77" s="277"/>
      <c r="Q77" s="277"/>
      <c r="R77" s="277"/>
    </row>
    <row r="78" spans="1:18" s="122" customFormat="1" ht="18" customHeight="1" x14ac:dyDescent="0.3">
      <c r="A78" s="1019" t="s">
        <v>108</v>
      </c>
      <c r="B78" s="1000" t="s">
        <v>55</v>
      </c>
      <c r="C78" s="1000"/>
      <c r="D78" s="1000"/>
      <c r="E78" s="1000"/>
      <c r="F78" s="1041">
        <v>0</v>
      </c>
      <c r="G78" s="1041">
        <v>0</v>
      </c>
      <c r="H78" s="1032">
        <v>0</v>
      </c>
      <c r="I78" s="1033">
        <v>0</v>
      </c>
      <c r="J78" s="1032">
        <v>0</v>
      </c>
      <c r="K78" s="1034">
        <v>0</v>
      </c>
      <c r="L78" s="311"/>
      <c r="M78" s="311"/>
      <c r="N78" s="311"/>
      <c r="O78" s="277"/>
      <c r="P78" s="277"/>
      <c r="Q78" s="277"/>
      <c r="R78" s="277"/>
    </row>
    <row r="79" spans="1:18" s="122" customFormat="1" ht="18" customHeight="1" x14ac:dyDescent="0.3">
      <c r="A79" s="1019" t="s">
        <v>109</v>
      </c>
      <c r="B79" s="1000" t="s">
        <v>13</v>
      </c>
      <c r="C79" s="1000"/>
      <c r="D79" s="1000"/>
      <c r="E79" s="1000"/>
      <c r="F79" s="1041">
        <v>161</v>
      </c>
      <c r="G79" s="1041">
        <v>3083</v>
      </c>
      <c r="H79" s="1032">
        <v>29799</v>
      </c>
      <c r="I79" s="1033">
        <v>0</v>
      </c>
      <c r="J79" s="1032">
        <v>0</v>
      </c>
      <c r="K79" s="1034">
        <v>29799</v>
      </c>
      <c r="L79" s="311"/>
      <c r="M79" s="311"/>
      <c r="N79" s="311"/>
      <c r="O79" s="277"/>
      <c r="P79" s="277"/>
      <c r="Q79" s="277"/>
      <c r="R79" s="277"/>
    </row>
    <row r="80" spans="1:18" s="122" customFormat="1" ht="18" customHeight="1" x14ac:dyDescent="0.3">
      <c r="A80" s="1019" t="s">
        <v>110</v>
      </c>
      <c r="B80" s="1000" t="s">
        <v>56</v>
      </c>
      <c r="C80" s="1000"/>
      <c r="D80" s="1000"/>
      <c r="E80" s="1000"/>
      <c r="F80" s="1041">
        <v>625.5</v>
      </c>
      <c r="G80" s="1041">
        <v>1228</v>
      </c>
      <c r="H80" s="1032">
        <v>41712</v>
      </c>
      <c r="I80" s="1033">
        <v>8904.3127177710812</v>
      </c>
      <c r="J80" s="1032">
        <v>12622</v>
      </c>
      <c r="K80" s="1034">
        <v>37994.312717771085</v>
      </c>
      <c r="L80" s="311"/>
      <c r="M80" s="311"/>
      <c r="N80" s="311"/>
      <c r="O80" s="277"/>
      <c r="P80" s="277"/>
      <c r="Q80" s="277"/>
      <c r="R80" s="277"/>
    </row>
    <row r="81" spans="1:18" s="122" customFormat="1" ht="18" customHeight="1" x14ac:dyDescent="0.3">
      <c r="A81" s="1019"/>
      <c r="B81" s="1000"/>
      <c r="C81" s="1000"/>
      <c r="D81" s="1000"/>
      <c r="E81" s="1000"/>
      <c r="F81" s="1005">
        <f>SUM(F77:F80)</f>
        <v>786.5</v>
      </c>
      <c r="G81" s="1000"/>
      <c r="H81" s="1003"/>
      <c r="I81" s="1003"/>
      <c r="J81" s="1003"/>
      <c r="K81" s="1011"/>
      <c r="L81" s="311"/>
      <c r="M81" s="311"/>
      <c r="N81" s="311"/>
      <c r="O81" s="277"/>
      <c r="P81" s="277"/>
      <c r="Q81" s="277"/>
      <c r="R81" s="277"/>
    </row>
    <row r="82" spans="1:18" s="122" customFormat="1" ht="18" customHeight="1" x14ac:dyDescent="0.3">
      <c r="A82" s="1019" t="s">
        <v>148</v>
      </c>
      <c r="B82" s="1006" t="s">
        <v>149</v>
      </c>
      <c r="C82" s="1000"/>
      <c r="D82" s="1000"/>
      <c r="E82" s="1006" t="s">
        <v>7</v>
      </c>
      <c r="F82" s="1042">
        <v>786.5</v>
      </c>
      <c r="G82" s="1036">
        <v>4311</v>
      </c>
      <c r="H82" s="1038">
        <v>332065</v>
      </c>
      <c r="I82" s="1038">
        <v>8904.3127177710812</v>
      </c>
      <c r="J82" s="1038">
        <v>12622</v>
      </c>
      <c r="K82" s="1039">
        <v>328347.3127177711</v>
      </c>
      <c r="L82" s="311"/>
      <c r="M82" s="311"/>
      <c r="O82" s="277"/>
      <c r="P82" s="277"/>
      <c r="Q82" s="277"/>
      <c r="R82" s="277"/>
    </row>
    <row r="83" spans="1:18" s="122" customFormat="1" ht="18" customHeight="1" x14ac:dyDescent="0.3">
      <c r="A83" s="1019"/>
      <c r="B83" s="1000"/>
      <c r="C83" s="1000"/>
      <c r="D83" s="1000"/>
      <c r="E83" s="1000"/>
      <c r="F83" s="1001"/>
      <c r="G83" s="1001"/>
      <c r="H83" s="995"/>
      <c r="I83" s="995"/>
      <c r="J83" s="995"/>
      <c r="K83" s="996"/>
      <c r="L83" s="317"/>
      <c r="M83" s="319"/>
      <c r="O83" s="277"/>
      <c r="P83" s="277"/>
      <c r="Q83" s="277"/>
      <c r="R83" s="277"/>
    </row>
    <row r="84" spans="1:18" s="122" customFormat="1" ht="18" customHeight="1" x14ac:dyDescent="0.3">
      <c r="A84" s="1012"/>
      <c r="B84" s="1000"/>
      <c r="C84" s="1000"/>
      <c r="D84" s="1000"/>
      <c r="E84" s="1000"/>
      <c r="F84" s="997" t="s">
        <v>9</v>
      </c>
      <c r="G84" s="997" t="s">
        <v>37</v>
      </c>
      <c r="H84" s="998" t="s">
        <v>29</v>
      </c>
      <c r="I84" s="998" t="s">
        <v>30</v>
      </c>
      <c r="J84" s="998" t="s">
        <v>33</v>
      </c>
      <c r="K84" s="999" t="s">
        <v>34</v>
      </c>
      <c r="L84" s="311"/>
      <c r="M84" s="311"/>
      <c r="O84" s="277"/>
      <c r="P84" s="277"/>
      <c r="Q84" s="277"/>
      <c r="R84" s="277"/>
    </row>
    <row r="85" spans="1:18" s="122" customFormat="1" ht="42.75" customHeight="1" x14ac:dyDescent="0.3">
      <c r="A85" s="1018" t="s">
        <v>111</v>
      </c>
      <c r="B85" s="1006" t="s">
        <v>57</v>
      </c>
      <c r="C85" s="1000"/>
      <c r="D85" s="1000"/>
      <c r="E85" s="1000"/>
      <c r="F85" s="1000"/>
      <c r="G85" s="1000"/>
      <c r="H85" s="1003"/>
      <c r="I85" s="1003"/>
      <c r="J85" s="1003"/>
      <c r="K85" s="1005"/>
      <c r="L85" s="317"/>
      <c r="M85" s="319"/>
      <c r="O85" s="277"/>
      <c r="P85" s="277"/>
      <c r="Q85" s="277"/>
      <c r="R85" s="277"/>
    </row>
    <row r="86" spans="1:18" s="122" customFormat="1" ht="18" customHeight="1" x14ac:dyDescent="0.3">
      <c r="A86" s="1019" t="s">
        <v>112</v>
      </c>
      <c r="B86" s="1000" t="s">
        <v>113</v>
      </c>
      <c r="C86" s="1000"/>
      <c r="D86" s="1000"/>
      <c r="E86" s="1000"/>
      <c r="F86" s="1020">
        <v>0</v>
      </c>
      <c r="G86" s="1020">
        <v>0</v>
      </c>
      <c r="H86" s="1025">
        <v>0</v>
      </c>
      <c r="I86" s="1025">
        <v>0</v>
      </c>
      <c r="J86" s="1025">
        <v>0</v>
      </c>
      <c r="K86" s="1026">
        <v>0</v>
      </c>
      <c r="L86" s="317"/>
      <c r="M86" s="319"/>
      <c r="O86" s="277"/>
      <c r="P86" s="277"/>
      <c r="Q86" s="277"/>
      <c r="R86" s="277"/>
    </row>
    <row r="87" spans="1:18" s="122" customFormat="1" ht="18" customHeight="1" x14ac:dyDescent="0.3">
      <c r="A87" s="1019" t="s">
        <v>114</v>
      </c>
      <c r="B87" s="1000" t="s">
        <v>14</v>
      </c>
      <c r="C87" s="1000"/>
      <c r="D87" s="1000"/>
      <c r="E87" s="1000"/>
      <c r="F87" s="1020">
        <v>93.5</v>
      </c>
      <c r="G87" s="1020">
        <v>2172</v>
      </c>
      <c r="H87" s="1025">
        <v>7466</v>
      </c>
      <c r="I87" s="1025">
        <v>3706.7332257933267</v>
      </c>
      <c r="J87" s="1025">
        <v>0</v>
      </c>
      <c r="K87" s="1026">
        <v>11172.733225793327</v>
      </c>
      <c r="L87" s="317"/>
      <c r="M87" s="319"/>
      <c r="O87" s="277"/>
      <c r="P87" s="277"/>
      <c r="Q87" s="277"/>
      <c r="R87" s="277"/>
    </row>
    <row r="88" spans="1:18" s="122" customFormat="1" ht="18" customHeight="1" x14ac:dyDescent="0.3">
      <c r="A88" s="1019" t="s">
        <v>115</v>
      </c>
      <c r="B88" s="1000" t="s">
        <v>116</v>
      </c>
      <c r="C88" s="1000"/>
      <c r="D88" s="1000"/>
      <c r="E88" s="1000"/>
      <c r="F88" s="1020">
        <v>983</v>
      </c>
      <c r="G88" s="1020">
        <v>1170</v>
      </c>
      <c r="H88" s="1025">
        <v>72041</v>
      </c>
      <c r="I88" s="1025">
        <v>35767.046386201051</v>
      </c>
      <c r="J88" s="1025">
        <v>12622</v>
      </c>
      <c r="K88" s="1026">
        <v>95186.046386201051</v>
      </c>
      <c r="L88" s="317"/>
      <c r="M88" s="319"/>
      <c r="O88" s="277"/>
      <c r="P88" s="277"/>
      <c r="Q88" s="277"/>
      <c r="R88" s="277"/>
    </row>
    <row r="89" spans="1:18" s="321" customFormat="1" ht="18" customHeight="1" x14ac:dyDescent="0.3">
      <c r="A89" s="1019" t="s">
        <v>117</v>
      </c>
      <c r="B89" s="1000" t="s">
        <v>58</v>
      </c>
      <c r="C89" s="1000"/>
      <c r="D89" s="1000"/>
      <c r="E89" s="1000"/>
      <c r="F89" s="1020">
        <v>0</v>
      </c>
      <c r="G89" s="1020">
        <v>0</v>
      </c>
      <c r="H89" s="1025">
        <v>98852</v>
      </c>
      <c r="I89" s="1025">
        <v>49078.220310222605</v>
      </c>
      <c r="J89" s="1025">
        <v>0</v>
      </c>
      <c r="K89" s="1026">
        <v>147930.22031022259</v>
      </c>
      <c r="L89" s="735"/>
      <c r="M89" s="319"/>
      <c r="O89" s="742"/>
      <c r="P89" s="742"/>
      <c r="Q89" s="742"/>
      <c r="R89" s="742"/>
    </row>
    <row r="90" spans="1:18" s="321" customFormat="1" ht="18" customHeight="1" x14ac:dyDescent="0.3">
      <c r="A90" s="1019" t="s">
        <v>118</v>
      </c>
      <c r="B90" s="1502" t="s">
        <v>59</v>
      </c>
      <c r="C90" s="1502"/>
      <c r="D90" s="1000"/>
      <c r="E90" s="1000"/>
      <c r="F90" s="1020">
        <v>0</v>
      </c>
      <c r="G90" s="1020">
        <v>0</v>
      </c>
      <c r="H90" s="1025">
        <v>0</v>
      </c>
      <c r="I90" s="1025">
        <v>0</v>
      </c>
      <c r="J90" s="1025">
        <v>0</v>
      </c>
      <c r="K90" s="1026">
        <v>0</v>
      </c>
      <c r="L90" s="735"/>
      <c r="M90" s="319"/>
      <c r="O90" s="742"/>
      <c r="P90" s="742"/>
      <c r="Q90" s="742"/>
      <c r="R90" s="742"/>
    </row>
    <row r="91" spans="1:18" s="321" customFormat="1" ht="18" customHeight="1" x14ac:dyDescent="0.3">
      <c r="A91" s="1019" t="s">
        <v>119</v>
      </c>
      <c r="B91" s="1000" t="s">
        <v>60</v>
      </c>
      <c r="C91" s="1000"/>
      <c r="D91" s="1000"/>
      <c r="E91" s="1000"/>
      <c r="F91" s="1020">
        <v>1412.5</v>
      </c>
      <c r="G91" s="1020">
        <v>4574</v>
      </c>
      <c r="H91" s="1025">
        <v>109958</v>
      </c>
      <c r="I91" s="1025">
        <v>54592.147340179836</v>
      </c>
      <c r="J91" s="1025">
        <v>12622</v>
      </c>
      <c r="K91" s="1026">
        <v>151928.14734017983</v>
      </c>
      <c r="L91" s="735"/>
      <c r="M91" s="319"/>
      <c r="O91" s="742"/>
      <c r="P91" s="742"/>
      <c r="Q91" s="742"/>
      <c r="R91" s="742"/>
    </row>
    <row r="92" spans="1:18" ht="18" customHeight="1" x14ac:dyDescent="0.3">
      <c r="A92" s="1019" t="s">
        <v>120</v>
      </c>
      <c r="B92" s="1000" t="s">
        <v>121</v>
      </c>
      <c r="C92" s="1000"/>
      <c r="D92" s="1000"/>
      <c r="E92" s="1000"/>
      <c r="F92" s="1020">
        <v>3</v>
      </c>
      <c r="G92" s="1020">
        <v>555</v>
      </c>
      <c r="H92" s="1025">
        <v>547</v>
      </c>
      <c r="I92" s="1025">
        <v>271.57555243891642</v>
      </c>
      <c r="J92" s="1025">
        <v>0</v>
      </c>
      <c r="K92" s="1026">
        <v>818.57555243891647</v>
      </c>
      <c r="L92" s="311"/>
      <c r="M92" s="319"/>
      <c r="O92" s="277"/>
      <c r="P92" s="277"/>
      <c r="Q92" s="277"/>
      <c r="R92" s="277"/>
    </row>
    <row r="93" spans="1:18" s="3" customFormat="1" ht="18" customHeight="1" x14ac:dyDescent="0.3">
      <c r="A93" s="1019" t="s">
        <v>122</v>
      </c>
      <c r="B93" s="1000" t="s">
        <v>123</v>
      </c>
      <c r="C93" s="1000"/>
      <c r="D93" s="1000"/>
      <c r="E93" s="1000"/>
      <c r="F93" s="1020">
        <v>984.5</v>
      </c>
      <c r="G93" s="1020">
        <v>1550</v>
      </c>
      <c r="H93" s="1025">
        <v>118656</v>
      </c>
      <c r="I93" s="1025">
        <v>58910.546161228638</v>
      </c>
      <c r="J93" s="1025">
        <v>0</v>
      </c>
      <c r="K93" s="1026">
        <v>177566.54616122865</v>
      </c>
      <c r="L93" s="311"/>
      <c r="M93" s="319"/>
      <c r="N93" s="122"/>
      <c r="O93" s="278"/>
      <c r="P93" s="278"/>
      <c r="Q93" s="278"/>
      <c r="R93" s="278"/>
    </row>
    <row r="94" spans="1:18" s="642" customFormat="1" ht="18" customHeight="1" x14ac:dyDescent="0.3">
      <c r="A94" s="1019"/>
      <c r="B94" s="1000"/>
      <c r="C94" s="1000"/>
      <c r="D94" s="1000"/>
      <c r="E94" s="1000"/>
      <c r="F94" s="1000"/>
      <c r="G94" s="1000"/>
      <c r="H94" s="1003"/>
      <c r="I94" s="1003"/>
      <c r="J94" s="1003"/>
      <c r="K94" s="1005"/>
      <c r="L94" s="742"/>
      <c r="M94" s="735"/>
      <c r="N94" s="321"/>
    </row>
    <row r="95" spans="1:18" s="642" customFormat="1" ht="18" customHeight="1" x14ac:dyDescent="0.3">
      <c r="A95" s="1019"/>
      <c r="B95" s="1000"/>
      <c r="C95" s="1000"/>
      <c r="D95" s="1000"/>
      <c r="E95" s="1000"/>
      <c r="F95" s="1000"/>
      <c r="G95" s="1000"/>
      <c r="H95" s="1003"/>
      <c r="I95" s="1003"/>
      <c r="J95" s="1003"/>
      <c r="K95" s="1005"/>
      <c r="L95" s="742"/>
      <c r="M95" s="742"/>
      <c r="N95" s="321"/>
    </row>
    <row r="96" spans="1:18" s="642" customFormat="1" ht="18" customHeight="1" x14ac:dyDescent="0.3">
      <c r="A96" s="1019"/>
      <c r="B96" s="1000"/>
      <c r="C96" s="1000"/>
      <c r="D96" s="1000"/>
      <c r="E96" s="1000"/>
      <c r="F96" s="1000"/>
      <c r="G96" s="1000"/>
      <c r="H96" s="1003"/>
      <c r="I96" s="1003"/>
      <c r="J96" s="1003"/>
      <c r="K96" s="1005"/>
      <c r="L96" s="742"/>
      <c r="M96" s="742"/>
      <c r="N96" s="321"/>
    </row>
    <row r="97" spans="1:18" s="642" customFormat="1" ht="18" customHeight="1" x14ac:dyDescent="0.3">
      <c r="A97" s="1019"/>
      <c r="B97" s="1000"/>
      <c r="C97" s="1000"/>
      <c r="D97" s="1000"/>
      <c r="E97" s="1000"/>
      <c r="F97" s="1282">
        <f>SUM(F86:F93)</f>
        <v>3476.5</v>
      </c>
      <c r="G97" s="1000"/>
      <c r="H97" s="1003"/>
      <c r="I97" s="1003"/>
      <c r="J97" s="1003"/>
      <c r="K97" s="1005"/>
      <c r="L97" s="742"/>
      <c r="M97" s="742"/>
      <c r="N97" s="321"/>
    </row>
    <row r="98" spans="1:18" s="3" customFormat="1" ht="18" customHeight="1" x14ac:dyDescent="0.3">
      <c r="A98" s="1018" t="s">
        <v>150</v>
      </c>
      <c r="B98" s="1006" t="s">
        <v>151</v>
      </c>
      <c r="C98" s="1000"/>
      <c r="D98" s="1000"/>
      <c r="E98" s="1006" t="s">
        <v>7</v>
      </c>
      <c r="F98" s="1027">
        <v>3476.5</v>
      </c>
      <c r="G98" s="1027">
        <v>10021</v>
      </c>
      <c r="H98" s="1038">
        <v>407520</v>
      </c>
      <c r="I98" s="1038">
        <v>202326.26897606437</v>
      </c>
      <c r="J98" s="1038">
        <v>25244</v>
      </c>
      <c r="K98" s="1039">
        <v>584602.2689760644</v>
      </c>
      <c r="L98" s="311"/>
      <c r="M98" s="311"/>
      <c r="N98" s="122"/>
      <c r="O98" s="278"/>
      <c r="P98" s="278"/>
      <c r="Q98" s="278"/>
      <c r="R98" s="278"/>
    </row>
    <row r="99" spans="1:18" ht="18" customHeight="1" x14ac:dyDescent="0.3">
      <c r="A99" s="1012"/>
      <c r="B99" s="1006"/>
      <c r="C99" s="1000"/>
      <c r="D99" s="1000"/>
      <c r="E99" s="1000"/>
      <c r="F99" s="1001"/>
      <c r="G99" s="1001"/>
      <c r="H99" s="995"/>
      <c r="I99" s="995"/>
      <c r="J99" s="995"/>
      <c r="K99" s="996"/>
      <c r="L99" s="311"/>
      <c r="M99" s="311"/>
      <c r="O99" s="277"/>
      <c r="P99" s="277"/>
      <c r="Q99" s="277"/>
      <c r="R99" s="277"/>
    </row>
    <row r="100" spans="1:18" ht="18" customHeight="1" x14ac:dyDescent="0.3">
      <c r="A100" s="1012"/>
      <c r="B100" s="1000"/>
      <c r="C100" s="1000"/>
      <c r="D100" s="1000"/>
      <c r="E100" s="1000"/>
      <c r="F100" s="997" t="s">
        <v>9</v>
      </c>
      <c r="G100" s="997" t="s">
        <v>37</v>
      </c>
      <c r="H100" s="998" t="s">
        <v>29</v>
      </c>
      <c r="I100" s="998" t="s">
        <v>30</v>
      </c>
      <c r="J100" s="998" t="s">
        <v>33</v>
      </c>
      <c r="K100" s="999" t="s">
        <v>34</v>
      </c>
      <c r="L100" s="317"/>
      <c r="M100" s="318"/>
      <c r="O100" s="277"/>
      <c r="P100" s="277"/>
      <c r="Q100" s="277"/>
      <c r="R100" s="277"/>
    </row>
    <row r="101" spans="1:18" ht="18" customHeight="1" x14ac:dyDescent="0.3">
      <c r="A101" s="1018" t="s">
        <v>130</v>
      </c>
      <c r="B101" s="1006" t="s">
        <v>63</v>
      </c>
      <c r="C101" s="1000"/>
      <c r="D101" s="1000"/>
      <c r="E101" s="1000"/>
      <c r="F101" s="1000"/>
      <c r="G101" s="1000"/>
      <c r="H101" s="1003"/>
      <c r="I101" s="1003"/>
      <c r="J101" s="1003"/>
      <c r="K101" s="1005"/>
      <c r="L101" s="317"/>
      <c r="M101" s="317"/>
      <c r="N101" s="311"/>
      <c r="O101" s="277"/>
      <c r="P101" s="277"/>
      <c r="Q101" s="277"/>
      <c r="R101" s="277"/>
    </row>
    <row r="102" spans="1:18" ht="18" customHeight="1" x14ac:dyDescent="0.3">
      <c r="A102" s="1019" t="s">
        <v>131</v>
      </c>
      <c r="B102" s="1000" t="s">
        <v>152</v>
      </c>
      <c r="C102" s="1000"/>
      <c r="D102" s="1000"/>
      <c r="E102" s="1000"/>
      <c r="F102" s="1020">
        <v>1111</v>
      </c>
      <c r="G102" s="1020">
        <v>13</v>
      </c>
      <c r="H102" s="1025">
        <v>211126.02857142856</v>
      </c>
      <c r="I102" s="1025">
        <v>104820.23371758712</v>
      </c>
      <c r="J102" s="1025">
        <v>25243</v>
      </c>
      <c r="K102" s="1026">
        <v>290703.26228901569</v>
      </c>
      <c r="L102" s="311"/>
      <c r="M102" s="1281"/>
      <c r="N102" s="311"/>
      <c r="O102" s="277"/>
      <c r="P102" s="277"/>
      <c r="Q102" s="277"/>
      <c r="R102" s="277"/>
    </row>
    <row r="103" spans="1:18" s="742" customFormat="1" ht="18" customHeight="1" x14ac:dyDescent="0.3">
      <c r="A103" s="1019" t="s">
        <v>132</v>
      </c>
      <c r="B103" s="1502" t="s">
        <v>454</v>
      </c>
      <c r="C103" s="1502"/>
      <c r="D103" s="1000"/>
      <c r="E103" s="1000"/>
      <c r="F103" s="1020">
        <v>521</v>
      </c>
      <c r="G103" s="1020">
        <v>0</v>
      </c>
      <c r="H103" s="1025">
        <v>36385</v>
      </c>
      <c r="I103" s="1025">
        <v>18064.490814424084</v>
      </c>
      <c r="J103" s="1025">
        <v>12622</v>
      </c>
      <c r="K103" s="1026">
        <v>41827.490814424084</v>
      </c>
      <c r="M103" s="1281"/>
    </row>
    <row r="104" spans="1:18" s="742" customFormat="1" ht="18" customHeight="1" x14ac:dyDescent="0.3">
      <c r="A104" s="1019" t="s">
        <v>128</v>
      </c>
      <c r="B104" s="1501" t="s">
        <v>389</v>
      </c>
      <c r="C104" s="1501"/>
      <c r="D104" s="1501"/>
      <c r="E104" s="1000"/>
      <c r="F104" s="1020">
        <v>4</v>
      </c>
      <c r="G104" s="1020">
        <v>0</v>
      </c>
      <c r="H104" s="1025">
        <v>29932</v>
      </c>
      <c r="I104" s="1025">
        <v>14860.693666547799</v>
      </c>
      <c r="J104" s="1025">
        <v>0</v>
      </c>
      <c r="K104" s="1026">
        <v>44792.693666547799</v>
      </c>
      <c r="M104" s="1281"/>
    </row>
    <row r="105" spans="1:18" ht="18" customHeight="1" x14ac:dyDescent="0.3">
      <c r="A105" s="1012"/>
      <c r="B105" s="1006"/>
      <c r="C105" s="1000"/>
      <c r="D105" s="1000"/>
      <c r="E105" s="1000"/>
      <c r="F105" s="1000"/>
      <c r="G105" s="1000"/>
      <c r="H105" s="1003"/>
      <c r="I105" s="1003"/>
      <c r="J105" s="1003"/>
      <c r="K105" s="1005"/>
      <c r="L105" s="311"/>
      <c r="M105" s="311"/>
      <c r="N105" s="311"/>
      <c r="O105" s="277"/>
      <c r="P105" s="277"/>
      <c r="Q105" s="277"/>
      <c r="R105" s="277"/>
    </row>
    <row r="106" spans="1:18" s="742" customFormat="1" ht="18" customHeight="1" x14ac:dyDescent="0.3">
      <c r="A106" s="1012"/>
      <c r="B106" s="1006"/>
      <c r="C106" s="1000"/>
      <c r="D106" s="1000"/>
      <c r="E106" s="1000"/>
      <c r="F106" s="1000"/>
      <c r="G106" s="1000"/>
      <c r="H106" s="1003"/>
      <c r="I106" s="1003"/>
      <c r="J106" s="1003"/>
      <c r="K106" s="1005"/>
      <c r="M106" s="1281"/>
    </row>
    <row r="107" spans="1:18" s="742" customFormat="1" ht="18" customHeight="1" x14ac:dyDescent="0.3">
      <c r="A107" s="1012"/>
      <c r="B107" s="1006"/>
      <c r="C107" s="1000"/>
      <c r="D107" s="1000"/>
      <c r="E107" s="1000"/>
      <c r="F107" s="1282">
        <f>SUM(F102:F104)</f>
        <v>1636</v>
      </c>
      <c r="G107" s="1000"/>
      <c r="H107" s="1003"/>
      <c r="I107" s="1003"/>
      <c r="J107" s="1003"/>
      <c r="K107" s="1005"/>
    </row>
    <row r="108" spans="1:18" ht="18" customHeight="1" x14ac:dyDescent="0.3">
      <c r="A108" s="1018" t="s">
        <v>153</v>
      </c>
      <c r="B108" s="1006" t="s">
        <v>154</v>
      </c>
      <c r="C108" s="1000"/>
      <c r="D108" s="1000"/>
      <c r="E108" s="1006" t="s">
        <v>7</v>
      </c>
      <c r="F108" s="1027">
        <v>1636</v>
      </c>
      <c r="G108" s="1027">
        <v>13</v>
      </c>
      <c r="H108" s="1028">
        <v>277443.02857142856</v>
      </c>
      <c r="I108" s="1028">
        <v>137745.418198559</v>
      </c>
      <c r="J108" s="1028">
        <v>37865</v>
      </c>
      <c r="K108" s="1023">
        <v>377323.44676998758</v>
      </c>
      <c r="L108" s="314"/>
      <c r="M108" s="314"/>
      <c r="N108" s="321"/>
      <c r="O108" s="277"/>
      <c r="P108" s="277"/>
      <c r="Q108" s="277"/>
      <c r="R108" s="277"/>
    </row>
    <row r="109" spans="1:18" ht="18" customHeight="1" x14ac:dyDescent="0.3">
      <c r="A109" s="1012"/>
      <c r="B109" s="1006"/>
      <c r="C109" s="1000"/>
      <c r="D109" s="1000"/>
      <c r="E109" s="1000"/>
      <c r="F109" s="1001"/>
      <c r="G109" s="1001"/>
      <c r="H109" s="995"/>
      <c r="I109" s="995"/>
      <c r="J109" s="995"/>
      <c r="K109" s="996"/>
      <c r="L109" s="314"/>
      <c r="M109" s="314"/>
      <c r="N109" s="321"/>
      <c r="O109" s="277"/>
      <c r="P109" s="277"/>
      <c r="Q109" s="277"/>
      <c r="R109" s="277"/>
    </row>
    <row r="110" spans="1:18" ht="18" customHeight="1" x14ac:dyDescent="0.3">
      <c r="A110" s="1018" t="s">
        <v>156</v>
      </c>
      <c r="B110" s="1006" t="s">
        <v>39</v>
      </c>
      <c r="C110" s="1000"/>
      <c r="D110" s="1000"/>
      <c r="E110" s="1000"/>
      <c r="F110" s="1000"/>
      <c r="G110" s="1000"/>
      <c r="H110" s="1003"/>
      <c r="I110" s="1003"/>
      <c r="J110" s="1003"/>
      <c r="K110" s="1005"/>
      <c r="L110" s="314"/>
      <c r="M110" s="314"/>
      <c r="N110" s="321"/>
      <c r="O110" s="277"/>
      <c r="P110" s="277"/>
      <c r="Q110" s="277"/>
      <c r="R110" s="277"/>
    </row>
    <row r="111" spans="1:18" ht="18" customHeight="1" x14ac:dyDescent="0.3">
      <c r="A111" s="1018" t="s">
        <v>155</v>
      </c>
      <c r="B111" s="1006" t="s">
        <v>164</v>
      </c>
      <c r="C111" s="1000"/>
      <c r="D111" s="1000"/>
      <c r="E111" s="1006" t="s">
        <v>7</v>
      </c>
      <c r="F111" s="1021">
        <v>3168000</v>
      </c>
      <c r="G111" s="1000"/>
      <c r="H111" s="1003"/>
      <c r="I111" s="1003"/>
      <c r="J111" s="1003"/>
      <c r="K111" s="1005"/>
      <c r="L111" s="311"/>
      <c r="M111" s="311"/>
      <c r="N111" s="311"/>
      <c r="O111" s="277"/>
      <c r="P111" s="277"/>
      <c r="Q111" s="277"/>
      <c r="R111" s="277"/>
    </row>
    <row r="112" spans="1:18" s="122" customFormat="1" ht="18" customHeight="1" x14ac:dyDescent="0.3">
      <c r="A112" s="1012"/>
      <c r="B112" s="1006"/>
      <c r="C112" s="1000"/>
      <c r="D112" s="1000"/>
      <c r="E112" s="1006"/>
      <c r="F112" s="1000"/>
      <c r="G112" s="1000"/>
      <c r="H112" s="1003"/>
      <c r="I112" s="1003"/>
      <c r="J112" s="1003"/>
      <c r="K112" s="1005"/>
      <c r="L112" s="311"/>
      <c r="M112" s="311"/>
      <c r="N112" s="311"/>
      <c r="O112" s="277"/>
      <c r="P112" s="277"/>
      <c r="Q112" s="277"/>
      <c r="R112" s="277"/>
    </row>
    <row r="113" spans="1:18" s="122" customFormat="1" ht="18" customHeight="1" x14ac:dyDescent="0.3">
      <c r="A113" s="1018"/>
      <c r="B113" s="1006" t="s">
        <v>15</v>
      </c>
      <c r="C113" s="1000"/>
      <c r="D113" s="1000"/>
      <c r="E113" s="1000"/>
      <c r="F113" s="1000"/>
      <c r="G113" s="1000"/>
      <c r="H113" s="1003"/>
      <c r="I113" s="1003"/>
      <c r="J113" s="1003"/>
      <c r="K113" s="1005"/>
      <c r="L113" s="311"/>
      <c r="M113" s="311"/>
      <c r="N113" s="311"/>
      <c r="O113" s="277"/>
      <c r="P113" s="277"/>
      <c r="Q113" s="277"/>
      <c r="R113" s="277"/>
    </row>
    <row r="114" spans="1:18" s="122" customFormat="1" ht="18" customHeight="1" x14ac:dyDescent="0.3">
      <c r="A114" s="1019" t="s">
        <v>171</v>
      </c>
      <c r="B114" s="1000" t="s">
        <v>768</v>
      </c>
      <c r="C114" s="1000"/>
      <c r="D114" s="1000"/>
      <c r="E114" s="1000"/>
      <c r="F114" s="1043">
        <v>0.49648181433074295</v>
      </c>
      <c r="G114" s="1000"/>
      <c r="H114" s="1003"/>
      <c r="I114" s="1003"/>
      <c r="J114" s="1003"/>
      <c r="K114" s="1005"/>
      <c r="L114" s="311"/>
      <c r="M114" s="311"/>
      <c r="N114" s="311"/>
      <c r="O114" s="277"/>
      <c r="P114" s="277"/>
      <c r="Q114" s="277"/>
      <c r="R114" s="277"/>
    </row>
    <row r="115" spans="1:18" s="122" customFormat="1" ht="18" customHeight="1" x14ac:dyDescent="0.3">
      <c r="A115" s="1019"/>
      <c r="B115" s="1000" t="s">
        <v>769</v>
      </c>
      <c r="C115" s="1000"/>
      <c r="D115" s="1000"/>
      <c r="E115" s="1000"/>
      <c r="F115" s="1043">
        <v>0.21347124850812912</v>
      </c>
      <c r="G115" s="1000"/>
      <c r="H115" s="1003"/>
      <c r="I115" s="1003"/>
      <c r="J115" s="1003"/>
      <c r="K115" s="1005"/>
      <c r="L115" s="311"/>
      <c r="M115" s="311"/>
      <c r="N115" s="311"/>
      <c r="O115" s="277"/>
      <c r="P115" s="277"/>
      <c r="Q115" s="277"/>
      <c r="R115" s="277"/>
    </row>
    <row r="116" spans="1:18" s="122" customFormat="1" ht="18" customHeight="1" x14ac:dyDescent="0.3">
      <c r="A116" s="1019"/>
      <c r="B116" s="1006"/>
      <c r="C116" s="1000"/>
      <c r="D116" s="1000"/>
      <c r="E116" s="1000"/>
      <c r="F116" s="1000"/>
      <c r="G116" s="1000"/>
      <c r="H116" s="1003"/>
      <c r="I116" s="1003"/>
      <c r="J116" s="1003"/>
      <c r="K116" s="1005"/>
      <c r="L116" s="311"/>
      <c r="M116" s="311"/>
      <c r="N116" s="311"/>
      <c r="O116" s="277"/>
      <c r="P116" s="277"/>
      <c r="Q116" s="277"/>
      <c r="R116" s="277"/>
    </row>
    <row r="117" spans="1:18" s="122" customFormat="1" ht="18" customHeight="1" x14ac:dyDescent="0.3">
      <c r="A117" s="1019" t="s">
        <v>170</v>
      </c>
      <c r="B117" s="1006" t="s">
        <v>16</v>
      </c>
      <c r="C117" s="1000"/>
      <c r="D117" s="1000"/>
      <c r="E117" s="1000"/>
      <c r="F117" s="1000"/>
      <c r="G117" s="1000"/>
      <c r="H117" s="1003"/>
      <c r="I117" s="1003"/>
      <c r="J117" s="1003"/>
      <c r="K117" s="1005"/>
      <c r="L117" s="311"/>
      <c r="M117" s="311"/>
      <c r="N117" s="311"/>
      <c r="O117" s="277"/>
      <c r="P117" s="277"/>
      <c r="Q117" s="277"/>
      <c r="R117" s="277"/>
    </row>
    <row r="118" spans="1:18" s="122" customFormat="1" ht="18" customHeight="1" x14ac:dyDescent="0.3">
      <c r="A118" s="1019" t="s">
        <v>172</v>
      </c>
      <c r="B118" s="1000" t="s">
        <v>17</v>
      </c>
      <c r="C118" s="1000"/>
      <c r="D118" s="1000"/>
      <c r="E118" s="1000"/>
      <c r="F118" s="1021">
        <v>267818000</v>
      </c>
      <c r="G118" s="1000"/>
      <c r="H118" s="1003"/>
      <c r="I118" s="1003"/>
      <c r="J118" s="1003"/>
      <c r="K118" s="1005"/>
      <c r="L118" s="311"/>
      <c r="M118" s="311"/>
      <c r="N118" s="311"/>
      <c r="O118" s="277"/>
      <c r="P118" s="277"/>
      <c r="Q118" s="277"/>
      <c r="R118" s="277"/>
    </row>
    <row r="119" spans="1:18" s="122" customFormat="1" ht="16.149999999999999" customHeight="1" x14ac:dyDescent="0.3">
      <c r="A119" s="1019" t="s">
        <v>173</v>
      </c>
      <c r="B119" s="1000" t="s">
        <v>18</v>
      </c>
      <c r="C119" s="1000"/>
      <c r="D119" s="1000"/>
      <c r="E119" s="1000"/>
      <c r="F119" s="1021">
        <v>27142000</v>
      </c>
      <c r="G119" s="1000"/>
      <c r="H119" s="1003"/>
      <c r="I119" s="1003"/>
      <c r="J119" s="1003"/>
      <c r="K119" s="1005"/>
      <c r="L119" s="311"/>
      <c r="M119" s="311"/>
      <c r="O119" s="277"/>
      <c r="P119" s="277"/>
      <c r="Q119" s="277"/>
      <c r="R119" s="277"/>
    </row>
    <row r="120" spans="1:18" s="122" customFormat="1" ht="18" customHeight="1" x14ac:dyDescent="0.3">
      <c r="A120" s="1019" t="s">
        <v>174</v>
      </c>
      <c r="B120" s="1006" t="s">
        <v>19</v>
      </c>
      <c r="C120" s="1000"/>
      <c r="D120" s="1000"/>
      <c r="E120" s="1000"/>
      <c r="F120" s="1044">
        <v>294960000</v>
      </c>
      <c r="G120" s="1000"/>
      <c r="H120" s="1003"/>
      <c r="I120" s="1003"/>
      <c r="J120" s="1003"/>
      <c r="K120" s="1005"/>
      <c r="L120" s="311"/>
      <c r="M120" s="311"/>
      <c r="O120" s="277"/>
      <c r="P120" s="277"/>
      <c r="Q120" s="277"/>
      <c r="R120" s="277"/>
    </row>
    <row r="121" spans="1:18" s="122" customFormat="1" ht="18" customHeight="1" x14ac:dyDescent="0.3">
      <c r="A121" s="1019" t="s">
        <v>167</v>
      </c>
      <c r="B121" s="1006" t="s">
        <v>36</v>
      </c>
      <c r="C121" s="1000"/>
      <c r="D121" s="1000"/>
      <c r="E121" s="1000"/>
      <c r="F121" s="1021">
        <v>283346000</v>
      </c>
      <c r="G121" s="1045"/>
      <c r="H121" s="1003"/>
      <c r="I121" s="1003"/>
      <c r="J121" s="1003"/>
      <c r="K121" s="1005"/>
      <c r="L121" s="311"/>
      <c r="M121" s="311"/>
      <c r="O121" s="277"/>
      <c r="P121" s="277"/>
      <c r="Q121" s="277"/>
      <c r="R121" s="277"/>
    </row>
    <row r="122" spans="1:18" s="122" customFormat="1" ht="18" customHeight="1" x14ac:dyDescent="0.3">
      <c r="A122" s="1019"/>
      <c r="B122" s="1000"/>
      <c r="C122" s="1000"/>
      <c r="D122" s="1000"/>
      <c r="E122" s="1000"/>
      <c r="F122" s="1003"/>
      <c r="G122" s="1000"/>
      <c r="H122" s="1003"/>
      <c r="I122" s="1003"/>
      <c r="J122" s="1003"/>
      <c r="K122" s="1005"/>
      <c r="L122" s="311"/>
      <c r="M122" s="311"/>
      <c r="O122" s="277"/>
      <c r="P122" s="277"/>
      <c r="Q122" s="277"/>
      <c r="R122" s="277"/>
    </row>
    <row r="123" spans="1:18" s="122" customFormat="1" ht="18" customHeight="1" x14ac:dyDescent="0.3">
      <c r="A123" s="1019" t="s">
        <v>175</v>
      </c>
      <c r="B123" s="1006" t="s">
        <v>20</v>
      </c>
      <c r="C123" s="1000"/>
      <c r="D123" s="1000"/>
      <c r="E123" s="1000"/>
      <c r="F123" s="1046">
        <v>11614000</v>
      </c>
      <c r="G123" s="1000"/>
      <c r="H123" s="1003"/>
      <c r="I123" s="1003"/>
      <c r="J123" s="1003"/>
      <c r="K123" s="1005"/>
      <c r="L123" s="311"/>
      <c r="M123" s="311"/>
      <c r="O123" s="277"/>
      <c r="P123" s="277"/>
      <c r="Q123" s="277"/>
      <c r="R123" s="277"/>
    </row>
    <row r="124" spans="1:18" s="122" customFormat="1" ht="18" customHeight="1" x14ac:dyDescent="0.3">
      <c r="A124" s="1019"/>
      <c r="B124" s="1000"/>
      <c r="C124" s="1000"/>
      <c r="D124" s="1000"/>
      <c r="E124" s="1000"/>
      <c r="F124" s="1003"/>
      <c r="G124" s="1000"/>
      <c r="H124" s="1003"/>
      <c r="I124" s="1003"/>
      <c r="J124" s="1003"/>
      <c r="K124" s="1005"/>
      <c r="L124" s="311"/>
      <c r="M124" s="311"/>
      <c r="O124" s="277"/>
      <c r="P124" s="277"/>
      <c r="Q124" s="277"/>
      <c r="R124" s="277"/>
    </row>
    <row r="125" spans="1:18" s="122" customFormat="1" ht="18" customHeight="1" x14ac:dyDescent="0.3">
      <c r="A125" s="1019" t="s">
        <v>176</v>
      </c>
      <c r="B125" s="1006" t="s">
        <v>21</v>
      </c>
      <c r="C125" s="1000"/>
      <c r="D125" s="1000"/>
      <c r="E125" s="1000"/>
      <c r="F125" s="1021">
        <v>23956000</v>
      </c>
      <c r="G125" s="1000"/>
      <c r="H125" s="1003"/>
      <c r="I125" s="1003"/>
      <c r="J125" s="1003"/>
      <c r="K125" s="1005"/>
      <c r="L125" s="311"/>
      <c r="M125" s="311"/>
      <c r="O125" s="277"/>
      <c r="P125" s="277"/>
      <c r="Q125" s="277"/>
      <c r="R125" s="277"/>
    </row>
    <row r="126" spans="1:18" s="122" customFormat="1" ht="18" customHeight="1" x14ac:dyDescent="0.3">
      <c r="A126" s="1019"/>
      <c r="B126" s="1000"/>
      <c r="C126" s="1000"/>
      <c r="D126" s="1000"/>
      <c r="E126" s="1000"/>
      <c r="F126" s="1003"/>
      <c r="G126" s="1000"/>
      <c r="H126" s="1003"/>
      <c r="I126" s="1003"/>
      <c r="J126" s="1003"/>
      <c r="K126" s="1005"/>
      <c r="L126" s="311"/>
      <c r="M126" s="311"/>
      <c r="O126" s="277"/>
      <c r="P126" s="277"/>
      <c r="Q126" s="277"/>
      <c r="R126" s="277"/>
    </row>
    <row r="127" spans="1:18" s="122" customFormat="1" ht="18" customHeight="1" x14ac:dyDescent="0.3">
      <c r="A127" s="1019" t="s">
        <v>177</v>
      </c>
      <c r="B127" s="1006" t="s">
        <v>22</v>
      </c>
      <c r="C127" s="1000"/>
      <c r="D127" s="1000"/>
      <c r="E127" s="1000"/>
      <c r="F127" s="1046">
        <v>35570000</v>
      </c>
      <c r="G127" s="1047"/>
      <c r="H127" s="1003"/>
      <c r="I127" s="1003"/>
      <c r="J127" s="1003"/>
      <c r="K127" s="1005"/>
      <c r="L127" s="311"/>
      <c r="M127" s="311"/>
      <c r="O127" s="277"/>
      <c r="P127" s="277"/>
      <c r="Q127" s="277"/>
      <c r="R127" s="277"/>
    </row>
    <row r="128" spans="1:18" s="122" customFormat="1" ht="42.75" customHeight="1" x14ac:dyDescent="0.3">
      <c r="A128" s="1019"/>
      <c r="B128" s="1000"/>
      <c r="C128" s="1000"/>
      <c r="D128" s="1000"/>
      <c r="E128" s="1000"/>
      <c r="F128" s="1000"/>
      <c r="G128" s="1000"/>
      <c r="H128" s="1003"/>
      <c r="I128" s="1003"/>
      <c r="J128" s="1003"/>
      <c r="K128" s="1005"/>
      <c r="L128" s="311"/>
      <c r="M128" s="311"/>
      <c r="O128" s="277"/>
      <c r="P128" s="277"/>
      <c r="Q128" s="277"/>
      <c r="R128" s="277"/>
    </row>
    <row r="129" spans="1:18" s="122" customFormat="1" ht="18" customHeight="1" x14ac:dyDescent="0.3">
      <c r="A129" s="1012"/>
      <c r="B129" s="1000"/>
      <c r="C129" s="1000"/>
      <c r="D129" s="1000"/>
      <c r="E129" s="1000"/>
      <c r="F129" s="997" t="s">
        <v>9</v>
      </c>
      <c r="G129" s="997" t="s">
        <v>37</v>
      </c>
      <c r="H129" s="998" t="s">
        <v>29</v>
      </c>
      <c r="I129" s="998" t="s">
        <v>30</v>
      </c>
      <c r="J129" s="998" t="s">
        <v>33</v>
      </c>
      <c r="K129" s="999" t="s">
        <v>34</v>
      </c>
      <c r="L129" s="311"/>
      <c r="M129" s="311"/>
      <c r="O129" s="277"/>
      <c r="P129" s="277"/>
      <c r="Q129" s="277"/>
      <c r="R129" s="277"/>
    </row>
    <row r="130" spans="1:18" s="122" customFormat="1" ht="18" customHeight="1" x14ac:dyDescent="0.3">
      <c r="A130" s="1018" t="s">
        <v>157</v>
      </c>
      <c r="B130" s="1006" t="s">
        <v>23</v>
      </c>
      <c r="C130" s="1000"/>
      <c r="D130" s="1000"/>
      <c r="E130" s="1000"/>
      <c r="F130" s="1000"/>
      <c r="G130" s="1000"/>
      <c r="H130" s="1003"/>
      <c r="I130" s="1003"/>
      <c r="J130" s="1003"/>
      <c r="K130" s="1005"/>
      <c r="L130" s="317"/>
      <c r="M130" s="318"/>
      <c r="O130" s="277"/>
      <c r="P130" s="277"/>
      <c r="Q130" s="277"/>
      <c r="R130" s="277"/>
    </row>
    <row r="131" spans="1:18" s="122" customFormat="1" ht="18" customHeight="1" x14ac:dyDescent="0.3">
      <c r="A131" s="1019" t="s">
        <v>158</v>
      </c>
      <c r="B131" s="1000" t="s">
        <v>24</v>
      </c>
      <c r="C131" s="1000"/>
      <c r="D131" s="1000"/>
      <c r="E131" s="1000"/>
      <c r="F131" s="1020">
        <v>125</v>
      </c>
      <c r="G131" s="1020">
        <v>6922</v>
      </c>
      <c r="H131" s="1021">
        <v>121696</v>
      </c>
      <c r="I131" s="1021">
        <v>60419.850876794095</v>
      </c>
      <c r="J131" s="1021">
        <v>0</v>
      </c>
      <c r="K131" s="1023">
        <v>182115.85087679408</v>
      </c>
      <c r="L131" s="317"/>
      <c r="M131" s="317"/>
      <c r="O131" s="277"/>
      <c r="P131" s="277"/>
      <c r="Q131" s="277"/>
      <c r="R131" s="277"/>
    </row>
    <row r="132" spans="1:18" s="122" customFormat="1" ht="18" customHeight="1" x14ac:dyDescent="0.3">
      <c r="A132" s="1019" t="s">
        <v>159</v>
      </c>
      <c r="B132" s="1000" t="s">
        <v>25</v>
      </c>
      <c r="C132" s="1000"/>
      <c r="D132" s="1000"/>
      <c r="E132" s="1000"/>
      <c r="F132" s="1020">
        <v>1</v>
      </c>
      <c r="G132" s="1020">
        <v>0</v>
      </c>
      <c r="H132" s="1021">
        <v>112103</v>
      </c>
      <c r="I132" s="1021">
        <v>55657.100831919277</v>
      </c>
      <c r="J132" s="1021">
        <v>0</v>
      </c>
      <c r="K132" s="1023">
        <v>167760.10083191929</v>
      </c>
      <c r="L132" s="311"/>
      <c r="M132" s="318"/>
      <c r="O132" s="277"/>
      <c r="P132" s="277"/>
      <c r="Q132" s="277"/>
      <c r="R132" s="277"/>
    </row>
    <row r="133" spans="1:18" s="122" customFormat="1" ht="18" customHeight="1" x14ac:dyDescent="0.3">
      <c r="A133" s="1019" t="s">
        <v>160</v>
      </c>
      <c r="B133" s="1501" t="s">
        <v>455</v>
      </c>
      <c r="C133" s="1501"/>
      <c r="D133" s="1501"/>
      <c r="E133" s="1000"/>
      <c r="F133" s="1020">
        <v>0</v>
      </c>
      <c r="G133" s="1020">
        <v>0</v>
      </c>
      <c r="H133" s="1021">
        <v>0</v>
      </c>
      <c r="I133" s="1021">
        <v>0</v>
      </c>
      <c r="J133" s="1021">
        <v>0</v>
      </c>
      <c r="K133" s="1023">
        <v>0</v>
      </c>
      <c r="L133" s="311"/>
      <c r="M133" s="311"/>
      <c r="O133" s="277"/>
      <c r="P133" s="277"/>
      <c r="Q133" s="277"/>
      <c r="R133" s="277"/>
    </row>
    <row r="134" spans="1:18" s="122" customFormat="1" ht="18" customHeight="1" x14ac:dyDescent="0.3">
      <c r="A134" s="1019"/>
      <c r="B134" s="1002"/>
      <c r="C134" s="1002"/>
      <c r="D134" s="1002"/>
      <c r="E134" s="1000"/>
      <c r="F134" s="1048"/>
      <c r="G134" s="1048"/>
      <c r="H134" s="1049"/>
      <c r="I134" s="1049"/>
      <c r="J134" s="1049"/>
      <c r="K134" s="1050"/>
      <c r="L134" s="311"/>
      <c r="M134" s="311"/>
      <c r="O134" s="277"/>
      <c r="P134" s="277"/>
      <c r="Q134" s="277"/>
      <c r="R134" s="277"/>
    </row>
    <row r="135" spans="1:18" s="122" customFormat="1" ht="18" customHeight="1" x14ac:dyDescent="0.3">
      <c r="A135" s="1018"/>
      <c r="B135" s="1000"/>
      <c r="C135" s="1000"/>
      <c r="D135" s="1000"/>
      <c r="E135" s="1000"/>
      <c r="F135" s="1000"/>
      <c r="G135" s="1000"/>
      <c r="H135" s="1003"/>
      <c r="I135" s="1003"/>
      <c r="J135" s="1003"/>
      <c r="K135" s="1005"/>
      <c r="L135" s="311"/>
      <c r="M135" s="311"/>
      <c r="O135" s="277"/>
      <c r="P135" s="277"/>
      <c r="Q135" s="277"/>
      <c r="R135" s="277"/>
    </row>
    <row r="136" spans="1:18" s="122" customFormat="1" ht="18" customHeight="1" x14ac:dyDescent="0.3">
      <c r="A136" s="1018" t="s">
        <v>163</v>
      </c>
      <c r="B136" s="1006" t="s">
        <v>27</v>
      </c>
      <c r="C136" s="1000"/>
      <c r="D136" s="1000"/>
      <c r="E136" s="1000"/>
      <c r="F136" s="1027">
        <v>126</v>
      </c>
      <c r="G136" s="1027">
        <v>6922</v>
      </c>
      <c r="H136" s="1028">
        <v>233799</v>
      </c>
      <c r="I136" s="1028">
        <v>116076.95170871337</v>
      </c>
      <c r="J136" s="1028">
        <v>0</v>
      </c>
      <c r="K136" s="1023">
        <v>349875.95170871337</v>
      </c>
      <c r="L136" s="311"/>
      <c r="M136" s="311"/>
      <c r="O136" s="277"/>
      <c r="P136" s="277"/>
      <c r="Q136" s="277"/>
      <c r="R136" s="277"/>
    </row>
    <row r="137" spans="1:18" s="122" customFormat="1" ht="18" customHeight="1" x14ac:dyDescent="0.25">
      <c r="A137" s="342"/>
      <c r="B137" s="1000"/>
      <c r="C137" s="1000"/>
      <c r="D137" s="1000"/>
      <c r="E137" s="1000"/>
      <c r="F137" s="1000"/>
      <c r="G137" s="1000"/>
      <c r="H137" s="1003"/>
      <c r="I137" s="1003"/>
      <c r="J137" s="1003"/>
      <c r="K137" s="1005"/>
      <c r="L137" s="311"/>
      <c r="M137" s="311"/>
      <c r="O137" s="277"/>
      <c r="P137" s="277"/>
      <c r="Q137" s="277"/>
      <c r="R137" s="277"/>
    </row>
    <row r="138" spans="1:18" s="122" customFormat="1" ht="18" customHeight="1" x14ac:dyDescent="0.3">
      <c r="A138" s="1012"/>
      <c r="B138" s="1000"/>
      <c r="C138" s="1000"/>
      <c r="D138" s="1000"/>
      <c r="E138" s="1000"/>
      <c r="F138" s="997" t="s">
        <v>9</v>
      </c>
      <c r="G138" s="997" t="s">
        <v>37</v>
      </c>
      <c r="H138" s="998" t="s">
        <v>29</v>
      </c>
      <c r="I138" s="998" t="s">
        <v>30</v>
      </c>
      <c r="J138" s="998" t="s">
        <v>33</v>
      </c>
      <c r="K138" s="999" t="s">
        <v>34</v>
      </c>
      <c r="L138" s="311"/>
      <c r="M138" s="311"/>
      <c r="O138" s="277"/>
      <c r="P138" s="277"/>
      <c r="Q138" s="277"/>
      <c r="R138" s="277"/>
    </row>
    <row r="139" spans="1:18" s="122" customFormat="1" ht="18" customHeight="1" x14ac:dyDescent="0.3">
      <c r="A139" s="1018" t="s">
        <v>166</v>
      </c>
      <c r="B139" s="1006" t="s">
        <v>26</v>
      </c>
      <c r="C139" s="1000"/>
      <c r="D139" s="1000"/>
      <c r="E139" s="1000"/>
      <c r="F139" s="1000"/>
      <c r="G139" s="1000"/>
      <c r="H139" s="1003"/>
      <c r="I139" s="1003"/>
      <c r="J139" s="1003"/>
      <c r="K139" s="1005"/>
      <c r="L139" s="311"/>
      <c r="M139" s="311"/>
      <c r="O139" s="277"/>
      <c r="P139" s="277"/>
      <c r="Q139" s="277"/>
      <c r="R139" s="277"/>
    </row>
    <row r="140" spans="1:18" s="122" customFormat="1" ht="18" customHeight="1" x14ac:dyDescent="0.3">
      <c r="A140" s="1019" t="s">
        <v>137</v>
      </c>
      <c r="B140" s="1006" t="s">
        <v>64</v>
      </c>
      <c r="C140" s="1000"/>
      <c r="D140" s="1000"/>
      <c r="E140" s="1000"/>
      <c r="F140" s="1051">
        <v>39012.600714285712</v>
      </c>
      <c r="G140" s="1051">
        <v>75203.8</v>
      </c>
      <c r="H140" s="1052">
        <v>2485364</v>
      </c>
      <c r="I140" s="1052">
        <v>1233938.0279923128</v>
      </c>
      <c r="J140" s="1052">
        <v>186139</v>
      </c>
      <c r="K140" s="1053">
        <v>3533163.0279923128</v>
      </c>
      <c r="L140" s="317"/>
      <c r="M140" s="317"/>
      <c r="O140" s="277"/>
      <c r="P140" s="277"/>
      <c r="Q140" s="277"/>
      <c r="R140" s="277"/>
    </row>
    <row r="141" spans="1:18" s="122" customFormat="1" ht="18" customHeight="1" x14ac:dyDescent="0.3">
      <c r="A141" s="1019" t="s">
        <v>142</v>
      </c>
      <c r="B141" s="1006" t="s">
        <v>65</v>
      </c>
      <c r="C141" s="1000"/>
      <c r="D141" s="1000"/>
      <c r="E141" s="1000"/>
      <c r="F141" s="1051">
        <v>45672.57</v>
      </c>
      <c r="G141" s="1051">
        <v>2835</v>
      </c>
      <c r="H141" s="1052">
        <v>2937027</v>
      </c>
      <c r="I141" s="1052">
        <v>0</v>
      </c>
      <c r="J141" s="1052">
        <v>0</v>
      </c>
      <c r="K141" s="1053">
        <v>2937027</v>
      </c>
      <c r="L141" s="311"/>
      <c r="M141" s="735"/>
      <c r="O141" s="277"/>
      <c r="P141" s="277"/>
      <c r="Q141" s="277"/>
      <c r="R141" s="277"/>
    </row>
    <row r="142" spans="1:18" s="122" customFormat="1" ht="18" customHeight="1" x14ac:dyDescent="0.3">
      <c r="A142" s="1019" t="s">
        <v>144</v>
      </c>
      <c r="B142" s="1006" t="s">
        <v>66</v>
      </c>
      <c r="C142" s="1000"/>
      <c r="D142" s="1000"/>
      <c r="E142" s="1000"/>
      <c r="F142" s="1051">
        <v>1779.9642857142858</v>
      </c>
      <c r="G142" s="1051">
        <v>6872.2</v>
      </c>
      <c r="H142" s="1052">
        <v>9666728.0275999997</v>
      </c>
      <c r="I142" s="1052">
        <v>419109.18184819643</v>
      </c>
      <c r="J142" s="1052">
        <v>797557.63999999978</v>
      </c>
      <c r="K142" s="1053">
        <v>9288279.579448197</v>
      </c>
      <c r="L142" s="311"/>
      <c r="M142" s="735"/>
      <c r="O142" s="277"/>
      <c r="P142" s="277"/>
      <c r="Q142" s="277"/>
      <c r="R142" s="277"/>
    </row>
    <row r="143" spans="1:18" ht="18" customHeight="1" x14ac:dyDescent="0.3">
      <c r="A143" s="1019" t="s">
        <v>146</v>
      </c>
      <c r="B143" s="1006" t="s">
        <v>67</v>
      </c>
      <c r="C143" s="1000"/>
      <c r="D143" s="1000"/>
      <c r="E143" s="1000"/>
      <c r="F143" s="1051">
        <v>0</v>
      </c>
      <c r="G143" s="1051">
        <v>0</v>
      </c>
      <c r="H143" s="1052">
        <v>3472748.080000001</v>
      </c>
      <c r="I143" s="1052">
        <v>0</v>
      </c>
      <c r="J143" s="1052">
        <v>3472748.080000001</v>
      </c>
      <c r="K143" s="1053">
        <v>2.0000000000000001E-4</v>
      </c>
      <c r="L143" s="311"/>
      <c r="M143" s="735"/>
      <c r="O143" s="277"/>
      <c r="P143" s="277"/>
      <c r="Q143" s="277"/>
      <c r="R143" s="277"/>
    </row>
    <row r="144" spans="1:18" ht="18" customHeight="1" x14ac:dyDescent="0.3">
      <c r="A144" s="1019" t="s">
        <v>148</v>
      </c>
      <c r="B144" s="1006" t="s">
        <v>68</v>
      </c>
      <c r="C144" s="1000"/>
      <c r="D144" s="1000"/>
      <c r="E144" s="1000"/>
      <c r="F144" s="1051">
        <v>786.5</v>
      </c>
      <c r="G144" s="1051">
        <v>4540</v>
      </c>
      <c r="H144" s="1052">
        <v>332065</v>
      </c>
      <c r="I144" s="1052">
        <v>8904.3127177710812</v>
      </c>
      <c r="J144" s="1052">
        <v>12622</v>
      </c>
      <c r="K144" s="1053">
        <v>328347.3127177711</v>
      </c>
      <c r="L144" s="311"/>
      <c r="M144" s="735"/>
      <c r="O144" s="277"/>
      <c r="P144" s="277"/>
      <c r="Q144" s="277"/>
      <c r="R144" s="277"/>
    </row>
    <row r="145" spans="1:18" ht="18" customHeight="1" x14ac:dyDescent="0.3">
      <c r="A145" s="1019" t="s">
        <v>150</v>
      </c>
      <c r="B145" s="1006" t="s">
        <v>69</v>
      </c>
      <c r="C145" s="1000"/>
      <c r="D145" s="1000"/>
      <c r="E145" s="1000"/>
      <c r="F145" s="1051">
        <v>3476.5</v>
      </c>
      <c r="G145" s="1051">
        <v>10021</v>
      </c>
      <c r="H145" s="1052">
        <v>407520</v>
      </c>
      <c r="I145" s="1052">
        <v>202326.26897606437</v>
      </c>
      <c r="J145" s="1052">
        <v>25244</v>
      </c>
      <c r="K145" s="1053">
        <v>584602.2689760644</v>
      </c>
      <c r="L145" s="311"/>
      <c r="M145" s="735"/>
      <c r="O145" s="277"/>
      <c r="P145" s="277"/>
      <c r="Q145" s="277"/>
      <c r="R145" s="277"/>
    </row>
    <row r="146" spans="1:18" ht="18" customHeight="1" x14ac:dyDescent="0.3">
      <c r="A146" s="1019" t="s">
        <v>153</v>
      </c>
      <c r="B146" s="1006" t="s">
        <v>61</v>
      </c>
      <c r="C146" s="1000"/>
      <c r="D146" s="1000"/>
      <c r="E146" s="1000"/>
      <c r="F146" s="1027">
        <v>1636</v>
      </c>
      <c r="G146" s="1027">
        <v>13</v>
      </c>
      <c r="H146" s="1028">
        <v>277443.02857142856</v>
      </c>
      <c r="I146" s="1028">
        <v>137745.418198559</v>
      </c>
      <c r="J146" s="1028">
        <v>37865</v>
      </c>
      <c r="K146" s="1023">
        <v>377323.44676998758</v>
      </c>
      <c r="L146" s="311"/>
      <c r="M146" s="735"/>
      <c r="O146" s="277"/>
      <c r="P146" s="277"/>
      <c r="Q146" s="277"/>
      <c r="R146" s="277"/>
    </row>
    <row r="147" spans="1:18" ht="18" customHeight="1" x14ac:dyDescent="0.3">
      <c r="A147" s="1019" t="s">
        <v>155</v>
      </c>
      <c r="B147" s="1006" t="s">
        <v>70</v>
      </c>
      <c r="C147" s="1000"/>
      <c r="D147" s="1000"/>
      <c r="E147" s="1000"/>
      <c r="F147" s="1051"/>
      <c r="G147" s="1051"/>
      <c r="H147" s="1052"/>
      <c r="I147" s="1052"/>
      <c r="J147" s="1052"/>
      <c r="K147" s="1053">
        <v>3168000</v>
      </c>
      <c r="L147" s="311"/>
      <c r="M147" s="735"/>
      <c r="O147" s="277"/>
      <c r="P147" s="277"/>
      <c r="Q147" s="277"/>
      <c r="R147" s="277"/>
    </row>
    <row r="148" spans="1:18" ht="18" customHeight="1" x14ac:dyDescent="0.3">
      <c r="A148" s="1019" t="s">
        <v>163</v>
      </c>
      <c r="B148" s="1006" t="s">
        <v>71</v>
      </c>
      <c r="C148" s="1000"/>
      <c r="D148" s="1000"/>
      <c r="E148" s="1000"/>
      <c r="F148" s="1027">
        <v>126</v>
      </c>
      <c r="G148" s="1027">
        <v>6922</v>
      </c>
      <c r="H148" s="1028">
        <v>233799</v>
      </c>
      <c r="I148" s="1028">
        <v>116076.95170871337</v>
      </c>
      <c r="J148" s="1028">
        <v>0</v>
      </c>
      <c r="K148" s="1023">
        <v>349875.95170871337</v>
      </c>
      <c r="L148" s="311"/>
      <c r="M148" s="735"/>
      <c r="O148" s="277"/>
      <c r="P148" s="277"/>
      <c r="Q148" s="277"/>
      <c r="R148" s="277"/>
    </row>
    <row r="149" spans="1:18" ht="18" customHeight="1" x14ac:dyDescent="0.3">
      <c r="A149" s="1019" t="s">
        <v>185</v>
      </c>
      <c r="B149" s="1006" t="s">
        <v>183</v>
      </c>
      <c r="C149" s="1000"/>
      <c r="D149" s="1000"/>
      <c r="E149" s="1000"/>
      <c r="F149" s="1051"/>
      <c r="G149" s="1051"/>
      <c r="H149" s="1028">
        <v>6725147.5659900326</v>
      </c>
      <c r="I149" s="1028">
        <v>0</v>
      </c>
      <c r="J149" s="1028">
        <v>5684076.7681561802</v>
      </c>
      <c r="K149" s="1023">
        <v>1041070.7978338525</v>
      </c>
      <c r="L149" s="311"/>
      <c r="M149" s="735"/>
      <c r="O149" s="277"/>
      <c r="P149" s="277"/>
      <c r="Q149" s="277"/>
      <c r="R149" s="277"/>
    </row>
    <row r="150" spans="1:18" ht="18" customHeight="1" x14ac:dyDescent="0.3">
      <c r="A150" s="1012"/>
      <c r="B150" s="1006"/>
      <c r="C150" s="1000"/>
      <c r="D150" s="1000"/>
      <c r="E150" s="1000"/>
      <c r="F150" s="994"/>
      <c r="G150" s="1001"/>
      <c r="H150" s="995"/>
      <c r="I150" s="995"/>
      <c r="J150" s="995"/>
      <c r="K150" s="996"/>
      <c r="L150" s="277"/>
      <c r="M150" s="277"/>
      <c r="O150" s="277"/>
      <c r="P150" s="277"/>
      <c r="Q150" s="277"/>
      <c r="R150" s="277"/>
    </row>
    <row r="151" spans="1:18" ht="18" customHeight="1" x14ac:dyDescent="0.35">
      <c r="A151" s="1018" t="s">
        <v>165</v>
      </c>
      <c r="B151" s="1006" t="s">
        <v>26</v>
      </c>
      <c r="C151" s="1000"/>
      <c r="D151" s="1000"/>
      <c r="E151" s="1000"/>
      <c r="F151" s="1031">
        <v>92490.135000000009</v>
      </c>
      <c r="G151" s="1031">
        <v>106407</v>
      </c>
      <c r="H151" s="1031">
        <f>SUM(H140:H149)</f>
        <v>26537841.702161461</v>
      </c>
      <c r="I151" s="1031">
        <f>SUM(I140:I149)</f>
        <v>2118100.1614416172</v>
      </c>
      <c r="J151" s="1054">
        <f>SUM(J140:J149)</f>
        <v>10216252.488156181</v>
      </c>
      <c r="K151" s="1031">
        <v>21607689.385646895</v>
      </c>
      <c r="L151" s="277"/>
      <c r="M151" s="735"/>
      <c r="O151" s="277"/>
      <c r="P151" s="277"/>
      <c r="Q151" s="277"/>
      <c r="R151" s="277"/>
    </row>
    <row r="152" spans="1:18" ht="18" customHeight="1" x14ac:dyDescent="0.25">
      <c r="A152" s="1012"/>
      <c r="B152" s="1000"/>
      <c r="C152" s="1000"/>
      <c r="D152" s="1000"/>
      <c r="E152" s="1000"/>
      <c r="F152" s="1000"/>
      <c r="G152" s="1000"/>
      <c r="H152" s="1000"/>
      <c r="I152" s="1000"/>
      <c r="J152" s="1000"/>
      <c r="K152" s="1000"/>
      <c r="L152" s="277"/>
      <c r="M152" s="277"/>
      <c r="O152" s="277"/>
      <c r="P152" s="277"/>
      <c r="Q152" s="277"/>
      <c r="R152" s="277"/>
    </row>
    <row r="153" spans="1:18" ht="18" customHeight="1" x14ac:dyDescent="0.35">
      <c r="A153" s="1018" t="s">
        <v>168</v>
      </c>
      <c r="B153" s="1006" t="s">
        <v>28</v>
      </c>
      <c r="C153" s="1000"/>
      <c r="D153" s="1000"/>
      <c r="E153" s="1000"/>
      <c r="F153" s="1055">
        <v>7.6258923551038041E-2</v>
      </c>
      <c r="G153" s="1000"/>
      <c r="H153" s="1045"/>
      <c r="I153" s="1000"/>
      <c r="J153" s="1000"/>
      <c r="K153" s="1000"/>
      <c r="L153" s="277"/>
      <c r="M153" s="277"/>
      <c r="O153" s="277"/>
      <c r="P153" s="277"/>
      <c r="Q153" s="277"/>
      <c r="R153" s="277"/>
    </row>
    <row r="154" spans="1:18" ht="18" customHeight="1" x14ac:dyDescent="0.35">
      <c r="A154" s="1018" t="s">
        <v>169</v>
      </c>
      <c r="B154" s="1006" t="s">
        <v>72</v>
      </c>
      <c r="C154" s="1000"/>
      <c r="D154" s="1000"/>
      <c r="E154" s="1000"/>
      <c r="F154" s="1055">
        <v>0.60746868013754352</v>
      </c>
      <c r="G154" s="1006"/>
      <c r="H154" s="1000"/>
      <c r="I154" s="1000"/>
      <c r="J154" s="1000"/>
      <c r="K154" s="1000"/>
      <c r="L154" s="277"/>
      <c r="M154" s="277"/>
      <c r="O154" s="277"/>
      <c r="P154" s="277"/>
      <c r="Q154" s="277"/>
      <c r="R154" s="277"/>
    </row>
    <row r="155" spans="1:18" ht="18" customHeight="1" x14ac:dyDescent="0.3">
      <c r="A155" s="311"/>
      <c r="B155" s="311"/>
      <c r="C155" s="311"/>
      <c r="D155" s="311"/>
      <c r="E155" s="311"/>
      <c r="F155" s="311"/>
      <c r="G155" s="313"/>
      <c r="H155" s="311"/>
      <c r="I155" s="311"/>
      <c r="J155" s="311"/>
      <c r="K155" s="311"/>
      <c r="L155" s="277"/>
      <c r="M155" s="277"/>
      <c r="O155" s="277"/>
      <c r="P155" s="277"/>
      <c r="Q155" s="277"/>
      <c r="R155" s="277"/>
    </row>
  </sheetData>
  <sheetProtection sheet="1" objects="1" scenarios="1"/>
  <mergeCells count="20">
    <mergeCell ref="B49:C49"/>
    <mergeCell ref="B50:D50"/>
    <mergeCell ref="D2:H2"/>
    <mergeCell ref="C11:G11"/>
    <mergeCell ref="B41:C41"/>
    <mergeCell ref="B44:D44"/>
    <mergeCell ref="C5:G5"/>
    <mergeCell ref="C6:G6"/>
    <mergeCell ref="C7:G7"/>
    <mergeCell ref="C9:G9"/>
    <mergeCell ref="C10:G10"/>
    <mergeCell ref="B30:D30"/>
    <mergeCell ref="B52:D52"/>
    <mergeCell ref="B53:D53"/>
    <mergeCell ref="B56:D56"/>
    <mergeCell ref="B54:D54"/>
    <mergeCell ref="B133:D133"/>
    <mergeCell ref="B90:C90"/>
    <mergeCell ref="B103:C103"/>
    <mergeCell ref="B104:D104"/>
  </mergeCells>
  <printOptions headings="1" gridLines="1"/>
  <pageMargins left="0.17" right="0.16" top="0.35" bottom="0.32" header="0.17" footer="0.17"/>
  <pageSetup scale="64" fitToHeight="4" orientation="landscape" r:id="rId1"/>
  <headerFooter alignWithMargins="0">
    <oddFooter>&amp;L&amp;Z&amp;F.xls&amp;C&amp;P of &amp;N&amp;R&amp;D</oddFooter>
  </headerFooter>
  <rowBreaks count="2" manualBreakCount="2">
    <brk id="35" max="10" man="1"/>
    <brk id="118" max="10"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K156"/>
  <sheetViews>
    <sheetView showGridLines="0" zoomScale="85" zoomScaleNormal="85" zoomScaleSheetLayoutView="80" workbookViewId="0"/>
  </sheetViews>
  <sheetFormatPr defaultColWidth="8.7265625" defaultRowHeight="18" customHeight="1" x14ac:dyDescent="0.35"/>
  <cols>
    <col min="1" max="1" width="8.7265625" style="30"/>
    <col min="2" max="2" width="26" style="31" bestFit="1" customWidth="1"/>
    <col min="3" max="5" width="8.7265625" style="31"/>
    <col min="6" max="6" width="18.7265625" style="31" customWidth="1"/>
    <col min="7" max="7" width="16.453125" style="31" customWidth="1"/>
    <col min="8" max="8" width="20.1796875" style="31" bestFit="1" customWidth="1"/>
    <col min="9" max="11" width="16.453125" style="31" customWidth="1"/>
    <col min="12" max="16384" width="8.7265625" style="31"/>
  </cols>
  <sheetData>
    <row r="1" spans="1:11" ht="18" customHeight="1" x14ac:dyDescent="0.35">
      <c r="A1" s="1088"/>
      <c r="B1" s="1089"/>
      <c r="C1" s="1090"/>
      <c r="D1" s="953"/>
      <c r="E1" s="1090"/>
      <c r="F1" s="1090"/>
      <c r="G1" s="1090"/>
      <c r="H1" s="1090"/>
      <c r="I1" s="1090"/>
      <c r="J1" s="1090"/>
      <c r="K1" s="1090"/>
    </row>
    <row r="2" spans="1:11" ht="18" customHeight="1" x14ac:dyDescent="0.35">
      <c r="A2" s="1088"/>
      <c r="B2" s="1089"/>
      <c r="C2" s="1089"/>
      <c r="D2" s="1487" t="s">
        <v>700</v>
      </c>
      <c r="E2" s="1488"/>
      <c r="F2" s="1488"/>
      <c r="G2" s="1488"/>
      <c r="H2" s="1488"/>
      <c r="I2" s="1089"/>
      <c r="J2" s="1089"/>
      <c r="K2" s="1089"/>
    </row>
    <row r="3" spans="1:11" ht="18" customHeight="1" x14ac:dyDescent="0.35">
      <c r="A3" s="1088"/>
      <c r="B3" s="686" t="s">
        <v>0</v>
      </c>
      <c r="C3" s="1089"/>
      <c r="D3" s="1089"/>
      <c r="E3" s="1089"/>
      <c r="F3" s="1089"/>
      <c r="G3" s="1089"/>
      <c r="H3" s="1089"/>
      <c r="I3" s="1089"/>
      <c r="J3" s="1089"/>
      <c r="K3" s="1089"/>
    </row>
    <row r="4" spans="1:11" ht="18" customHeight="1" x14ac:dyDescent="0.35">
      <c r="A4" s="1088"/>
      <c r="B4" s="1089"/>
      <c r="C4" s="1089"/>
      <c r="D4" s="1089"/>
      <c r="E4" s="1089"/>
      <c r="F4" s="1089"/>
      <c r="G4" s="1089"/>
      <c r="H4" s="1089"/>
      <c r="I4" s="1089"/>
      <c r="J4" s="1089"/>
      <c r="K4" s="1089"/>
    </row>
    <row r="5" spans="1:11" ht="18" customHeight="1" x14ac:dyDescent="0.35">
      <c r="A5" s="1088"/>
      <c r="B5" s="954" t="s">
        <v>40</v>
      </c>
      <c r="C5" s="1489" t="s">
        <v>250</v>
      </c>
      <c r="D5" s="1523"/>
      <c r="E5" s="1523"/>
      <c r="F5" s="1523"/>
      <c r="G5" s="1524"/>
      <c r="H5" s="1089"/>
      <c r="I5" s="1089"/>
      <c r="J5" s="1089"/>
      <c r="K5" s="1089"/>
    </row>
    <row r="6" spans="1:11" ht="18" customHeight="1" x14ac:dyDescent="0.35">
      <c r="A6" s="1088"/>
      <c r="B6" s="954" t="s">
        <v>3</v>
      </c>
      <c r="C6" s="1525">
        <v>23</v>
      </c>
      <c r="D6" s="1526"/>
      <c r="E6" s="1526"/>
      <c r="F6" s="1526"/>
      <c r="G6" s="1527"/>
      <c r="H6" s="1089"/>
      <c r="I6" s="1089"/>
      <c r="J6" s="1089"/>
      <c r="K6" s="1089"/>
    </row>
    <row r="7" spans="1:11" ht="18" customHeight="1" x14ac:dyDescent="0.35">
      <c r="A7" s="1088"/>
      <c r="B7" s="954" t="s">
        <v>4</v>
      </c>
      <c r="C7" s="1531">
        <v>4746</v>
      </c>
      <c r="D7" s="1532"/>
      <c r="E7" s="1532"/>
      <c r="F7" s="1532"/>
      <c r="G7" s="1533"/>
      <c r="H7" s="1089"/>
      <c r="I7" s="1089"/>
      <c r="J7" s="1089"/>
      <c r="K7" s="1089"/>
    </row>
    <row r="8" spans="1:11" ht="18" customHeight="1" x14ac:dyDescent="0.35">
      <c r="A8" s="1088"/>
      <c r="B8" s="1089"/>
      <c r="C8" s="1089"/>
      <c r="D8" s="1089"/>
      <c r="E8" s="1089"/>
      <c r="F8" s="1089"/>
      <c r="G8" s="1089"/>
      <c r="H8" s="1089"/>
      <c r="I8" s="1089"/>
      <c r="J8" s="1089"/>
      <c r="K8" s="1089"/>
    </row>
    <row r="9" spans="1:11" ht="18" customHeight="1" x14ac:dyDescent="0.35">
      <c r="A9" s="1088"/>
      <c r="B9" s="954" t="s">
        <v>1</v>
      </c>
      <c r="C9" s="1489" t="s">
        <v>281</v>
      </c>
      <c r="D9" s="1523"/>
      <c r="E9" s="1523"/>
      <c r="F9" s="1523"/>
      <c r="G9" s="1524"/>
      <c r="H9" s="1089"/>
      <c r="I9" s="1089"/>
      <c r="J9" s="1089"/>
      <c r="K9" s="1089"/>
    </row>
    <row r="10" spans="1:11" ht="18" customHeight="1" x14ac:dyDescent="0.35">
      <c r="A10" s="1088"/>
      <c r="B10" s="954" t="s">
        <v>2</v>
      </c>
      <c r="C10" s="1484" t="s">
        <v>282</v>
      </c>
      <c r="D10" s="1528"/>
      <c r="E10" s="1528"/>
      <c r="F10" s="1528"/>
      <c r="G10" s="1529"/>
      <c r="H10" s="1089"/>
      <c r="I10" s="1089"/>
      <c r="J10" s="1089"/>
      <c r="K10" s="1089"/>
    </row>
    <row r="11" spans="1:11" ht="18" customHeight="1" x14ac:dyDescent="0.35">
      <c r="A11" s="1088"/>
      <c r="B11" s="954" t="s">
        <v>32</v>
      </c>
      <c r="C11" s="1489" t="s">
        <v>283</v>
      </c>
      <c r="D11" s="1530"/>
      <c r="E11" s="1530"/>
      <c r="F11" s="1530"/>
      <c r="G11" s="1530"/>
      <c r="H11" s="1089"/>
      <c r="I11" s="1089"/>
      <c r="J11" s="1089"/>
      <c r="K11" s="1089"/>
    </row>
    <row r="12" spans="1:11" ht="18" customHeight="1" x14ac:dyDescent="0.35">
      <c r="A12" s="1088"/>
      <c r="B12" s="954"/>
      <c r="C12" s="954"/>
      <c r="D12" s="954"/>
      <c r="E12" s="954"/>
      <c r="F12" s="954"/>
      <c r="G12" s="954"/>
      <c r="H12" s="1089"/>
      <c r="I12" s="1089"/>
      <c r="J12" s="1089"/>
      <c r="K12" s="1089"/>
    </row>
    <row r="13" spans="1:11" ht="18" customHeight="1" x14ac:dyDescent="0.35">
      <c r="A13" s="1088"/>
      <c r="B13" s="1363"/>
      <c r="C13" s="1491"/>
      <c r="D13" s="1491"/>
      <c r="E13" s="1491"/>
      <c r="F13" s="1491"/>
      <c r="G13" s="1491"/>
      <c r="H13" s="1492"/>
      <c r="I13" s="1090"/>
      <c r="J13" s="1089"/>
      <c r="K13" s="1089"/>
    </row>
    <row r="14" spans="1:11" ht="18" customHeight="1" x14ac:dyDescent="0.35">
      <c r="A14" s="1088"/>
      <c r="B14" s="640"/>
      <c r="C14" s="1089"/>
      <c r="D14" s="1089"/>
      <c r="E14" s="1089"/>
      <c r="F14" s="1089"/>
      <c r="G14" s="1089"/>
      <c r="H14" s="1089"/>
      <c r="I14" s="1089"/>
      <c r="J14" s="1089"/>
      <c r="K14" s="1089"/>
    </row>
    <row r="15" spans="1:11" ht="18" customHeight="1" x14ac:dyDescent="0.35">
      <c r="A15" s="1088"/>
      <c r="B15" s="640"/>
      <c r="C15" s="1089"/>
      <c r="D15" s="1089"/>
      <c r="E15" s="1089"/>
      <c r="F15" s="1089"/>
      <c r="G15" s="1089"/>
      <c r="H15" s="1089"/>
      <c r="I15" s="1089"/>
      <c r="J15" s="1089"/>
      <c r="K15" s="1089"/>
    </row>
    <row r="16" spans="1:11" ht="18" customHeight="1" x14ac:dyDescent="0.35">
      <c r="A16" s="953" t="s">
        <v>181</v>
      </c>
      <c r="B16" s="1090"/>
      <c r="C16" s="1090"/>
      <c r="D16" s="1090"/>
      <c r="E16" s="1090"/>
      <c r="F16" s="680" t="s">
        <v>9</v>
      </c>
      <c r="G16" s="680" t="s">
        <v>37</v>
      </c>
      <c r="H16" s="680" t="s">
        <v>29</v>
      </c>
      <c r="I16" s="680" t="s">
        <v>30</v>
      </c>
      <c r="J16" s="680" t="s">
        <v>33</v>
      </c>
      <c r="K16" s="680" t="s">
        <v>34</v>
      </c>
    </row>
    <row r="17" spans="1:11" ht="18" customHeight="1" x14ac:dyDescent="0.35">
      <c r="A17" s="955" t="s">
        <v>184</v>
      </c>
      <c r="B17" s="686" t="s">
        <v>182</v>
      </c>
      <c r="C17" s="1089"/>
      <c r="D17" s="1089"/>
      <c r="E17" s="1089"/>
      <c r="F17" s="1089"/>
      <c r="G17" s="1089"/>
      <c r="H17" s="1089"/>
      <c r="I17" s="1089"/>
      <c r="J17" s="1089"/>
      <c r="K17" s="1089"/>
    </row>
    <row r="18" spans="1:11" ht="18" customHeight="1" x14ac:dyDescent="0.35">
      <c r="A18" s="954" t="s">
        <v>185</v>
      </c>
      <c r="B18" s="670" t="s">
        <v>183</v>
      </c>
      <c r="C18" s="1089"/>
      <c r="D18" s="1089"/>
      <c r="E18" s="1089"/>
      <c r="F18" s="1091" t="s">
        <v>73</v>
      </c>
      <c r="G18" s="1091" t="s">
        <v>73</v>
      </c>
      <c r="H18" s="1092">
        <v>13014499</v>
      </c>
      <c r="I18" s="1093">
        <v>0</v>
      </c>
      <c r="J18" s="1092">
        <v>10999820</v>
      </c>
      <c r="K18" s="1094">
        <f>(H18+I18)-J18</f>
        <v>2014679</v>
      </c>
    </row>
    <row r="19" spans="1:11" ht="18" customHeight="1" x14ac:dyDescent="0.35">
      <c r="A19" s="953" t="s">
        <v>8</v>
      </c>
      <c r="B19" s="1090"/>
      <c r="C19" s="1090"/>
      <c r="D19" s="1090"/>
      <c r="E19" s="1090"/>
      <c r="F19" s="680" t="s">
        <v>9</v>
      </c>
      <c r="G19" s="680" t="s">
        <v>37</v>
      </c>
      <c r="H19" s="680" t="s">
        <v>29</v>
      </c>
      <c r="I19" s="680" t="s">
        <v>30</v>
      </c>
      <c r="J19" s="680" t="s">
        <v>33</v>
      </c>
      <c r="K19" s="680" t="s">
        <v>34</v>
      </c>
    </row>
    <row r="20" spans="1:11" ht="18" customHeight="1" x14ac:dyDescent="0.35">
      <c r="A20" s="955" t="s">
        <v>74</v>
      </c>
      <c r="B20" s="686" t="s">
        <v>41</v>
      </c>
      <c r="C20" s="1089"/>
      <c r="D20" s="1089"/>
      <c r="E20" s="1089"/>
      <c r="F20" s="1089"/>
      <c r="G20" s="1089"/>
      <c r="H20" s="1089"/>
      <c r="I20" s="1089"/>
      <c r="J20" s="1089"/>
      <c r="K20" s="1089"/>
    </row>
    <row r="21" spans="1:11" ht="18" customHeight="1" x14ac:dyDescent="0.35">
      <c r="A21" s="954" t="s">
        <v>75</v>
      </c>
      <c r="B21" s="670" t="s">
        <v>42</v>
      </c>
      <c r="C21" s="1089"/>
      <c r="D21" s="1089"/>
      <c r="E21" s="1089"/>
      <c r="F21" s="1091">
        <v>5561</v>
      </c>
      <c r="G21" s="1091">
        <v>41401</v>
      </c>
      <c r="H21" s="1092">
        <v>606840</v>
      </c>
      <c r="I21" s="1093">
        <f t="shared" ref="I21:I34" si="0">H21*F$114</f>
        <v>310277.29199999996</v>
      </c>
      <c r="J21" s="1092"/>
      <c r="K21" s="1094">
        <f t="shared" ref="K21:K34" si="1">(H21+I21)-J21</f>
        <v>917117.2919999999</v>
      </c>
    </row>
    <row r="22" spans="1:11" ht="18" customHeight="1" x14ac:dyDescent="0.35">
      <c r="A22" s="954" t="s">
        <v>76</v>
      </c>
      <c r="B22" s="1089" t="s">
        <v>6</v>
      </c>
      <c r="C22" s="1089"/>
      <c r="D22" s="1089"/>
      <c r="E22" s="1089"/>
      <c r="F22" s="1091">
        <v>1977</v>
      </c>
      <c r="G22" s="1091">
        <v>3323</v>
      </c>
      <c r="H22" s="1092">
        <v>119764</v>
      </c>
      <c r="I22" s="1093">
        <f t="shared" si="0"/>
        <v>61235.333199999994</v>
      </c>
      <c r="J22" s="1092"/>
      <c r="K22" s="1094">
        <f t="shared" si="1"/>
        <v>180999.33319999999</v>
      </c>
    </row>
    <row r="23" spans="1:11" ht="18" customHeight="1" x14ac:dyDescent="0.35">
      <c r="A23" s="954" t="s">
        <v>77</v>
      </c>
      <c r="B23" s="1089" t="s">
        <v>43</v>
      </c>
      <c r="C23" s="1089"/>
      <c r="D23" s="1089"/>
      <c r="E23" s="1089"/>
      <c r="F23" s="1091">
        <v>4160</v>
      </c>
      <c r="G23" s="1091">
        <v>6384</v>
      </c>
      <c r="H23" s="1092">
        <v>206219</v>
      </c>
      <c r="I23" s="1093">
        <f t="shared" si="0"/>
        <v>105439.77469999999</v>
      </c>
      <c r="J23" s="1092">
        <v>43710</v>
      </c>
      <c r="K23" s="1094">
        <f t="shared" si="1"/>
        <v>267948.77470000001</v>
      </c>
    </row>
    <row r="24" spans="1:11" ht="18" customHeight="1" x14ac:dyDescent="0.35">
      <c r="A24" s="954" t="s">
        <v>78</v>
      </c>
      <c r="B24" s="1089" t="s">
        <v>44</v>
      </c>
      <c r="C24" s="1089"/>
      <c r="D24" s="1089"/>
      <c r="E24" s="1089"/>
      <c r="F24" s="1091">
        <v>6499</v>
      </c>
      <c r="G24" s="1091">
        <v>34706</v>
      </c>
      <c r="H24" s="1092">
        <v>251237</v>
      </c>
      <c r="I24" s="1093">
        <f t="shared" si="0"/>
        <v>128457.47809999999</v>
      </c>
      <c r="J24" s="1092"/>
      <c r="K24" s="1094">
        <f t="shared" si="1"/>
        <v>379694.47810000001</v>
      </c>
    </row>
    <row r="25" spans="1:11" ht="18" customHeight="1" x14ac:dyDescent="0.35">
      <c r="A25" s="954" t="s">
        <v>79</v>
      </c>
      <c r="B25" s="1089" t="s">
        <v>5</v>
      </c>
      <c r="C25" s="1089"/>
      <c r="D25" s="1089"/>
      <c r="E25" s="1089"/>
      <c r="F25" s="1091">
        <v>1158</v>
      </c>
      <c r="G25" s="1091">
        <v>1641</v>
      </c>
      <c r="H25" s="1092">
        <v>76799</v>
      </c>
      <c r="I25" s="1093">
        <f t="shared" si="0"/>
        <v>39267.328699999998</v>
      </c>
      <c r="J25" s="1092"/>
      <c r="K25" s="1094">
        <f t="shared" si="1"/>
        <v>116066.3287</v>
      </c>
    </row>
    <row r="26" spans="1:11" ht="18" customHeight="1" x14ac:dyDescent="0.35">
      <c r="A26" s="954" t="s">
        <v>80</v>
      </c>
      <c r="B26" s="1089" t="s">
        <v>45</v>
      </c>
      <c r="C26" s="1089"/>
      <c r="D26" s="1089"/>
      <c r="E26" s="1089"/>
      <c r="F26" s="1091">
        <v>5341</v>
      </c>
      <c r="G26" s="1091">
        <v>33065</v>
      </c>
      <c r="H26" s="1092">
        <v>174438</v>
      </c>
      <c r="I26" s="1093">
        <f t="shared" si="0"/>
        <v>89190.149399999995</v>
      </c>
      <c r="J26" s="1092"/>
      <c r="K26" s="1094">
        <f t="shared" si="1"/>
        <v>263628.14939999999</v>
      </c>
    </row>
    <row r="27" spans="1:11" ht="18" customHeight="1" x14ac:dyDescent="0.35">
      <c r="A27" s="954" t="s">
        <v>81</v>
      </c>
      <c r="B27" s="1089" t="s">
        <v>46</v>
      </c>
      <c r="C27" s="1089"/>
      <c r="D27" s="1089"/>
      <c r="E27" s="1089"/>
      <c r="F27" s="1091"/>
      <c r="G27" s="1091"/>
      <c r="H27" s="1092"/>
      <c r="I27" s="1093">
        <f t="shared" si="0"/>
        <v>0</v>
      </c>
      <c r="J27" s="1092"/>
      <c r="K27" s="1094">
        <f t="shared" si="1"/>
        <v>0</v>
      </c>
    </row>
    <row r="28" spans="1:11" ht="18" customHeight="1" x14ac:dyDescent="0.35">
      <c r="A28" s="954" t="s">
        <v>82</v>
      </c>
      <c r="B28" s="1089" t="s">
        <v>47</v>
      </c>
      <c r="C28" s="1089"/>
      <c r="D28" s="1089"/>
      <c r="E28" s="1089"/>
      <c r="F28" s="1091"/>
      <c r="G28" s="1091"/>
      <c r="H28" s="1092"/>
      <c r="I28" s="1093">
        <f t="shared" si="0"/>
        <v>0</v>
      </c>
      <c r="J28" s="1092"/>
      <c r="K28" s="1094">
        <f t="shared" si="1"/>
        <v>0</v>
      </c>
    </row>
    <row r="29" spans="1:11" ht="18" customHeight="1" x14ac:dyDescent="0.35">
      <c r="A29" s="954" t="s">
        <v>83</v>
      </c>
      <c r="B29" s="1089" t="s">
        <v>48</v>
      </c>
      <c r="C29" s="1089"/>
      <c r="D29" s="1089"/>
      <c r="E29" s="1089"/>
      <c r="F29" s="1091">
        <v>36841</v>
      </c>
      <c r="G29" s="1091">
        <v>29155</v>
      </c>
      <c r="H29" s="1092">
        <v>2108489</v>
      </c>
      <c r="I29" s="1093">
        <f t="shared" si="0"/>
        <v>1078070.4257</v>
      </c>
      <c r="J29" s="1092">
        <v>522516</v>
      </c>
      <c r="K29" s="1094">
        <f t="shared" si="1"/>
        <v>2664043.4257</v>
      </c>
    </row>
    <row r="30" spans="1:11" ht="18" customHeight="1" x14ac:dyDescent="0.35">
      <c r="A30" s="954" t="s">
        <v>84</v>
      </c>
      <c r="B30" s="1474" t="s">
        <v>284</v>
      </c>
      <c r="C30" s="1475"/>
      <c r="D30" s="1476"/>
      <c r="E30" s="1089"/>
      <c r="F30" s="1091"/>
      <c r="G30" s="1091">
        <v>618</v>
      </c>
      <c r="H30" s="1092">
        <v>95376</v>
      </c>
      <c r="I30" s="1093">
        <f t="shared" si="0"/>
        <v>48765.748800000001</v>
      </c>
      <c r="J30" s="1092"/>
      <c r="K30" s="1094">
        <f t="shared" si="1"/>
        <v>144141.7488</v>
      </c>
    </row>
    <row r="31" spans="1:11" ht="18" customHeight="1" x14ac:dyDescent="0.35">
      <c r="A31" s="954" t="s">
        <v>133</v>
      </c>
      <c r="B31" s="1474"/>
      <c r="C31" s="1475"/>
      <c r="D31" s="1476"/>
      <c r="E31" s="1089"/>
      <c r="F31" s="1091"/>
      <c r="G31" s="1091"/>
      <c r="H31" s="1092"/>
      <c r="I31" s="1093">
        <f t="shared" si="0"/>
        <v>0</v>
      </c>
      <c r="J31" s="1092"/>
      <c r="K31" s="1094">
        <f t="shared" si="1"/>
        <v>0</v>
      </c>
    </row>
    <row r="32" spans="1:11" ht="18" customHeight="1" x14ac:dyDescent="0.35">
      <c r="A32" s="954" t="s">
        <v>134</v>
      </c>
      <c r="B32" s="932"/>
      <c r="C32" s="933"/>
      <c r="D32" s="934"/>
      <c r="E32" s="1089"/>
      <c r="F32" s="1091"/>
      <c r="G32" s="956"/>
      <c r="H32" s="1092"/>
      <c r="I32" s="1093">
        <f t="shared" si="0"/>
        <v>0</v>
      </c>
      <c r="J32" s="1092"/>
      <c r="K32" s="1094">
        <f t="shared" si="1"/>
        <v>0</v>
      </c>
    </row>
    <row r="33" spans="1:11" ht="18" customHeight="1" x14ac:dyDescent="0.35">
      <c r="A33" s="954" t="s">
        <v>135</v>
      </c>
      <c r="B33" s="932"/>
      <c r="C33" s="933"/>
      <c r="D33" s="934"/>
      <c r="E33" s="1089"/>
      <c r="F33" s="1091"/>
      <c r="G33" s="956"/>
      <c r="H33" s="1092"/>
      <c r="I33" s="1093">
        <f t="shared" si="0"/>
        <v>0</v>
      </c>
      <c r="J33" s="1092"/>
      <c r="K33" s="1094">
        <f t="shared" si="1"/>
        <v>0</v>
      </c>
    </row>
    <row r="34" spans="1:11" ht="18" customHeight="1" x14ac:dyDescent="0.35">
      <c r="A34" s="954" t="s">
        <v>136</v>
      </c>
      <c r="B34" s="1474"/>
      <c r="C34" s="1475"/>
      <c r="D34" s="1476"/>
      <c r="E34" s="1089"/>
      <c r="F34" s="1091"/>
      <c r="G34" s="956"/>
      <c r="H34" s="1092"/>
      <c r="I34" s="1093">
        <f t="shared" si="0"/>
        <v>0</v>
      </c>
      <c r="J34" s="1092"/>
      <c r="K34" s="1094">
        <f t="shared" si="1"/>
        <v>0</v>
      </c>
    </row>
    <row r="35" spans="1:11" s="750" customFormat="1" ht="18" customHeight="1" x14ac:dyDescent="0.35">
      <c r="A35" s="1088"/>
      <c r="B35" s="1089"/>
      <c r="C35" s="1089"/>
      <c r="D35" s="1089"/>
      <c r="E35" s="1089"/>
      <c r="F35" s="1089"/>
      <c r="G35" s="1089"/>
      <c r="H35" s="1089"/>
      <c r="I35" s="1089"/>
      <c r="J35" s="1089"/>
      <c r="K35" s="1095"/>
    </row>
    <row r="36" spans="1:11" ht="18" customHeight="1" x14ac:dyDescent="0.35">
      <c r="A36" s="955" t="s">
        <v>137</v>
      </c>
      <c r="B36" s="686" t="s">
        <v>138</v>
      </c>
      <c r="C36" s="1089"/>
      <c r="D36" s="1089"/>
      <c r="E36" s="686" t="s">
        <v>7</v>
      </c>
      <c r="F36" s="1096">
        <f t="shared" ref="F36:K36" si="2">SUM(F21:F34)</f>
        <v>61537</v>
      </c>
      <c r="G36" s="1096">
        <f t="shared" si="2"/>
        <v>150293</v>
      </c>
      <c r="H36" s="1096">
        <f t="shared" si="2"/>
        <v>3639162</v>
      </c>
      <c r="I36" s="1094">
        <f t="shared" si="2"/>
        <v>1860703.5305999999</v>
      </c>
      <c r="J36" s="1094">
        <f t="shared" si="2"/>
        <v>566226</v>
      </c>
      <c r="K36" s="1094">
        <f t="shared" si="2"/>
        <v>4933639.5306000002</v>
      </c>
    </row>
    <row r="37" spans="1:11" ht="18" customHeight="1" thickBot="1" x14ac:dyDescent="0.4">
      <c r="A37" s="1088"/>
      <c r="B37" s="686"/>
      <c r="C37" s="1089"/>
      <c r="D37" s="1089"/>
      <c r="E37" s="1089"/>
      <c r="F37" s="1097"/>
      <c r="G37" s="1097"/>
      <c r="H37" s="1098"/>
      <c r="I37" s="1098"/>
      <c r="J37" s="1098"/>
      <c r="K37" s="1099"/>
    </row>
    <row r="38" spans="1:11" ht="18" customHeight="1" x14ac:dyDescent="0.35">
      <c r="A38" s="1088"/>
      <c r="B38" s="1089"/>
      <c r="C38" s="1089"/>
      <c r="D38" s="1089"/>
      <c r="E38" s="1089"/>
      <c r="F38" s="680" t="s">
        <v>9</v>
      </c>
      <c r="G38" s="680" t="s">
        <v>37</v>
      </c>
      <c r="H38" s="680" t="s">
        <v>29</v>
      </c>
      <c r="I38" s="680" t="s">
        <v>30</v>
      </c>
      <c r="J38" s="680" t="s">
        <v>33</v>
      </c>
      <c r="K38" s="680" t="s">
        <v>34</v>
      </c>
    </row>
    <row r="39" spans="1:11" ht="18" customHeight="1" x14ac:dyDescent="0.35">
      <c r="A39" s="955" t="s">
        <v>86</v>
      </c>
      <c r="B39" s="686" t="s">
        <v>49</v>
      </c>
      <c r="C39" s="1089"/>
      <c r="D39" s="1089"/>
      <c r="E39" s="1089"/>
      <c r="F39" s="1089"/>
      <c r="G39" s="1089"/>
      <c r="H39" s="1089"/>
      <c r="I39" s="1089"/>
      <c r="J39" s="1089"/>
      <c r="K39" s="1089"/>
    </row>
    <row r="40" spans="1:11" ht="18" customHeight="1" x14ac:dyDescent="0.35">
      <c r="A40" s="954" t="s">
        <v>87</v>
      </c>
      <c r="B40" s="1089" t="s">
        <v>31</v>
      </c>
      <c r="C40" s="1089"/>
      <c r="D40" s="1089"/>
      <c r="E40" s="1089"/>
      <c r="F40" s="1091">
        <v>13363</v>
      </c>
      <c r="G40" s="1091">
        <v>4149</v>
      </c>
      <c r="H40" s="1092">
        <v>2150300</v>
      </c>
      <c r="I40" s="1093">
        <v>0</v>
      </c>
      <c r="J40" s="1092"/>
      <c r="K40" s="1094">
        <f t="shared" ref="K40:K47" si="3">(H40+I40)-J40</f>
        <v>2150300</v>
      </c>
    </row>
    <row r="41" spans="1:11" ht="18" customHeight="1" x14ac:dyDescent="0.35">
      <c r="A41" s="954" t="s">
        <v>88</v>
      </c>
      <c r="B41" s="1480" t="s">
        <v>50</v>
      </c>
      <c r="C41" s="1534"/>
      <c r="D41" s="1089"/>
      <c r="E41" s="1089"/>
      <c r="F41" s="1091">
        <v>101564</v>
      </c>
      <c r="G41" s="1091">
        <v>1040</v>
      </c>
      <c r="H41" s="1092">
        <v>3554740</v>
      </c>
      <c r="I41" s="1093">
        <v>0</v>
      </c>
      <c r="J41" s="1092"/>
      <c r="K41" s="1094">
        <f t="shared" si="3"/>
        <v>3554740</v>
      </c>
    </row>
    <row r="42" spans="1:11" ht="18" customHeight="1" x14ac:dyDescent="0.35">
      <c r="A42" s="954" t="s">
        <v>89</v>
      </c>
      <c r="B42" s="670" t="s">
        <v>11</v>
      </c>
      <c r="C42" s="1089"/>
      <c r="D42" s="1089"/>
      <c r="E42" s="1089"/>
      <c r="F42" s="1091">
        <v>4031</v>
      </c>
      <c r="G42" s="1091">
        <v>900</v>
      </c>
      <c r="H42" s="1092">
        <v>144522</v>
      </c>
      <c r="I42" s="1093">
        <v>0</v>
      </c>
      <c r="J42" s="1092"/>
      <c r="K42" s="1094">
        <f t="shared" si="3"/>
        <v>144522</v>
      </c>
    </row>
    <row r="43" spans="1:11" ht="18" customHeight="1" x14ac:dyDescent="0.35">
      <c r="A43" s="954" t="s">
        <v>90</v>
      </c>
      <c r="B43" s="670" t="s">
        <v>10</v>
      </c>
      <c r="C43" s="1089"/>
      <c r="D43" s="1089"/>
      <c r="E43" s="1089"/>
      <c r="F43" s="1091">
        <v>345</v>
      </c>
      <c r="G43" s="1091">
        <v>1300</v>
      </c>
      <c r="H43" s="1092">
        <v>12512</v>
      </c>
      <c r="I43" s="1093">
        <v>0</v>
      </c>
      <c r="J43" s="1092"/>
      <c r="K43" s="1094">
        <f t="shared" si="3"/>
        <v>12512</v>
      </c>
    </row>
    <row r="44" spans="1:11" ht="18" customHeight="1" x14ac:dyDescent="0.35">
      <c r="A44" s="954" t="s">
        <v>91</v>
      </c>
      <c r="B44" s="1474"/>
      <c r="C44" s="1475"/>
      <c r="D44" s="1476"/>
      <c r="E44" s="1089"/>
      <c r="F44" s="1091"/>
      <c r="G44" s="1091"/>
      <c r="H44" s="1091"/>
      <c r="I44" s="1093">
        <v>0</v>
      </c>
      <c r="J44" s="1091"/>
      <c r="K44" s="1100">
        <f t="shared" si="3"/>
        <v>0</v>
      </c>
    </row>
    <row r="45" spans="1:11" ht="18" customHeight="1" x14ac:dyDescent="0.35">
      <c r="A45" s="954" t="s">
        <v>139</v>
      </c>
      <c r="B45" s="1474"/>
      <c r="C45" s="1475"/>
      <c r="D45" s="1476"/>
      <c r="E45" s="1089"/>
      <c r="F45" s="1091"/>
      <c r="G45" s="1091"/>
      <c r="H45" s="1092"/>
      <c r="I45" s="1093">
        <v>0</v>
      </c>
      <c r="J45" s="1092"/>
      <c r="K45" s="1094">
        <f t="shared" si="3"/>
        <v>0</v>
      </c>
    </row>
    <row r="46" spans="1:11" ht="18" customHeight="1" x14ac:dyDescent="0.35">
      <c r="A46" s="954" t="s">
        <v>140</v>
      </c>
      <c r="B46" s="1474"/>
      <c r="C46" s="1475"/>
      <c r="D46" s="1476"/>
      <c r="E46" s="1089"/>
      <c r="F46" s="1091"/>
      <c r="G46" s="1091"/>
      <c r="H46" s="1092"/>
      <c r="I46" s="1093">
        <v>0</v>
      </c>
      <c r="J46" s="1092"/>
      <c r="K46" s="1094">
        <f t="shared" si="3"/>
        <v>0</v>
      </c>
    </row>
    <row r="47" spans="1:11" ht="18" customHeight="1" x14ac:dyDescent="0.35">
      <c r="A47" s="954" t="s">
        <v>141</v>
      </c>
      <c r="B47" s="1474"/>
      <c r="C47" s="1475"/>
      <c r="D47" s="1476"/>
      <c r="E47" s="1089"/>
      <c r="F47" s="1091"/>
      <c r="G47" s="1091"/>
      <c r="H47" s="1092"/>
      <c r="I47" s="1093">
        <v>0</v>
      </c>
      <c r="J47" s="1092"/>
      <c r="K47" s="1094">
        <f t="shared" si="3"/>
        <v>0</v>
      </c>
    </row>
    <row r="48" spans="1:11" s="751" customFormat="1" ht="18" customHeight="1" x14ac:dyDescent="0.35">
      <c r="A48" s="1088"/>
      <c r="B48" s="1089"/>
      <c r="C48" s="1089"/>
      <c r="D48" s="1089"/>
      <c r="E48" s="1089"/>
      <c r="F48" s="1089"/>
      <c r="G48" s="1089"/>
      <c r="H48" s="1089"/>
      <c r="I48" s="1089"/>
      <c r="J48" s="1089"/>
      <c r="K48" s="1089"/>
    </row>
    <row r="49" spans="1:11" ht="18" customHeight="1" x14ac:dyDescent="0.35">
      <c r="A49" s="955" t="s">
        <v>142</v>
      </c>
      <c r="B49" s="686" t="s">
        <v>143</v>
      </c>
      <c r="C49" s="1089"/>
      <c r="D49" s="1089"/>
      <c r="E49" s="686" t="s">
        <v>7</v>
      </c>
      <c r="F49" s="1101">
        <f t="shared" ref="F49:K49" si="4">SUM(F40:F47)</f>
        <v>119303</v>
      </c>
      <c r="G49" s="1101">
        <f t="shared" si="4"/>
        <v>7389</v>
      </c>
      <c r="H49" s="1094">
        <f t="shared" si="4"/>
        <v>5862074</v>
      </c>
      <c r="I49" s="1094">
        <f t="shared" si="4"/>
        <v>0</v>
      </c>
      <c r="J49" s="1094">
        <f t="shared" si="4"/>
        <v>0</v>
      </c>
      <c r="K49" s="1094">
        <f t="shared" si="4"/>
        <v>5862074</v>
      </c>
    </row>
    <row r="50" spans="1:11" ht="18" customHeight="1" thickBot="1" x14ac:dyDescent="0.4">
      <c r="A50" s="1088"/>
      <c r="B50" s="1089"/>
      <c r="C50" s="1089"/>
      <c r="D50" s="1089"/>
      <c r="E50" s="1089"/>
      <c r="F50" s="1089"/>
      <c r="G50" s="1102"/>
      <c r="H50" s="1102"/>
      <c r="I50" s="1102"/>
      <c r="J50" s="1102"/>
      <c r="K50" s="1102"/>
    </row>
    <row r="51" spans="1:11" ht="18" customHeight="1" x14ac:dyDescent="0.35">
      <c r="A51" s="1088"/>
      <c r="B51" s="1089"/>
      <c r="C51" s="1089"/>
      <c r="D51" s="1089"/>
      <c r="E51" s="1089"/>
      <c r="F51" s="680" t="s">
        <v>9</v>
      </c>
      <c r="G51" s="680" t="s">
        <v>37</v>
      </c>
      <c r="H51" s="680" t="s">
        <v>29</v>
      </c>
      <c r="I51" s="680" t="s">
        <v>30</v>
      </c>
      <c r="J51" s="680" t="s">
        <v>33</v>
      </c>
      <c r="K51" s="680" t="s">
        <v>34</v>
      </c>
    </row>
    <row r="52" spans="1:11" ht="18" customHeight="1" x14ac:dyDescent="0.35">
      <c r="A52" s="955" t="s">
        <v>92</v>
      </c>
      <c r="B52" s="1358" t="s">
        <v>38</v>
      </c>
      <c r="C52" s="1520"/>
      <c r="D52" s="1089"/>
      <c r="E52" s="1089"/>
      <c r="F52" s="1089"/>
      <c r="G52" s="1089"/>
      <c r="H52" s="1089"/>
      <c r="I52" s="1089"/>
      <c r="J52" s="1089"/>
      <c r="K52" s="1089"/>
    </row>
    <row r="53" spans="1:11" ht="18" customHeight="1" x14ac:dyDescent="0.35">
      <c r="A53" s="954" t="s">
        <v>51</v>
      </c>
      <c r="B53" s="1482" t="s">
        <v>770</v>
      </c>
      <c r="C53" s="1521"/>
      <c r="D53" s="1522"/>
      <c r="E53" s="1089"/>
      <c r="F53" s="1091"/>
      <c r="G53" s="1091">
        <v>11561</v>
      </c>
      <c r="H53" s="1092">
        <v>1541244</v>
      </c>
      <c r="I53" s="1093">
        <v>0</v>
      </c>
      <c r="J53" s="1092"/>
      <c r="K53" s="1094">
        <f t="shared" ref="K53:K62" si="5">(H53+I53)-J53</f>
        <v>1541244</v>
      </c>
    </row>
    <row r="54" spans="1:11" ht="18" customHeight="1" x14ac:dyDescent="0.35">
      <c r="A54" s="954" t="s">
        <v>93</v>
      </c>
      <c r="B54" s="936" t="s">
        <v>771</v>
      </c>
      <c r="C54" s="1103"/>
      <c r="D54" s="1104"/>
      <c r="E54" s="1089"/>
      <c r="F54" s="1091"/>
      <c r="G54" s="1091"/>
      <c r="H54" s="1092">
        <v>429711</v>
      </c>
      <c r="I54" s="1093">
        <v>0</v>
      </c>
      <c r="J54" s="1092"/>
      <c r="K54" s="1094">
        <f t="shared" si="5"/>
        <v>429711</v>
      </c>
    </row>
    <row r="55" spans="1:11" ht="18" customHeight="1" x14ac:dyDescent="0.35">
      <c r="A55" s="954" t="s">
        <v>94</v>
      </c>
      <c r="B55" s="1477" t="s">
        <v>772</v>
      </c>
      <c r="C55" s="1535"/>
      <c r="D55" s="1522"/>
      <c r="E55" s="1089"/>
      <c r="F55" s="1091">
        <v>2680</v>
      </c>
      <c r="G55" s="1091"/>
      <c r="H55" s="1092">
        <v>157166</v>
      </c>
      <c r="I55" s="1093">
        <v>0</v>
      </c>
      <c r="J55" s="1092"/>
      <c r="K55" s="1094">
        <f t="shared" si="5"/>
        <v>157166</v>
      </c>
    </row>
    <row r="56" spans="1:11" ht="18" customHeight="1" x14ac:dyDescent="0.35">
      <c r="A56" s="954" t="s">
        <v>95</v>
      </c>
      <c r="B56" s="1477" t="s">
        <v>285</v>
      </c>
      <c r="C56" s="1535"/>
      <c r="D56" s="1522"/>
      <c r="E56" s="1089"/>
      <c r="F56" s="1091">
        <v>4160</v>
      </c>
      <c r="G56" s="1091">
        <v>6850</v>
      </c>
      <c r="H56" s="1092">
        <v>379988</v>
      </c>
      <c r="I56" s="1093">
        <v>0</v>
      </c>
      <c r="J56" s="1092">
        <v>20800</v>
      </c>
      <c r="K56" s="1094">
        <f t="shared" si="5"/>
        <v>359188</v>
      </c>
    </row>
    <row r="57" spans="1:11" ht="18" customHeight="1" x14ac:dyDescent="0.35">
      <c r="A57" s="954" t="s">
        <v>96</v>
      </c>
      <c r="B57" s="1477" t="s">
        <v>286</v>
      </c>
      <c r="C57" s="1535"/>
      <c r="D57" s="1522"/>
      <c r="E57" s="1089"/>
      <c r="F57" s="1091"/>
      <c r="G57" s="1091">
        <v>1247</v>
      </c>
      <c r="H57" s="1092">
        <v>379390</v>
      </c>
      <c r="I57" s="1093">
        <v>0</v>
      </c>
      <c r="J57" s="1092"/>
      <c r="K57" s="1094">
        <f t="shared" si="5"/>
        <v>379390</v>
      </c>
    </row>
    <row r="58" spans="1:11" ht="18" customHeight="1" x14ac:dyDescent="0.35">
      <c r="A58" s="954" t="s">
        <v>97</v>
      </c>
      <c r="B58" s="936" t="s">
        <v>773</v>
      </c>
      <c r="C58" s="1103"/>
      <c r="D58" s="1104"/>
      <c r="E58" s="1089"/>
      <c r="F58" s="1091"/>
      <c r="G58" s="1091"/>
      <c r="H58" s="1092">
        <v>29244</v>
      </c>
      <c r="I58" s="1093">
        <v>0</v>
      </c>
      <c r="J58" s="1092"/>
      <c r="K58" s="1094">
        <f t="shared" si="5"/>
        <v>29244</v>
      </c>
    </row>
    <row r="59" spans="1:11" ht="18" customHeight="1" x14ac:dyDescent="0.35">
      <c r="A59" s="954" t="s">
        <v>98</v>
      </c>
      <c r="B59" s="1477" t="s">
        <v>774</v>
      </c>
      <c r="C59" s="1535"/>
      <c r="D59" s="1522"/>
      <c r="E59" s="1089"/>
      <c r="F59" s="1091"/>
      <c r="G59" s="1091"/>
      <c r="H59" s="1092">
        <v>22692583</v>
      </c>
      <c r="I59" s="1093">
        <v>0</v>
      </c>
      <c r="J59" s="1092"/>
      <c r="K59" s="1094">
        <f t="shared" si="5"/>
        <v>22692583</v>
      </c>
    </row>
    <row r="60" spans="1:11" ht="18" customHeight="1" x14ac:dyDescent="0.35">
      <c r="A60" s="954" t="s">
        <v>99</v>
      </c>
      <c r="B60" s="936" t="s">
        <v>551</v>
      </c>
      <c r="C60" s="1103"/>
      <c r="D60" s="1104"/>
      <c r="E60" s="1089"/>
      <c r="F60" s="1091"/>
      <c r="G60" s="1091">
        <v>23885</v>
      </c>
      <c r="H60" s="1092">
        <v>3714422</v>
      </c>
      <c r="I60" s="1093">
        <v>0</v>
      </c>
      <c r="J60" s="1092"/>
      <c r="K60" s="1094">
        <f t="shared" si="5"/>
        <v>3714422</v>
      </c>
    </row>
    <row r="61" spans="1:11" ht="18" customHeight="1" x14ac:dyDescent="0.35">
      <c r="A61" s="954" t="s">
        <v>100</v>
      </c>
      <c r="B61" s="936" t="s">
        <v>288</v>
      </c>
      <c r="C61" s="1103"/>
      <c r="D61" s="1104"/>
      <c r="E61" s="1089"/>
      <c r="F61" s="1091"/>
      <c r="G61" s="1091"/>
      <c r="H61" s="1092">
        <v>25994</v>
      </c>
      <c r="I61" s="1093">
        <v>0</v>
      </c>
      <c r="J61" s="1092"/>
      <c r="K61" s="1094">
        <f t="shared" si="5"/>
        <v>25994</v>
      </c>
    </row>
    <row r="62" spans="1:11" ht="18" customHeight="1" x14ac:dyDescent="0.35">
      <c r="A62" s="954" t="s">
        <v>101</v>
      </c>
      <c r="B62" s="1536"/>
      <c r="C62" s="1535"/>
      <c r="D62" s="1522"/>
      <c r="E62" s="1089"/>
      <c r="F62" s="1091"/>
      <c r="G62" s="1091"/>
      <c r="H62" s="1092"/>
      <c r="I62" s="1093">
        <v>0</v>
      </c>
      <c r="J62" s="1092"/>
      <c r="K62" s="1094">
        <f t="shared" si="5"/>
        <v>0</v>
      </c>
    </row>
    <row r="63" spans="1:11" ht="18" customHeight="1" x14ac:dyDescent="0.35">
      <c r="A63" s="954"/>
      <c r="B63" s="1089"/>
      <c r="C63" s="1089"/>
      <c r="D63" s="1089"/>
      <c r="E63" s="1089"/>
      <c r="F63" s="1089"/>
      <c r="G63" s="1089"/>
      <c r="H63" s="1089"/>
      <c r="I63" s="1105"/>
      <c r="J63" s="1089"/>
      <c r="K63" s="1089"/>
    </row>
    <row r="64" spans="1:11" ht="18" customHeight="1" x14ac:dyDescent="0.35">
      <c r="A64" s="954" t="s">
        <v>144</v>
      </c>
      <c r="B64" s="686" t="s">
        <v>145</v>
      </c>
      <c r="C64" s="1089"/>
      <c r="D64" s="1089"/>
      <c r="E64" s="686" t="s">
        <v>7</v>
      </c>
      <c r="F64" s="1096">
        <f t="shared" ref="F64:K64" si="6">SUM(F53:F62)</f>
        <v>6840</v>
      </c>
      <c r="G64" s="1096">
        <f t="shared" si="6"/>
        <v>43543</v>
      </c>
      <c r="H64" s="1094">
        <f t="shared" si="6"/>
        <v>29349742</v>
      </c>
      <c r="I64" s="1094">
        <f t="shared" si="6"/>
        <v>0</v>
      </c>
      <c r="J64" s="1094">
        <f t="shared" si="6"/>
        <v>20800</v>
      </c>
      <c r="K64" s="1094">
        <f t="shared" si="6"/>
        <v>29328942</v>
      </c>
    </row>
    <row r="65" spans="1:11" ht="18" customHeight="1" x14ac:dyDescent="0.35">
      <c r="A65" s="1088"/>
      <c r="B65" s="1089"/>
      <c r="C65" s="1089"/>
      <c r="D65" s="1089"/>
      <c r="E65" s="1089"/>
      <c r="F65" s="1106"/>
      <c r="G65" s="1106"/>
      <c r="H65" s="1106"/>
      <c r="I65" s="1106"/>
      <c r="J65" s="1106"/>
      <c r="K65" s="1106"/>
    </row>
    <row r="66" spans="1:11" ht="18" customHeight="1" x14ac:dyDescent="0.35">
      <c r="A66" s="1088"/>
      <c r="B66" s="1089"/>
      <c r="C66" s="1089"/>
      <c r="D66" s="1089"/>
      <c r="E66" s="1089"/>
      <c r="F66" s="680" t="s">
        <v>9</v>
      </c>
      <c r="G66" s="680" t="s">
        <v>37</v>
      </c>
      <c r="H66" s="680" t="s">
        <v>29</v>
      </c>
      <c r="I66" s="680" t="s">
        <v>30</v>
      </c>
      <c r="J66" s="680" t="s">
        <v>33</v>
      </c>
      <c r="K66" s="680" t="s">
        <v>34</v>
      </c>
    </row>
    <row r="67" spans="1:11" ht="18" customHeight="1" x14ac:dyDescent="0.35">
      <c r="A67" s="955" t="s">
        <v>102</v>
      </c>
      <c r="B67" s="686" t="s">
        <v>12</v>
      </c>
      <c r="C67" s="1089"/>
      <c r="D67" s="1089"/>
      <c r="E67" s="1089"/>
      <c r="F67" s="1107"/>
      <c r="G67" s="1107"/>
      <c r="H67" s="1107"/>
      <c r="I67" s="1108"/>
      <c r="J67" s="1107"/>
      <c r="K67" s="1109"/>
    </row>
    <row r="68" spans="1:11" ht="18" customHeight="1" x14ac:dyDescent="0.35">
      <c r="A68" s="954" t="s">
        <v>103</v>
      </c>
      <c r="B68" s="1089" t="s">
        <v>52</v>
      </c>
      <c r="C68" s="1089"/>
      <c r="D68" s="1089"/>
      <c r="E68" s="1089"/>
      <c r="F68" s="1110">
        <v>23257</v>
      </c>
      <c r="G68" s="1110">
        <v>346</v>
      </c>
      <c r="H68" s="1110">
        <v>2027574</v>
      </c>
      <c r="I68" s="1093">
        <v>0</v>
      </c>
      <c r="J68" s="1110">
        <v>1947844</v>
      </c>
      <c r="K68" s="1094">
        <f>(H68+I68)-J68</f>
        <v>79730</v>
      </c>
    </row>
    <row r="69" spans="1:11" ht="18" customHeight="1" x14ac:dyDescent="0.35">
      <c r="A69" s="954" t="s">
        <v>104</v>
      </c>
      <c r="B69" s="670" t="s">
        <v>53</v>
      </c>
      <c r="C69" s="1089"/>
      <c r="D69" s="1089"/>
      <c r="E69" s="1089"/>
      <c r="F69" s="1110">
        <v>8881</v>
      </c>
      <c r="G69" s="1110">
        <v>2090</v>
      </c>
      <c r="H69" s="1110">
        <v>340000</v>
      </c>
      <c r="I69" s="1093">
        <v>0</v>
      </c>
      <c r="J69" s="1110"/>
      <c r="K69" s="1094">
        <f>(H69+I69)-J69</f>
        <v>340000</v>
      </c>
    </row>
    <row r="70" spans="1:11" ht="18" customHeight="1" x14ac:dyDescent="0.35">
      <c r="A70" s="954" t="s">
        <v>178</v>
      </c>
      <c r="B70" s="1111"/>
      <c r="C70" s="1103"/>
      <c r="D70" s="1104"/>
      <c r="E70" s="686"/>
      <c r="F70" s="1112"/>
      <c r="G70" s="1112"/>
      <c r="H70" s="1113"/>
      <c r="I70" s="1093">
        <v>0</v>
      </c>
      <c r="J70" s="1113"/>
      <c r="K70" s="1094">
        <f>(H70+I70)-J70</f>
        <v>0</v>
      </c>
    </row>
    <row r="71" spans="1:11" ht="18" customHeight="1" x14ac:dyDescent="0.35">
      <c r="A71" s="954" t="s">
        <v>179</v>
      </c>
      <c r="B71" s="1111"/>
      <c r="C71" s="1103"/>
      <c r="D71" s="1104"/>
      <c r="E71" s="686"/>
      <c r="F71" s="1112"/>
      <c r="G71" s="1112"/>
      <c r="H71" s="1113"/>
      <c r="I71" s="1093">
        <v>0</v>
      </c>
      <c r="J71" s="1113"/>
      <c r="K71" s="1094">
        <f>(H71+I71)-J71</f>
        <v>0</v>
      </c>
    </row>
    <row r="72" spans="1:11" ht="18" customHeight="1" x14ac:dyDescent="0.35">
      <c r="A72" s="954" t="s">
        <v>180</v>
      </c>
      <c r="B72" s="1114"/>
      <c r="C72" s="1115"/>
      <c r="D72" s="1116"/>
      <c r="E72" s="686"/>
      <c r="F72" s="1091"/>
      <c r="G72" s="1091"/>
      <c r="H72" s="1092"/>
      <c r="I72" s="1093">
        <v>0</v>
      </c>
      <c r="J72" s="1092"/>
      <c r="K72" s="1094">
        <f>(H72+I72)-J72</f>
        <v>0</v>
      </c>
    </row>
    <row r="73" spans="1:11" ht="18" customHeight="1" x14ac:dyDescent="0.35">
      <c r="A73" s="954"/>
      <c r="B73" s="670"/>
      <c r="C73" s="1089"/>
      <c r="D73" s="1089"/>
      <c r="E73" s="686"/>
      <c r="F73" s="1117"/>
      <c r="G73" s="1117"/>
      <c r="H73" s="1118"/>
      <c r="I73" s="1108"/>
      <c r="J73" s="1118"/>
      <c r="K73" s="1109"/>
    </row>
    <row r="74" spans="1:11" ht="18" customHeight="1" x14ac:dyDescent="0.35">
      <c r="A74" s="955" t="s">
        <v>146</v>
      </c>
      <c r="B74" s="686" t="s">
        <v>147</v>
      </c>
      <c r="C74" s="1089"/>
      <c r="D74" s="1089"/>
      <c r="E74" s="686" t="s">
        <v>7</v>
      </c>
      <c r="F74" s="1119">
        <f t="shared" ref="F74:K74" si="7">SUM(F68:F72)</f>
        <v>32138</v>
      </c>
      <c r="G74" s="1119">
        <f t="shared" si="7"/>
        <v>2436</v>
      </c>
      <c r="H74" s="1119">
        <f t="shared" si="7"/>
        <v>2367574</v>
      </c>
      <c r="I74" s="1120">
        <f t="shared" si="7"/>
        <v>0</v>
      </c>
      <c r="J74" s="1119">
        <f t="shared" si="7"/>
        <v>1947844</v>
      </c>
      <c r="K74" s="1100">
        <f t="shared" si="7"/>
        <v>419730</v>
      </c>
    </row>
    <row r="75" spans="1:11" ht="18" customHeight="1" x14ac:dyDescent="0.35">
      <c r="A75" s="1088"/>
      <c r="B75" s="1089"/>
      <c r="C75" s="1089"/>
      <c r="D75" s="1089"/>
      <c r="E75" s="1089"/>
      <c r="F75" s="680" t="s">
        <v>9</v>
      </c>
      <c r="G75" s="680" t="s">
        <v>37</v>
      </c>
      <c r="H75" s="680" t="s">
        <v>29</v>
      </c>
      <c r="I75" s="680" t="s">
        <v>30</v>
      </c>
      <c r="J75" s="680" t="s">
        <v>33</v>
      </c>
      <c r="K75" s="680" t="s">
        <v>34</v>
      </c>
    </row>
    <row r="76" spans="1:11" ht="18" customHeight="1" x14ac:dyDescent="0.35">
      <c r="A76" s="955" t="s">
        <v>105</v>
      </c>
      <c r="B76" s="686" t="s">
        <v>106</v>
      </c>
      <c r="C76" s="1089"/>
      <c r="D76" s="1089"/>
      <c r="E76" s="1089"/>
      <c r="F76" s="1089"/>
      <c r="G76" s="1089"/>
      <c r="H76" s="1089"/>
      <c r="I76" s="1089"/>
      <c r="J76" s="1089"/>
      <c r="K76" s="1089"/>
    </row>
    <row r="77" spans="1:11" ht="18" customHeight="1" x14ac:dyDescent="0.35">
      <c r="A77" s="954" t="s">
        <v>107</v>
      </c>
      <c r="B77" s="670" t="s">
        <v>54</v>
      </c>
      <c r="C77" s="1089"/>
      <c r="D77" s="1089"/>
      <c r="E77" s="1089"/>
      <c r="F77" s="1091"/>
      <c r="G77" s="1091"/>
      <c r="H77" s="1092">
        <v>218101</v>
      </c>
      <c r="I77" s="1093">
        <v>0</v>
      </c>
      <c r="J77" s="1092"/>
      <c r="K77" s="1094">
        <f>(H77+I77)-J77</f>
        <v>218101</v>
      </c>
    </row>
    <row r="78" spans="1:11" ht="18" customHeight="1" x14ac:dyDescent="0.35">
      <c r="A78" s="954" t="s">
        <v>108</v>
      </c>
      <c r="B78" s="670" t="s">
        <v>55</v>
      </c>
      <c r="C78" s="1089"/>
      <c r="D78" s="1089"/>
      <c r="E78" s="1089"/>
      <c r="F78" s="1091"/>
      <c r="G78" s="1091"/>
      <c r="H78" s="1092"/>
      <c r="I78" s="1093">
        <v>0</v>
      </c>
      <c r="J78" s="1092"/>
      <c r="K78" s="1094">
        <f>(H78+I78)-J78</f>
        <v>0</v>
      </c>
    </row>
    <row r="79" spans="1:11" ht="18" customHeight="1" x14ac:dyDescent="0.35">
      <c r="A79" s="954" t="s">
        <v>109</v>
      </c>
      <c r="B79" s="670" t="s">
        <v>13</v>
      </c>
      <c r="C79" s="1089"/>
      <c r="D79" s="1089"/>
      <c r="E79" s="1089"/>
      <c r="F79" s="1091">
        <v>1201</v>
      </c>
      <c r="G79" s="1091">
        <v>4893</v>
      </c>
      <c r="H79" s="1092">
        <v>433440</v>
      </c>
      <c r="I79" s="1093">
        <v>0</v>
      </c>
      <c r="J79" s="1092"/>
      <c r="K79" s="1094">
        <f>(H79+I79)-J79</f>
        <v>433440</v>
      </c>
    </row>
    <row r="80" spans="1:11" ht="18" customHeight="1" x14ac:dyDescent="0.35">
      <c r="A80" s="954" t="s">
        <v>110</v>
      </c>
      <c r="B80" s="670" t="s">
        <v>56</v>
      </c>
      <c r="C80" s="1089"/>
      <c r="D80" s="1089"/>
      <c r="E80" s="1089"/>
      <c r="F80" s="1091">
        <v>2080</v>
      </c>
      <c r="G80" s="1091">
        <v>4500</v>
      </c>
      <c r="H80" s="1092">
        <v>72800</v>
      </c>
      <c r="I80" s="1093">
        <v>0</v>
      </c>
      <c r="J80" s="1092"/>
      <c r="K80" s="1094">
        <f>(H80+I80)-J80</f>
        <v>72800</v>
      </c>
    </row>
    <row r="81" spans="1:11" ht="18" customHeight="1" x14ac:dyDescent="0.35">
      <c r="A81" s="954"/>
      <c r="B81" s="1089"/>
      <c r="C81" s="1089"/>
      <c r="D81" s="1089"/>
      <c r="E81" s="1089"/>
      <c r="F81" s="1089"/>
      <c r="G81" s="1089"/>
      <c r="H81" s="1089"/>
      <c r="I81" s="1089"/>
      <c r="J81" s="1089"/>
      <c r="K81" s="1121"/>
    </row>
    <row r="82" spans="1:11" ht="18" customHeight="1" x14ac:dyDescent="0.35">
      <c r="A82" s="954" t="s">
        <v>148</v>
      </c>
      <c r="B82" s="686" t="s">
        <v>149</v>
      </c>
      <c r="C82" s="1089"/>
      <c r="D82" s="1089"/>
      <c r="E82" s="686" t="s">
        <v>7</v>
      </c>
      <c r="F82" s="1119">
        <f t="shared" ref="F82:K82" si="8">SUM(F77:F80)</f>
        <v>3281</v>
      </c>
      <c r="G82" s="1119">
        <f t="shared" si="8"/>
        <v>9393</v>
      </c>
      <c r="H82" s="1100">
        <f t="shared" si="8"/>
        <v>724341</v>
      </c>
      <c r="I82" s="1100">
        <f t="shared" si="8"/>
        <v>0</v>
      </c>
      <c r="J82" s="1100">
        <f t="shared" si="8"/>
        <v>0</v>
      </c>
      <c r="K82" s="1100">
        <f t="shared" si="8"/>
        <v>724341</v>
      </c>
    </row>
    <row r="83" spans="1:11" ht="18" customHeight="1" thickBot="1" x14ac:dyDescent="0.4">
      <c r="A83" s="954"/>
      <c r="B83" s="1089"/>
      <c r="C83" s="1089"/>
      <c r="D83" s="1089"/>
      <c r="E83" s="1089"/>
      <c r="F83" s="1102"/>
      <c r="G83" s="1102"/>
      <c r="H83" s="1102"/>
      <c r="I83" s="1102"/>
      <c r="J83" s="1102"/>
      <c r="K83" s="1102"/>
    </row>
    <row r="84" spans="1:11" ht="18" customHeight="1" x14ac:dyDescent="0.35">
      <c r="A84" s="1088"/>
      <c r="B84" s="1089"/>
      <c r="C84" s="1089"/>
      <c r="D84" s="1089"/>
      <c r="E84" s="1089"/>
      <c r="F84" s="680" t="s">
        <v>9</v>
      </c>
      <c r="G84" s="680" t="s">
        <v>37</v>
      </c>
      <c r="H84" s="680" t="s">
        <v>29</v>
      </c>
      <c r="I84" s="680" t="s">
        <v>30</v>
      </c>
      <c r="J84" s="680" t="s">
        <v>33</v>
      </c>
      <c r="K84" s="680" t="s">
        <v>34</v>
      </c>
    </row>
    <row r="85" spans="1:11" ht="18" customHeight="1" x14ac:dyDescent="0.35">
      <c r="A85" s="955" t="s">
        <v>111</v>
      </c>
      <c r="B85" s="686" t="s">
        <v>57</v>
      </c>
      <c r="C85" s="1089"/>
      <c r="D85" s="1089"/>
      <c r="E85" s="1089"/>
      <c r="F85" s="1089"/>
      <c r="G85" s="1089"/>
      <c r="H85" s="1089"/>
      <c r="I85" s="1089"/>
      <c r="J85" s="1089"/>
      <c r="K85" s="1089"/>
    </row>
    <row r="86" spans="1:11" ht="18" customHeight="1" x14ac:dyDescent="0.35">
      <c r="A86" s="954" t="s">
        <v>112</v>
      </c>
      <c r="B86" s="670" t="s">
        <v>113</v>
      </c>
      <c r="C86" s="1089"/>
      <c r="D86" s="1089"/>
      <c r="E86" s="1089"/>
      <c r="F86" s="1091"/>
      <c r="G86" s="1091"/>
      <c r="H86" s="1092"/>
      <c r="I86" s="1093">
        <f t="shared" ref="I86:I96" si="9">H86*F$114</f>
        <v>0</v>
      </c>
      <c r="J86" s="1092"/>
      <c r="K86" s="1094">
        <f t="shared" ref="K86:K96" si="10">(H86+I86)-J86</f>
        <v>0</v>
      </c>
    </row>
    <row r="87" spans="1:11" ht="18" customHeight="1" x14ac:dyDescent="0.35">
      <c r="A87" s="954" t="s">
        <v>114</v>
      </c>
      <c r="B87" s="670" t="s">
        <v>14</v>
      </c>
      <c r="C87" s="1089"/>
      <c r="D87" s="1089"/>
      <c r="E87" s="1089"/>
      <c r="F87" s="1091">
        <v>248</v>
      </c>
      <c r="G87" s="1091">
        <v>2099</v>
      </c>
      <c r="H87" s="1092">
        <v>13378</v>
      </c>
      <c r="I87" s="1093">
        <f t="shared" si="9"/>
        <v>6840.1713999999993</v>
      </c>
      <c r="J87" s="1092"/>
      <c r="K87" s="1094">
        <f t="shared" si="10"/>
        <v>20218.171399999999</v>
      </c>
    </row>
    <row r="88" spans="1:11" ht="18" customHeight="1" x14ac:dyDescent="0.35">
      <c r="A88" s="954" t="s">
        <v>115</v>
      </c>
      <c r="B88" s="670" t="s">
        <v>116</v>
      </c>
      <c r="C88" s="1089"/>
      <c r="D88" s="1089"/>
      <c r="E88" s="1089"/>
      <c r="F88" s="1091">
        <v>955</v>
      </c>
      <c r="G88" s="1091">
        <v>684</v>
      </c>
      <c r="H88" s="1092">
        <v>37865</v>
      </c>
      <c r="I88" s="1093">
        <f t="shared" si="9"/>
        <v>19360.374499999998</v>
      </c>
      <c r="J88" s="1092"/>
      <c r="K88" s="1094">
        <f t="shared" si="10"/>
        <v>57225.374499999998</v>
      </c>
    </row>
    <row r="89" spans="1:11" ht="18" customHeight="1" x14ac:dyDescent="0.35">
      <c r="A89" s="954" t="s">
        <v>117</v>
      </c>
      <c r="B89" s="670" t="s">
        <v>58</v>
      </c>
      <c r="C89" s="1089"/>
      <c r="D89" s="1089"/>
      <c r="E89" s="1089"/>
      <c r="F89" s="1091">
        <v>368</v>
      </c>
      <c r="G89" s="1091">
        <v>154</v>
      </c>
      <c r="H89" s="1092">
        <v>25733</v>
      </c>
      <c r="I89" s="1093">
        <f t="shared" si="9"/>
        <v>13157.2829</v>
      </c>
      <c r="J89" s="1092"/>
      <c r="K89" s="1094">
        <f t="shared" si="10"/>
        <v>38890.282899999998</v>
      </c>
    </row>
    <row r="90" spans="1:11" ht="18" customHeight="1" x14ac:dyDescent="0.35">
      <c r="A90" s="954" t="s">
        <v>118</v>
      </c>
      <c r="B90" s="1480" t="s">
        <v>59</v>
      </c>
      <c r="C90" s="1534"/>
      <c r="D90" s="1089"/>
      <c r="E90" s="1089"/>
      <c r="F90" s="1091">
        <v>2982</v>
      </c>
      <c r="G90" s="1091">
        <v>677</v>
      </c>
      <c r="H90" s="1092">
        <v>104370</v>
      </c>
      <c r="I90" s="1093">
        <f t="shared" si="9"/>
        <v>53364.380999999994</v>
      </c>
      <c r="J90" s="1092"/>
      <c r="K90" s="1094">
        <f t="shared" si="10"/>
        <v>157734.38099999999</v>
      </c>
    </row>
    <row r="91" spans="1:11" ht="18" customHeight="1" x14ac:dyDescent="0.35">
      <c r="A91" s="954" t="s">
        <v>119</v>
      </c>
      <c r="B91" s="670" t="s">
        <v>60</v>
      </c>
      <c r="C91" s="1089"/>
      <c r="D91" s="1089"/>
      <c r="E91" s="1089"/>
      <c r="F91" s="1091">
        <v>2221</v>
      </c>
      <c r="G91" s="1091">
        <v>1085</v>
      </c>
      <c r="H91" s="1092">
        <v>120419</v>
      </c>
      <c r="I91" s="1093">
        <f t="shared" si="9"/>
        <v>61570.234699999994</v>
      </c>
      <c r="J91" s="1092"/>
      <c r="K91" s="1094">
        <f t="shared" si="10"/>
        <v>181989.2347</v>
      </c>
    </row>
    <row r="92" spans="1:11" ht="18" customHeight="1" x14ac:dyDescent="0.35">
      <c r="A92" s="954" t="s">
        <v>120</v>
      </c>
      <c r="B92" s="670" t="s">
        <v>121</v>
      </c>
      <c r="C92" s="1089"/>
      <c r="D92" s="1089"/>
      <c r="E92" s="1089"/>
      <c r="F92" s="1122">
        <v>366</v>
      </c>
      <c r="G92" s="1122">
        <v>508</v>
      </c>
      <c r="H92" s="1123">
        <v>21160</v>
      </c>
      <c r="I92" s="1093">
        <f t="shared" si="9"/>
        <v>10819.108</v>
      </c>
      <c r="J92" s="1123"/>
      <c r="K92" s="1094">
        <f t="shared" si="10"/>
        <v>31979.108</v>
      </c>
    </row>
    <row r="93" spans="1:11" ht="18" customHeight="1" x14ac:dyDescent="0.35">
      <c r="A93" s="954" t="s">
        <v>122</v>
      </c>
      <c r="B93" s="670" t="s">
        <v>123</v>
      </c>
      <c r="C93" s="1089"/>
      <c r="D93" s="1089"/>
      <c r="E93" s="1089"/>
      <c r="F93" s="1091">
        <v>946</v>
      </c>
      <c r="G93" s="1091">
        <v>213</v>
      </c>
      <c r="H93" s="1092">
        <v>110548</v>
      </c>
      <c r="I93" s="1093">
        <f t="shared" si="9"/>
        <v>56523.1924</v>
      </c>
      <c r="J93" s="1092"/>
      <c r="K93" s="1094">
        <f t="shared" si="10"/>
        <v>167071.1924</v>
      </c>
    </row>
    <row r="94" spans="1:11" ht="18" customHeight="1" x14ac:dyDescent="0.35">
      <c r="A94" s="954" t="s">
        <v>124</v>
      </c>
      <c r="B94" s="1477" t="s">
        <v>290</v>
      </c>
      <c r="C94" s="1535"/>
      <c r="D94" s="1522"/>
      <c r="E94" s="1089"/>
      <c r="F94" s="1091">
        <v>1853</v>
      </c>
      <c r="G94" s="1091">
        <v>20000</v>
      </c>
      <c r="H94" s="1092">
        <v>161929</v>
      </c>
      <c r="I94" s="1093">
        <f t="shared" si="9"/>
        <v>82794.297699999996</v>
      </c>
      <c r="J94" s="1092"/>
      <c r="K94" s="1094">
        <f t="shared" si="10"/>
        <v>244723.2977</v>
      </c>
    </row>
    <row r="95" spans="1:11" ht="18" customHeight="1" x14ac:dyDescent="0.35">
      <c r="A95" s="954" t="s">
        <v>125</v>
      </c>
      <c r="B95" s="1477" t="s">
        <v>291</v>
      </c>
      <c r="C95" s="1535"/>
      <c r="D95" s="1522"/>
      <c r="E95" s="1089"/>
      <c r="F95" s="1091">
        <v>208</v>
      </c>
      <c r="G95" s="1091">
        <v>156</v>
      </c>
      <c r="H95" s="1092">
        <v>12200</v>
      </c>
      <c r="I95" s="1093">
        <f t="shared" si="9"/>
        <v>6237.86</v>
      </c>
      <c r="J95" s="1092"/>
      <c r="K95" s="1094">
        <f t="shared" si="10"/>
        <v>18437.86</v>
      </c>
    </row>
    <row r="96" spans="1:11" ht="18" customHeight="1" x14ac:dyDescent="0.35">
      <c r="A96" s="954" t="s">
        <v>126</v>
      </c>
      <c r="B96" s="1536"/>
      <c r="C96" s="1535"/>
      <c r="D96" s="1522"/>
      <c r="E96" s="1089"/>
      <c r="F96" s="1091"/>
      <c r="G96" s="1091"/>
      <c r="H96" s="1092"/>
      <c r="I96" s="1093">
        <f t="shared" si="9"/>
        <v>0</v>
      </c>
      <c r="J96" s="1092"/>
      <c r="K96" s="1094">
        <f t="shared" si="10"/>
        <v>0</v>
      </c>
    </row>
    <row r="97" spans="1:11" ht="18" customHeight="1" x14ac:dyDescent="0.35">
      <c r="A97" s="954"/>
      <c r="B97" s="670"/>
      <c r="C97" s="1089"/>
      <c r="D97" s="1089"/>
      <c r="E97" s="1089"/>
      <c r="F97" s="1089"/>
      <c r="G97" s="1089"/>
      <c r="H97" s="1089"/>
      <c r="I97" s="1089"/>
      <c r="J97" s="1089"/>
      <c r="K97" s="1089"/>
    </row>
    <row r="98" spans="1:11" ht="18" customHeight="1" x14ac:dyDescent="0.35">
      <c r="A98" s="955" t="s">
        <v>150</v>
      </c>
      <c r="B98" s="686" t="s">
        <v>151</v>
      </c>
      <c r="C98" s="1089"/>
      <c r="D98" s="1089"/>
      <c r="E98" s="686" t="s">
        <v>7</v>
      </c>
      <c r="F98" s="1096">
        <f t="shared" ref="F98:K98" si="11">SUM(F86:F96)</f>
        <v>10147</v>
      </c>
      <c r="G98" s="1096">
        <f t="shared" si="11"/>
        <v>25576</v>
      </c>
      <c r="H98" s="1096">
        <f t="shared" si="11"/>
        <v>607602</v>
      </c>
      <c r="I98" s="1096">
        <f t="shared" si="11"/>
        <v>310666.90259999997</v>
      </c>
      <c r="J98" s="1096">
        <f t="shared" si="11"/>
        <v>0</v>
      </c>
      <c r="K98" s="1096">
        <f t="shared" si="11"/>
        <v>918268.90260000003</v>
      </c>
    </row>
    <row r="99" spans="1:11" ht="18" customHeight="1" thickBot="1" x14ac:dyDescent="0.4">
      <c r="A99" s="1088"/>
      <c r="B99" s="686"/>
      <c r="C99" s="1089"/>
      <c r="D99" s="1089"/>
      <c r="E99" s="1089"/>
      <c r="F99" s="1102"/>
      <c r="G99" s="1102"/>
      <c r="H99" s="1102"/>
      <c r="I99" s="1102"/>
      <c r="J99" s="1102"/>
      <c r="K99" s="1102"/>
    </row>
    <row r="100" spans="1:11" ht="18" customHeight="1" x14ac:dyDescent="0.35">
      <c r="A100" s="1088"/>
      <c r="B100" s="1089"/>
      <c r="C100" s="1089"/>
      <c r="D100" s="1089"/>
      <c r="E100" s="1089"/>
      <c r="F100" s="680" t="s">
        <v>9</v>
      </c>
      <c r="G100" s="680" t="s">
        <v>37</v>
      </c>
      <c r="H100" s="680" t="s">
        <v>29</v>
      </c>
      <c r="I100" s="680" t="s">
        <v>30</v>
      </c>
      <c r="J100" s="680" t="s">
        <v>33</v>
      </c>
      <c r="K100" s="680" t="s">
        <v>34</v>
      </c>
    </row>
    <row r="101" spans="1:11" ht="18" customHeight="1" x14ac:dyDescent="0.35">
      <c r="A101" s="955" t="s">
        <v>130</v>
      </c>
      <c r="B101" s="686" t="s">
        <v>63</v>
      </c>
      <c r="C101" s="1089"/>
      <c r="D101" s="1089"/>
      <c r="E101" s="1089"/>
      <c r="F101" s="1089"/>
      <c r="G101" s="1089"/>
      <c r="H101" s="1089"/>
      <c r="I101" s="1089"/>
      <c r="J101" s="1089"/>
      <c r="K101" s="1089"/>
    </row>
    <row r="102" spans="1:11" ht="18" customHeight="1" x14ac:dyDescent="0.35">
      <c r="A102" s="954" t="s">
        <v>131</v>
      </c>
      <c r="B102" s="670" t="s">
        <v>152</v>
      </c>
      <c r="C102" s="1089"/>
      <c r="D102" s="1089"/>
      <c r="E102" s="1089"/>
      <c r="F102" s="1091">
        <v>1560</v>
      </c>
      <c r="G102" s="1091">
        <v>325</v>
      </c>
      <c r="H102" s="1092">
        <v>44500</v>
      </c>
      <c r="I102" s="1093">
        <f>H102*F$114</f>
        <v>22752.85</v>
      </c>
      <c r="J102" s="1092"/>
      <c r="K102" s="1094">
        <f>(H102+I102)-J102</f>
        <v>67252.850000000006</v>
      </c>
    </row>
    <row r="103" spans="1:11" ht="18" customHeight="1" x14ac:dyDescent="0.35">
      <c r="A103" s="954" t="s">
        <v>132</v>
      </c>
      <c r="B103" s="1480" t="s">
        <v>62</v>
      </c>
      <c r="C103" s="1480"/>
      <c r="D103" s="1089"/>
      <c r="E103" s="1089"/>
      <c r="F103" s="1091">
        <v>520</v>
      </c>
      <c r="G103" s="1091">
        <v>80</v>
      </c>
      <c r="H103" s="1092">
        <v>33005</v>
      </c>
      <c r="I103" s="1093">
        <f>H103*F$114</f>
        <v>16875.4565</v>
      </c>
      <c r="J103" s="1092"/>
      <c r="K103" s="1094">
        <f>(H103+I103)-J103</f>
        <v>49880.4565</v>
      </c>
    </row>
    <row r="104" spans="1:11" ht="18" customHeight="1" x14ac:dyDescent="0.35">
      <c r="A104" s="954" t="s">
        <v>128</v>
      </c>
      <c r="B104" s="1477" t="s">
        <v>775</v>
      </c>
      <c r="C104" s="1535"/>
      <c r="D104" s="1522"/>
      <c r="E104" s="1089"/>
      <c r="F104" s="1091">
        <v>2000</v>
      </c>
      <c r="G104" s="1091">
        <v>500</v>
      </c>
      <c r="H104" s="1092">
        <v>633000</v>
      </c>
      <c r="I104" s="1093">
        <f>H104*F$114</f>
        <v>323652.89999999997</v>
      </c>
      <c r="J104" s="1092"/>
      <c r="K104" s="1094">
        <f>(H104+I104)-J104</f>
        <v>956652.89999999991</v>
      </c>
    </row>
    <row r="105" spans="1:11" ht="18" customHeight="1" x14ac:dyDescent="0.35">
      <c r="A105" s="954" t="s">
        <v>127</v>
      </c>
      <c r="B105" s="1536"/>
      <c r="C105" s="1535"/>
      <c r="D105" s="1522"/>
      <c r="E105" s="1089"/>
      <c r="F105" s="1091"/>
      <c r="G105" s="1091"/>
      <c r="H105" s="1092"/>
      <c r="I105" s="1093">
        <f>H105*F$114</f>
        <v>0</v>
      </c>
      <c r="J105" s="1092"/>
      <c r="K105" s="1094">
        <f>(H105+I105)-J105</f>
        <v>0</v>
      </c>
    </row>
    <row r="106" spans="1:11" ht="18" customHeight="1" x14ac:dyDescent="0.35">
      <c r="A106" s="954" t="s">
        <v>129</v>
      </c>
      <c r="B106" s="1536"/>
      <c r="C106" s="1535"/>
      <c r="D106" s="1522"/>
      <c r="E106" s="1089"/>
      <c r="F106" s="1091"/>
      <c r="G106" s="1091"/>
      <c r="H106" s="1092"/>
      <c r="I106" s="1093">
        <f>H106*F$114</f>
        <v>0</v>
      </c>
      <c r="J106" s="1092"/>
      <c r="K106" s="1094">
        <f>(H106+I106)-J106</f>
        <v>0</v>
      </c>
    </row>
    <row r="107" spans="1:11" ht="18" customHeight="1" x14ac:dyDescent="0.35">
      <c r="A107" s="1088"/>
      <c r="B107" s="686"/>
      <c r="C107" s="1089"/>
      <c r="D107" s="1089"/>
      <c r="E107" s="1089"/>
      <c r="F107" s="1089"/>
      <c r="G107" s="1089"/>
      <c r="H107" s="1089"/>
      <c r="I107" s="1089"/>
      <c r="J107" s="1089"/>
      <c r="K107" s="1089"/>
    </row>
    <row r="108" spans="1:11" ht="18" customHeight="1" x14ac:dyDescent="0.35">
      <c r="A108" s="955" t="s">
        <v>153</v>
      </c>
      <c r="B108" s="686" t="s">
        <v>154</v>
      </c>
      <c r="C108" s="1089"/>
      <c r="D108" s="1089"/>
      <c r="E108" s="686" t="s">
        <v>7</v>
      </c>
      <c r="F108" s="1096">
        <f t="shared" ref="F108:K108" si="12">SUM(F102:F106)</f>
        <v>4080</v>
      </c>
      <c r="G108" s="1096">
        <f t="shared" si="12"/>
        <v>905</v>
      </c>
      <c r="H108" s="1094">
        <f t="shared" si="12"/>
        <v>710505</v>
      </c>
      <c r="I108" s="1094">
        <f t="shared" si="12"/>
        <v>363281.20649999997</v>
      </c>
      <c r="J108" s="1094">
        <f t="shared" si="12"/>
        <v>0</v>
      </c>
      <c r="K108" s="1094">
        <f t="shared" si="12"/>
        <v>1073786.2064999999</v>
      </c>
    </row>
    <row r="109" spans="1:11" ht="18" customHeight="1" thickBot="1" x14ac:dyDescent="0.4">
      <c r="A109" s="1124"/>
      <c r="B109" s="644"/>
      <c r="C109" s="1125"/>
      <c r="D109" s="1125"/>
      <c r="E109" s="1125"/>
      <c r="F109" s="1102"/>
      <c r="G109" s="1102"/>
      <c r="H109" s="1102"/>
      <c r="I109" s="1102"/>
      <c r="J109" s="1102"/>
      <c r="K109" s="1102"/>
    </row>
    <row r="110" spans="1:11" ht="18" customHeight="1" x14ac:dyDescent="0.35">
      <c r="A110" s="955" t="s">
        <v>156</v>
      </c>
      <c r="B110" s="686" t="s">
        <v>39</v>
      </c>
      <c r="C110" s="1089"/>
      <c r="D110" s="1089"/>
      <c r="E110" s="1089"/>
      <c r="F110" s="1089"/>
      <c r="G110" s="1089"/>
      <c r="H110" s="1089"/>
      <c r="I110" s="1089"/>
      <c r="J110" s="1089"/>
      <c r="K110" s="1089"/>
    </row>
    <row r="111" spans="1:11" ht="18" customHeight="1" x14ac:dyDescent="0.35">
      <c r="A111" s="955" t="s">
        <v>155</v>
      </c>
      <c r="B111" s="686" t="s">
        <v>164</v>
      </c>
      <c r="C111" s="1089"/>
      <c r="D111" s="1089"/>
      <c r="E111" s="686" t="s">
        <v>7</v>
      </c>
      <c r="F111" s="1092">
        <v>4450854</v>
      </c>
      <c r="G111" s="1089"/>
      <c r="H111" s="1089"/>
      <c r="I111" s="1089"/>
      <c r="J111" s="1089"/>
      <c r="K111" s="1089"/>
    </row>
    <row r="112" spans="1:11" ht="18" customHeight="1" x14ac:dyDescent="0.35">
      <c r="A112" s="1088"/>
      <c r="B112" s="686"/>
      <c r="C112" s="1089"/>
      <c r="D112" s="1089"/>
      <c r="E112" s="686"/>
      <c r="F112" s="1126"/>
      <c r="G112" s="1089"/>
      <c r="H112" s="1089"/>
      <c r="I112" s="1089"/>
      <c r="J112" s="1089"/>
      <c r="K112" s="1089"/>
    </row>
    <row r="113" spans="1:11" ht="18" customHeight="1" x14ac:dyDescent="0.35">
      <c r="A113" s="955"/>
      <c r="B113" s="686" t="s">
        <v>15</v>
      </c>
      <c r="C113" s="1089"/>
      <c r="D113" s="1089"/>
      <c r="E113" s="1089"/>
      <c r="F113" s="1089"/>
      <c r="G113" s="1089"/>
      <c r="H113" s="1089"/>
      <c r="I113" s="1089"/>
      <c r="J113" s="1089"/>
      <c r="K113" s="1089"/>
    </row>
    <row r="114" spans="1:11" ht="18" customHeight="1" x14ac:dyDescent="0.35">
      <c r="A114" s="954" t="s">
        <v>171</v>
      </c>
      <c r="B114" s="670" t="s">
        <v>35</v>
      </c>
      <c r="C114" s="1089"/>
      <c r="D114" s="1089"/>
      <c r="E114" s="1089"/>
      <c r="F114" s="1127">
        <v>0.51129999999999998</v>
      </c>
      <c r="G114" s="1089"/>
      <c r="H114" s="1089"/>
      <c r="I114" s="1089"/>
      <c r="J114" s="1089"/>
      <c r="K114" s="1089"/>
    </row>
    <row r="115" spans="1:11" ht="18" customHeight="1" x14ac:dyDescent="0.35">
      <c r="A115" s="954"/>
      <c r="B115" s="686"/>
      <c r="C115" s="1089"/>
      <c r="D115" s="1089"/>
      <c r="E115" s="1089"/>
      <c r="F115" s="1089"/>
      <c r="G115" s="1089"/>
      <c r="H115" s="1089"/>
      <c r="I115" s="1089"/>
      <c r="J115" s="1089"/>
      <c r="K115" s="1089"/>
    </row>
    <row r="116" spans="1:11" ht="18" customHeight="1" x14ac:dyDescent="0.35">
      <c r="A116" s="954" t="s">
        <v>170</v>
      </c>
      <c r="B116" s="686" t="s">
        <v>16</v>
      </c>
      <c r="C116" s="1089"/>
      <c r="D116" s="1089"/>
      <c r="E116" s="1089"/>
      <c r="F116" s="1089"/>
      <c r="G116" s="1089"/>
      <c r="H116" s="1089"/>
      <c r="I116" s="1089"/>
      <c r="J116" s="1089"/>
      <c r="K116" s="1089"/>
    </row>
    <row r="117" spans="1:11" ht="18" customHeight="1" x14ac:dyDescent="0.35">
      <c r="A117" s="954" t="s">
        <v>172</v>
      </c>
      <c r="B117" s="670" t="s">
        <v>17</v>
      </c>
      <c r="C117" s="1089"/>
      <c r="D117" s="1089"/>
      <c r="E117" s="1089"/>
      <c r="F117" s="1092">
        <v>570617000</v>
      </c>
      <c r="G117" s="1089"/>
      <c r="H117" s="1089"/>
      <c r="I117" s="1089"/>
      <c r="J117" s="1089"/>
      <c r="K117" s="1089"/>
    </row>
    <row r="118" spans="1:11" ht="18" customHeight="1" x14ac:dyDescent="0.35">
      <c r="A118" s="954" t="s">
        <v>173</v>
      </c>
      <c r="B118" s="1089" t="s">
        <v>18</v>
      </c>
      <c r="C118" s="1089"/>
      <c r="D118" s="1089"/>
      <c r="E118" s="1089"/>
      <c r="F118" s="1092">
        <v>11753000</v>
      </c>
      <c r="G118" s="1089"/>
      <c r="H118" s="1089"/>
      <c r="I118" s="1089"/>
      <c r="J118" s="1089"/>
      <c r="K118" s="1089"/>
    </row>
    <row r="119" spans="1:11" ht="18" customHeight="1" x14ac:dyDescent="0.35">
      <c r="A119" s="954" t="s">
        <v>174</v>
      </c>
      <c r="B119" s="686" t="s">
        <v>19</v>
      </c>
      <c r="C119" s="1089"/>
      <c r="D119" s="1089"/>
      <c r="E119" s="1089"/>
      <c r="F119" s="1100">
        <f>SUM(F117:F118)</f>
        <v>582370000</v>
      </c>
      <c r="G119" s="1089"/>
      <c r="H119" s="1089"/>
      <c r="I119" s="1089"/>
      <c r="J119" s="1089"/>
      <c r="K119" s="1089"/>
    </row>
    <row r="120" spans="1:11" ht="18" customHeight="1" x14ac:dyDescent="0.35">
      <c r="A120" s="954"/>
      <c r="B120" s="686"/>
      <c r="C120" s="1089"/>
      <c r="D120" s="1089"/>
      <c r="E120" s="1089"/>
      <c r="F120" s="1089"/>
      <c r="G120" s="1089"/>
      <c r="H120" s="1089"/>
      <c r="I120" s="1089"/>
      <c r="J120" s="1089"/>
      <c r="K120" s="1089"/>
    </row>
    <row r="121" spans="1:11" ht="18" customHeight="1" x14ac:dyDescent="0.35">
      <c r="A121" s="954" t="s">
        <v>167</v>
      </c>
      <c r="B121" s="686" t="s">
        <v>36</v>
      </c>
      <c r="C121" s="1089"/>
      <c r="D121" s="1089"/>
      <c r="E121" s="1089"/>
      <c r="F121" s="1092">
        <v>561392000</v>
      </c>
      <c r="G121" s="1089"/>
      <c r="H121" s="1089"/>
      <c r="I121" s="1089"/>
      <c r="J121" s="1089"/>
      <c r="K121" s="1089"/>
    </row>
    <row r="122" spans="1:11" ht="18" customHeight="1" x14ac:dyDescent="0.35">
      <c r="A122" s="954"/>
      <c r="B122" s="1089"/>
      <c r="C122" s="1089"/>
      <c r="D122" s="1089"/>
      <c r="E122" s="1089"/>
      <c r="F122" s="1089"/>
      <c r="G122" s="1089"/>
      <c r="H122" s="1089"/>
      <c r="I122" s="1089"/>
      <c r="J122" s="1089"/>
      <c r="K122" s="1089"/>
    </row>
    <row r="123" spans="1:11" ht="18" customHeight="1" x14ac:dyDescent="0.35">
      <c r="A123" s="954" t="s">
        <v>175</v>
      </c>
      <c r="B123" s="686" t="s">
        <v>20</v>
      </c>
      <c r="C123" s="1089"/>
      <c r="D123" s="1089"/>
      <c r="E123" s="1089"/>
      <c r="F123" s="1092">
        <v>20978000</v>
      </c>
      <c r="G123" s="1089"/>
      <c r="H123" s="1089"/>
      <c r="I123" s="1089"/>
      <c r="J123" s="1089"/>
      <c r="K123" s="1089"/>
    </row>
    <row r="124" spans="1:11" ht="18" customHeight="1" x14ac:dyDescent="0.35">
      <c r="A124" s="954"/>
      <c r="B124" s="1089"/>
      <c r="C124" s="1089"/>
      <c r="D124" s="1089"/>
      <c r="E124" s="1089"/>
      <c r="F124" s="1089"/>
      <c r="G124" s="1089"/>
      <c r="H124" s="1089"/>
      <c r="I124" s="1089"/>
      <c r="J124" s="1089"/>
      <c r="K124" s="1089"/>
    </row>
    <row r="125" spans="1:11" ht="18" customHeight="1" x14ac:dyDescent="0.35">
      <c r="A125" s="954" t="s">
        <v>176</v>
      </c>
      <c r="B125" s="686" t="s">
        <v>21</v>
      </c>
      <c r="C125" s="1089"/>
      <c r="D125" s="1089"/>
      <c r="E125" s="1089"/>
      <c r="F125" s="1092">
        <v>57340000</v>
      </c>
      <c r="G125" s="1089"/>
      <c r="H125" s="1089"/>
      <c r="I125" s="1089"/>
      <c r="J125" s="1089"/>
      <c r="K125" s="1089"/>
    </row>
    <row r="126" spans="1:11" ht="18" customHeight="1" x14ac:dyDescent="0.35">
      <c r="A126" s="954"/>
      <c r="B126" s="1089"/>
      <c r="C126" s="1089"/>
      <c r="D126" s="1089"/>
      <c r="E126" s="1089"/>
      <c r="F126" s="1089"/>
      <c r="G126" s="1089"/>
      <c r="H126" s="1089"/>
      <c r="I126" s="1089"/>
      <c r="J126" s="1089"/>
      <c r="K126" s="1089"/>
    </row>
    <row r="127" spans="1:11" ht="18" customHeight="1" x14ac:dyDescent="0.35">
      <c r="A127" s="954" t="s">
        <v>177</v>
      </c>
      <c r="B127" s="686" t="s">
        <v>22</v>
      </c>
      <c r="C127" s="1089"/>
      <c r="D127" s="1089"/>
      <c r="E127" s="1089"/>
      <c r="F127" s="1092">
        <v>78318000</v>
      </c>
      <c r="G127" s="1089"/>
      <c r="H127" s="1089"/>
      <c r="I127" s="1089"/>
      <c r="J127" s="1089"/>
      <c r="K127" s="1089"/>
    </row>
    <row r="128" spans="1:11" ht="18" customHeight="1" x14ac:dyDescent="0.35">
      <c r="A128" s="954"/>
      <c r="B128" s="1089"/>
      <c r="C128" s="1089"/>
      <c r="D128" s="1089"/>
      <c r="E128" s="1089"/>
      <c r="F128" s="1089"/>
      <c r="G128" s="1089"/>
      <c r="H128" s="1089"/>
      <c r="I128" s="1089"/>
      <c r="J128" s="1089"/>
      <c r="K128" s="1089"/>
    </row>
    <row r="129" spans="1:11" ht="18" customHeight="1" x14ac:dyDescent="0.35">
      <c r="A129" s="1088"/>
      <c r="B129" s="1089"/>
      <c r="C129" s="1089"/>
      <c r="D129" s="1089"/>
      <c r="E129" s="1089"/>
      <c r="F129" s="680" t="s">
        <v>9</v>
      </c>
      <c r="G129" s="680" t="s">
        <v>37</v>
      </c>
      <c r="H129" s="680" t="s">
        <v>29</v>
      </c>
      <c r="I129" s="680" t="s">
        <v>30</v>
      </c>
      <c r="J129" s="680" t="s">
        <v>33</v>
      </c>
      <c r="K129" s="680" t="s">
        <v>34</v>
      </c>
    </row>
    <row r="130" spans="1:11" ht="18" customHeight="1" x14ac:dyDescent="0.35">
      <c r="A130" s="955" t="s">
        <v>157</v>
      </c>
      <c r="B130" s="686" t="s">
        <v>23</v>
      </c>
      <c r="C130" s="1089"/>
      <c r="D130" s="1089"/>
      <c r="E130" s="1089"/>
      <c r="F130" s="1089"/>
      <c r="G130" s="1089"/>
      <c r="H130" s="1089"/>
      <c r="I130" s="1089"/>
      <c r="J130" s="1089"/>
      <c r="K130" s="1089"/>
    </row>
    <row r="131" spans="1:11" ht="18" customHeight="1" x14ac:dyDescent="0.35">
      <c r="A131" s="954" t="s">
        <v>158</v>
      </c>
      <c r="B131" s="1089" t="s">
        <v>24</v>
      </c>
      <c r="C131" s="1089"/>
      <c r="D131" s="1089"/>
      <c r="E131" s="1089"/>
      <c r="F131" s="1091"/>
      <c r="G131" s="1091"/>
      <c r="H131" s="1092"/>
      <c r="I131" s="1093">
        <v>0</v>
      </c>
      <c r="J131" s="1092"/>
      <c r="K131" s="1094">
        <f>(H131+I131)-J131</f>
        <v>0</v>
      </c>
    </row>
    <row r="132" spans="1:11" ht="18" customHeight="1" x14ac:dyDescent="0.35">
      <c r="A132" s="954" t="s">
        <v>159</v>
      </c>
      <c r="B132" s="1089" t="s">
        <v>25</v>
      </c>
      <c r="C132" s="1089"/>
      <c r="D132" s="1089"/>
      <c r="E132" s="1089"/>
      <c r="F132" s="1091"/>
      <c r="G132" s="1091"/>
      <c r="H132" s="1092"/>
      <c r="I132" s="1093">
        <v>0</v>
      </c>
      <c r="J132" s="1092"/>
      <c r="K132" s="1094">
        <f>(H132+I132)-J132</f>
        <v>0</v>
      </c>
    </row>
    <row r="133" spans="1:11" ht="18" customHeight="1" x14ac:dyDescent="0.35">
      <c r="A133" s="954" t="s">
        <v>160</v>
      </c>
      <c r="B133" s="1474"/>
      <c r="C133" s="1475"/>
      <c r="D133" s="1476"/>
      <c r="E133" s="1089"/>
      <c r="F133" s="1091"/>
      <c r="G133" s="1091"/>
      <c r="H133" s="1092"/>
      <c r="I133" s="1093">
        <v>0</v>
      </c>
      <c r="J133" s="1092"/>
      <c r="K133" s="1094">
        <f>(H133+I133)-J133</f>
        <v>0</v>
      </c>
    </row>
    <row r="134" spans="1:11" ht="18" customHeight="1" x14ac:dyDescent="0.35">
      <c r="A134" s="954" t="s">
        <v>161</v>
      </c>
      <c r="B134" s="1474"/>
      <c r="C134" s="1475"/>
      <c r="D134" s="1476"/>
      <c r="E134" s="1089"/>
      <c r="F134" s="1091"/>
      <c r="G134" s="1091"/>
      <c r="H134" s="1092"/>
      <c r="I134" s="1093">
        <v>0</v>
      </c>
      <c r="J134" s="1092"/>
      <c r="K134" s="1094">
        <f>(H134+I134)-J134</f>
        <v>0</v>
      </c>
    </row>
    <row r="135" spans="1:11" ht="18" customHeight="1" x14ac:dyDescent="0.35">
      <c r="A135" s="954" t="s">
        <v>162</v>
      </c>
      <c r="B135" s="1474"/>
      <c r="C135" s="1475"/>
      <c r="D135" s="1476"/>
      <c r="E135" s="1089"/>
      <c r="F135" s="1091"/>
      <c r="G135" s="1091"/>
      <c r="H135" s="1092"/>
      <c r="I135" s="1093">
        <v>0</v>
      </c>
      <c r="J135" s="1092"/>
      <c r="K135" s="1094">
        <f>(H135+I135)-J135</f>
        <v>0</v>
      </c>
    </row>
    <row r="136" spans="1:11" ht="18" customHeight="1" x14ac:dyDescent="0.35">
      <c r="A136" s="955"/>
      <c r="B136" s="1089"/>
      <c r="C136" s="1089"/>
      <c r="D136" s="1089"/>
      <c r="E136" s="1089"/>
      <c r="F136" s="1089"/>
      <c r="G136" s="1089"/>
      <c r="H136" s="1089"/>
      <c r="I136" s="1089"/>
      <c r="J136" s="1089"/>
      <c r="K136" s="1089"/>
    </row>
    <row r="137" spans="1:11" ht="18" customHeight="1" x14ac:dyDescent="0.35">
      <c r="A137" s="955" t="s">
        <v>163</v>
      </c>
      <c r="B137" s="686" t="s">
        <v>27</v>
      </c>
      <c r="C137" s="1089"/>
      <c r="D137" s="1089"/>
      <c r="E137" s="1089"/>
      <c r="F137" s="1096">
        <f t="shared" ref="F137:K137" si="13">SUM(F131:F135)</f>
        <v>0</v>
      </c>
      <c r="G137" s="1096">
        <f t="shared" si="13"/>
        <v>0</v>
      </c>
      <c r="H137" s="1094">
        <f t="shared" si="13"/>
        <v>0</v>
      </c>
      <c r="I137" s="1094">
        <f t="shared" si="13"/>
        <v>0</v>
      </c>
      <c r="J137" s="1094">
        <f t="shared" si="13"/>
        <v>0</v>
      </c>
      <c r="K137" s="1094">
        <f t="shared" si="13"/>
        <v>0</v>
      </c>
    </row>
    <row r="138" spans="1:11" ht="18" customHeight="1" x14ac:dyDescent="0.35">
      <c r="A138" s="1089"/>
      <c r="B138" s="1089"/>
      <c r="C138" s="1089"/>
      <c r="D138" s="1089"/>
      <c r="E138" s="1089"/>
      <c r="F138" s="1089"/>
      <c r="G138" s="1089"/>
      <c r="H138" s="1089"/>
      <c r="I138" s="1089"/>
      <c r="J138" s="1089"/>
      <c r="K138" s="1089"/>
    </row>
    <row r="139" spans="1:11" ht="18" customHeight="1" x14ac:dyDescent="0.35">
      <c r="A139" s="1088"/>
      <c r="B139" s="1089"/>
      <c r="C139" s="1089"/>
      <c r="D139" s="1089"/>
      <c r="E139" s="1089"/>
      <c r="F139" s="680" t="s">
        <v>9</v>
      </c>
      <c r="G139" s="680" t="s">
        <v>37</v>
      </c>
      <c r="H139" s="680" t="s">
        <v>29</v>
      </c>
      <c r="I139" s="680" t="s">
        <v>30</v>
      </c>
      <c r="J139" s="680" t="s">
        <v>33</v>
      </c>
      <c r="K139" s="680" t="s">
        <v>34</v>
      </c>
    </row>
    <row r="140" spans="1:11" ht="18" customHeight="1" x14ac:dyDescent="0.35">
      <c r="A140" s="955" t="s">
        <v>166</v>
      </c>
      <c r="B140" s="686" t="s">
        <v>26</v>
      </c>
      <c r="C140" s="1089"/>
      <c r="D140" s="1089"/>
      <c r="E140" s="1089"/>
      <c r="F140" s="1089"/>
      <c r="G140" s="1089"/>
      <c r="H140" s="1089"/>
      <c r="I140" s="1089"/>
      <c r="J140" s="1089"/>
      <c r="K140" s="1089"/>
    </row>
    <row r="141" spans="1:11" ht="18" customHeight="1" x14ac:dyDescent="0.35">
      <c r="A141" s="954" t="s">
        <v>137</v>
      </c>
      <c r="B141" s="686" t="s">
        <v>64</v>
      </c>
      <c r="C141" s="1089"/>
      <c r="D141" s="1089"/>
      <c r="E141" s="1089"/>
      <c r="F141" s="1128">
        <f t="shared" ref="F141:K141" si="14">F36</f>
        <v>61537</v>
      </c>
      <c r="G141" s="1128">
        <f t="shared" si="14"/>
        <v>150293</v>
      </c>
      <c r="H141" s="1128">
        <f t="shared" si="14"/>
        <v>3639162</v>
      </c>
      <c r="I141" s="1128">
        <f t="shared" si="14"/>
        <v>1860703.5305999999</v>
      </c>
      <c r="J141" s="1128">
        <f t="shared" si="14"/>
        <v>566226</v>
      </c>
      <c r="K141" s="1128">
        <f t="shared" si="14"/>
        <v>4933639.5306000002</v>
      </c>
    </row>
    <row r="142" spans="1:11" ht="18" customHeight="1" x14ac:dyDescent="0.35">
      <c r="A142" s="954" t="s">
        <v>142</v>
      </c>
      <c r="B142" s="686" t="s">
        <v>65</v>
      </c>
      <c r="C142" s="1089"/>
      <c r="D142" s="1089"/>
      <c r="E142" s="1089"/>
      <c r="F142" s="1128">
        <f t="shared" ref="F142:K142" si="15">F49</f>
        <v>119303</v>
      </c>
      <c r="G142" s="1128">
        <f t="shared" si="15"/>
        <v>7389</v>
      </c>
      <c r="H142" s="1128">
        <f t="shared" si="15"/>
        <v>5862074</v>
      </c>
      <c r="I142" s="1128">
        <f t="shared" si="15"/>
        <v>0</v>
      </c>
      <c r="J142" s="1128">
        <f t="shared" si="15"/>
        <v>0</v>
      </c>
      <c r="K142" s="1128">
        <f t="shared" si="15"/>
        <v>5862074</v>
      </c>
    </row>
    <row r="143" spans="1:11" ht="18" customHeight="1" x14ac:dyDescent="0.35">
      <c r="A143" s="954" t="s">
        <v>144</v>
      </c>
      <c r="B143" s="686" t="s">
        <v>66</v>
      </c>
      <c r="C143" s="1089"/>
      <c r="D143" s="1089"/>
      <c r="E143" s="1089"/>
      <c r="F143" s="1128">
        <f t="shared" ref="F143:K143" si="16">F64</f>
        <v>6840</v>
      </c>
      <c r="G143" s="1128">
        <f t="shared" si="16"/>
        <v>43543</v>
      </c>
      <c r="H143" s="1128">
        <f t="shared" si="16"/>
        <v>29349742</v>
      </c>
      <c r="I143" s="1128">
        <f t="shared" si="16"/>
        <v>0</v>
      </c>
      <c r="J143" s="1128">
        <f t="shared" si="16"/>
        <v>20800</v>
      </c>
      <c r="K143" s="1128">
        <f t="shared" si="16"/>
        <v>29328942</v>
      </c>
    </row>
    <row r="144" spans="1:11" ht="18" customHeight="1" x14ac:dyDescent="0.35">
      <c r="A144" s="954" t="s">
        <v>146</v>
      </c>
      <c r="B144" s="686" t="s">
        <v>67</v>
      </c>
      <c r="C144" s="1089"/>
      <c r="D144" s="1089"/>
      <c r="E144" s="1089"/>
      <c r="F144" s="1128">
        <f t="shared" ref="F144:K144" si="17">F74</f>
        <v>32138</v>
      </c>
      <c r="G144" s="1128">
        <f t="shared" si="17"/>
        <v>2436</v>
      </c>
      <c r="H144" s="1128">
        <f t="shared" si="17"/>
        <v>2367574</v>
      </c>
      <c r="I144" s="1128">
        <f t="shared" si="17"/>
        <v>0</v>
      </c>
      <c r="J144" s="1128">
        <f t="shared" si="17"/>
        <v>1947844</v>
      </c>
      <c r="K144" s="1128">
        <f t="shared" si="17"/>
        <v>419730</v>
      </c>
    </row>
    <row r="145" spans="1:11" ht="18" customHeight="1" x14ac:dyDescent="0.35">
      <c r="A145" s="954" t="s">
        <v>148</v>
      </c>
      <c r="B145" s="686" t="s">
        <v>68</v>
      </c>
      <c r="C145" s="1089"/>
      <c r="D145" s="1089"/>
      <c r="E145" s="1089"/>
      <c r="F145" s="1128">
        <f t="shared" ref="F145:K145" si="18">F82</f>
        <v>3281</v>
      </c>
      <c r="G145" s="1128">
        <f t="shared" si="18"/>
        <v>9393</v>
      </c>
      <c r="H145" s="1128">
        <f t="shared" si="18"/>
        <v>724341</v>
      </c>
      <c r="I145" s="1128">
        <f t="shared" si="18"/>
        <v>0</v>
      </c>
      <c r="J145" s="1128">
        <f t="shared" si="18"/>
        <v>0</v>
      </c>
      <c r="K145" s="1128">
        <f t="shared" si="18"/>
        <v>724341</v>
      </c>
    </row>
    <row r="146" spans="1:11" ht="18" customHeight="1" x14ac:dyDescent="0.35">
      <c r="A146" s="954" t="s">
        <v>150</v>
      </c>
      <c r="B146" s="686" t="s">
        <v>69</v>
      </c>
      <c r="C146" s="1089"/>
      <c r="D146" s="1089"/>
      <c r="E146" s="1089"/>
      <c r="F146" s="1128">
        <f t="shared" ref="F146:K146" si="19">F98</f>
        <v>10147</v>
      </c>
      <c r="G146" s="1128">
        <f t="shared" si="19"/>
        <v>25576</v>
      </c>
      <c r="H146" s="1128">
        <f t="shared" si="19"/>
        <v>607602</v>
      </c>
      <c r="I146" s="1128">
        <f t="shared" si="19"/>
        <v>310666.90259999997</v>
      </c>
      <c r="J146" s="1128">
        <f t="shared" si="19"/>
        <v>0</v>
      </c>
      <c r="K146" s="1128">
        <f t="shared" si="19"/>
        <v>918268.90260000003</v>
      </c>
    </row>
    <row r="147" spans="1:11" ht="18" customHeight="1" x14ac:dyDescent="0.35">
      <c r="A147" s="954" t="s">
        <v>153</v>
      </c>
      <c r="B147" s="686" t="s">
        <v>61</v>
      </c>
      <c r="C147" s="1089"/>
      <c r="D147" s="1089"/>
      <c r="E147" s="1089"/>
      <c r="F147" s="1096">
        <f t="shared" ref="F147:K147" si="20">F108</f>
        <v>4080</v>
      </c>
      <c r="G147" s="1096">
        <f t="shared" si="20"/>
        <v>905</v>
      </c>
      <c r="H147" s="1096">
        <f t="shared" si="20"/>
        <v>710505</v>
      </c>
      <c r="I147" s="1096">
        <f t="shared" si="20"/>
        <v>363281.20649999997</v>
      </c>
      <c r="J147" s="1096">
        <f t="shared" si="20"/>
        <v>0</v>
      </c>
      <c r="K147" s="1096">
        <f t="shared" si="20"/>
        <v>1073786.2064999999</v>
      </c>
    </row>
    <row r="148" spans="1:11" ht="18" customHeight="1" x14ac:dyDescent="0.35">
      <c r="A148" s="954" t="s">
        <v>155</v>
      </c>
      <c r="B148" s="686" t="s">
        <v>70</v>
      </c>
      <c r="C148" s="1089"/>
      <c r="D148" s="1089"/>
      <c r="E148" s="1089"/>
      <c r="F148" s="1129" t="s">
        <v>73</v>
      </c>
      <c r="G148" s="1129" t="s">
        <v>73</v>
      </c>
      <c r="H148" s="1130" t="s">
        <v>73</v>
      </c>
      <c r="I148" s="1130" t="s">
        <v>73</v>
      </c>
      <c r="J148" s="1130" t="s">
        <v>73</v>
      </c>
      <c r="K148" s="1131">
        <f>F111</f>
        <v>4450854</v>
      </c>
    </row>
    <row r="149" spans="1:11" ht="18" customHeight="1" x14ac:dyDescent="0.35">
      <c r="A149" s="954" t="s">
        <v>163</v>
      </c>
      <c r="B149" s="686" t="s">
        <v>71</v>
      </c>
      <c r="C149" s="1089"/>
      <c r="D149" s="1089"/>
      <c r="E149" s="1089"/>
      <c r="F149" s="1096">
        <f t="shared" ref="F149:K149" si="21">F137</f>
        <v>0</v>
      </c>
      <c r="G149" s="1096">
        <f t="shared" si="21"/>
        <v>0</v>
      </c>
      <c r="H149" s="1096">
        <f t="shared" si="21"/>
        <v>0</v>
      </c>
      <c r="I149" s="1096">
        <f t="shared" si="21"/>
        <v>0</v>
      </c>
      <c r="J149" s="1096">
        <f t="shared" si="21"/>
        <v>0</v>
      </c>
      <c r="K149" s="1096">
        <f t="shared" si="21"/>
        <v>0</v>
      </c>
    </row>
    <row r="150" spans="1:11" ht="18" customHeight="1" x14ac:dyDescent="0.35">
      <c r="A150" s="954" t="s">
        <v>185</v>
      </c>
      <c r="B150" s="686" t="s">
        <v>186</v>
      </c>
      <c r="C150" s="1089"/>
      <c r="D150" s="1089"/>
      <c r="E150" s="1089"/>
      <c r="F150" s="1129" t="s">
        <v>73</v>
      </c>
      <c r="G150" s="1129" t="s">
        <v>73</v>
      </c>
      <c r="H150" s="1096">
        <f>H18</f>
        <v>13014499</v>
      </c>
      <c r="I150" s="1096">
        <f>I18</f>
        <v>0</v>
      </c>
      <c r="J150" s="1096">
        <f>J18</f>
        <v>10999820</v>
      </c>
      <c r="K150" s="1096">
        <f>K18</f>
        <v>2014679</v>
      </c>
    </row>
    <row r="151" spans="1:11" ht="18" customHeight="1" x14ac:dyDescent="0.35">
      <c r="A151" s="1088"/>
      <c r="B151" s="686"/>
      <c r="C151" s="1089"/>
      <c r="D151" s="1089"/>
      <c r="E151" s="1089"/>
      <c r="F151" s="1106"/>
      <c r="G151" s="1106"/>
      <c r="H151" s="1106"/>
      <c r="I151" s="1106"/>
      <c r="J151" s="1106"/>
      <c r="K151" s="1106"/>
    </row>
    <row r="152" spans="1:11" ht="18" customHeight="1" x14ac:dyDescent="0.35">
      <c r="A152" s="955" t="s">
        <v>165</v>
      </c>
      <c r="B152" s="686" t="s">
        <v>26</v>
      </c>
      <c r="C152" s="1089"/>
      <c r="D152" s="1089"/>
      <c r="E152" s="1089"/>
      <c r="F152" s="1132">
        <f t="shared" ref="F152:K152" si="22">SUM(F141:F150)</f>
        <v>237326</v>
      </c>
      <c r="G152" s="1132">
        <f t="shared" si="22"/>
        <v>239535</v>
      </c>
      <c r="H152" s="1132">
        <f t="shared" si="22"/>
        <v>56275499</v>
      </c>
      <c r="I152" s="1132">
        <f t="shared" si="22"/>
        <v>2534651.6396999997</v>
      </c>
      <c r="J152" s="1132">
        <f t="shared" si="22"/>
        <v>13534690</v>
      </c>
      <c r="K152" s="1132">
        <f t="shared" si="22"/>
        <v>49726314.639699996</v>
      </c>
    </row>
    <row r="153" spans="1:11" ht="18" customHeight="1" x14ac:dyDescent="0.35">
      <c r="A153" s="1088"/>
      <c r="B153" s="1089"/>
      <c r="C153" s="1089"/>
      <c r="D153" s="1089"/>
      <c r="E153" s="1089"/>
      <c r="F153" s="1089"/>
      <c r="G153" s="1089"/>
      <c r="H153" s="1089"/>
      <c r="I153" s="1089"/>
      <c r="J153" s="1089"/>
      <c r="K153" s="1089"/>
    </row>
    <row r="154" spans="1:11" ht="18" customHeight="1" x14ac:dyDescent="0.35">
      <c r="A154" s="955" t="s">
        <v>168</v>
      </c>
      <c r="B154" s="686" t="s">
        <v>28</v>
      </c>
      <c r="C154" s="1089"/>
      <c r="D154" s="1089"/>
      <c r="E154" s="1089"/>
      <c r="F154" s="1133">
        <f>K152/F121</f>
        <v>8.8576813776648042E-2</v>
      </c>
      <c r="G154" s="1089"/>
      <c r="H154" s="1089"/>
      <c r="I154" s="1089"/>
      <c r="J154" s="1089"/>
      <c r="K154" s="1089"/>
    </row>
    <row r="155" spans="1:11" ht="18" customHeight="1" x14ac:dyDescent="0.35">
      <c r="A155" s="955" t="s">
        <v>169</v>
      </c>
      <c r="B155" s="686" t="s">
        <v>72</v>
      </c>
      <c r="C155" s="1089"/>
      <c r="D155" s="1089"/>
      <c r="E155" s="1089"/>
      <c r="F155" s="1133">
        <f>K152/F127</f>
        <v>0.63492830051456872</v>
      </c>
      <c r="G155" s="686"/>
      <c r="H155" s="1089"/>
      <c r="I155" s="1089"/>
      <c r="J155" s="1089"/>
      <c r="K155" s="1089"/>
    </row>
    <row r="156" spans="1:11" ht="18" customHeight="1" x14ac:dyDescent="0.35">
      <c r="B156" s="742"/>
      <c r="C156" s="742"/>
      <c r="D156" s="742"/>
      <c r="E156" s="742"/>
      <c r="F156" s="742"/>
      <c r="G156" s="743"/>
      <c r="H156" s="742"/>
      <c r="I156" s="742"/>
      <c r="J156" s="742"/>
      <c r="K156" s="742"/>
    </row>
  </sheetData>
  <sheetProtection sheet="1" objects="1" scenarios="1"/>
  <mergeCells count="34">
    <mergeCell ref="B135:D135"/>
    <mergeCell ref="B104:D104"/>
    <mergeCell ref="B105:D105"/>
    <mergeCell ref="B106:D106"/>
    <mergeCell ref="B133:D133"/>
    <mergeCell ref="B134:D134"/>
    <mergeCell ref="B90:C90"/>
    <mergeCell ref="B94:D94"/>
    <mergeCell ref="B95:D95"/>
    <mergeCell ref="B96:D96"/>
    <mergeCell ref="B103:C103"/>
    <mergeCell ref="B55:D55"/>
    <mergeCell ref="B56:D56"/>
    <mergeCell ref="B57:D57"/>
    <mergeCell ref="B59:D59"/>
    <mergeCell ref="B62:D62"/>
    <mergeCell ref="D2:H2"/>
    <mergeCell ref="B13:H13"/>
    <mergeCell ref="B30:D30"/>
    <mergeCell ref="B31:D31"/>
    <mergeCell ref="B34:D34"/>
    <mergeCell ref="B52:C52"/>
    <mergeCell ref="B53:D53"/>
    <mergeCell ref="C5:G5"/>
    <mergeCell ref="C6:G6"/>
    <mergeCell ref="C9:G9"/>
    <mergeCell ref="C10:G10"/>
    <mergeCell ref="C11:G11"/>
    <mergeCell ref="C7:G7"/>
    <mergeCell ref="B41:C41"/>
    <mergeCell ref="B44:D44"/>
    <mergeCell ref="B45:D45"/>
    <mergeCell ref="B46:D46"/>
    <mergeCell ref="B47:D47"/>
  </mergeCells>
  <hyperlinks>
    <hyperlink ref="C11" r:id="rId1"/>
  </hyperlinks>
  <printOptions headings="1" gridLines="1"/>
  <pageMargins left="0.25" right="0.25" top="0.75" bottom="0.75" header="0.3" footer="0.3"/>
  <pageSetup scale="59" fitToHeight="3" orientation="landscape" r:id="rId2"/>
  <headerFooter alignWithMargins="0">
    <oddHeader>&amp;RPage &amp;P</oddHeader>
    <oddFooter>&amp;L&amp;Z&amp;F&amp;C&amp;P of &amp;N&amp;R&amp;D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56"/>
  <sheetViews>
    <sheetView zoomScale="70" zoomScaleNormal="70" workbookViewId="0"/>
  </sheetViews>
  <sheetFormatPr defaultColWidth="9.26953125" defaultRowHeight="18" customHeight="1" x14ac:dyDescent="0.35"/>
  <cols>
    <col min="1" max="1" width="8.26953125" style="100" customWidth="1"/>
    <col min="2" max="2" width="55.453125" style="98" bestFit="1" customWidth="1"/>
    <col min="3" max="3" width="9.54296875" style="98" customWidth="1"/>
    <col min="4" max="4" width="9.26953125" style="98"/>
    <col min="5" max="5" width="12.453125" style="98" customWidth="1"/>
    <col min="6" max="6" width="18.54296875" style="98" customWidth="1"/>
    <col min="7" max="7" width="23.54296875" style="98" customWidth="1"/>
    <col min="8" max="8" width="17.26953125" style="98" customWidth="1"/>
    <col min="9" max="9" width="21.26953125" style="98" customWidth="1"/>
    <col min="10" max="10" width="19.7265625" style="98" customWidth="1"/>
    <col min="11" max="11" width="17.54296875" style="98" customWidth="1"/>
    <col min="12" max="12" width="4.7265625" style="98" customWidth="1"/>
    <col min="13" max="13" width="23.54296875" style="98" customWidth="1"/>
    <col min="14" max="14" width="15.26953125" style="109" bestFit="1" customWidth="1"/>
    <col min="15" max="15" width="13.7265625" style="109" bestFit="1" customWidth="1"/>
    <col min="16" max="16384" width="9.26953125" style="98"/>
  </cols>
  <sheetData>
    <row r="1" spans="1:16" ht="18" customHeight="1" x14ac:dyDescent="0.35">
      <c r="A1" s="327"/>
      <c r="B1" s="327"/>
      <c r="C1" s="891"/>
      <c r="D1" s="878"/>
      <c r="E1" s="891"/>
      <c r="F1" s="891"/>
      <c r="G1" s="891"/>
      <c r="H1" s="891"/>
      <c r="I1" s="891"/>
      <c r="J1" s="891"/>
      <c r="K1" s="891"/>
      <c r="L1" s="327"/>
      <c r="M1" s="327"/>
      <c r="N1" s="327"/>
      <c r="O1" s="327"/>
      <c r="P1" s="327"/>
    </row>
    <row r="2" spans="1:16" ht="18" customHeight="1" x14ac:dyDescent="0.35">
      <c r="A2" s="327"/>
      <c r="B2" s="327"/>
      <c r="C2" s="327"/>
      <c r="D2" s="1398" t="s">
        <v>700</v>
      </c>
      <c r="E2" s="1398"/>
      <c r="F2" s="1398"/>
      <c r="G2" s="1398"/>
      <c r="H2" s="1398"/>
      <c r="I2" s="327"/>
      <c r="J2" s="327"/>
      <c r="K2" s="327"/>
      <c r="L2" s="327"/>
      <c r="M2" s="327"/>
      <c r="N2" s="327"/>
      <c r="O2" s="327"/>
      <c r="P2" s="327"/>
    </row>
    <row r="3" spans="1:16" ht="18" customHeight="1" x14ac:dyDescent="0.35">
      <c r="A3" s="327"/>
      <c r="B3" s="328" t="s">
        <v>0</v>
      </c>
      <c r="C3" s="327"/>
      <c r="D3" s="327"/>
      <c r="E3" s="327"/>
      <c r="F3" s="327"/>
      <c r="G3" s="327"/>
      <c r="H3" s="327"/>
      <c r="I3" s="327"/>
      <c r="J3" s="327"/>
      <c r="K3" s="327"/>
      <c r="L3" s="327"/>
      <c r="M3" s="327"/>
      <c r="N3" s="327"/>
      <c r="O3" s="327"/>
      <c r="P3" s="327"/>
    </row>
    <row r="5" spans="1:16" ht="18" customHeight="1" x14ac:dyDescent="0.35">
      <c r="A5" s="327"/>
      <c r="B5" s="329" t="s">
        <v>40</v>
      </c>
      <c r="C5" s="1399" t="s">
        <v>552</v>
      </c>
      <c r="D5" s="1400"/>
      <c r="E5" s="1400"/>
      <c r="F5" s="1400"/>
      <c r="G5" s="1401"/>
      <c r="H5" s="327"/>
      <c r="I5" s="327"/>
      <c r="J5" s="327"/>
      <c r="K5" s="327"/>
      <c r="L5" s="327"/>
      <c r="M5" s="327"/>
      <c r="N5" s="327"/>
      <c r="O5" s="327"/>
      <c r="P5" s="327"/>
    </row>
    <row r="6" spans="1:16" ht="18" customHeight="1" x14ac:dyDescent="0.35">
      <c r="A6" s="327"/>
      <c r="B6" s="329" t="s">
        <v>3</v>
      </c>
      <c r="C6" s="1402">
        <v>24</v>
      </c>
      <c r="D6" s="1403"/>
      <c r="E6" s="1403"/>
      <c r="F6" s="1403"/>
      <c r="G6" s="1404"/>
      <c r="H6" s="327"/>
      <c r="I6" s="327"/>
      <c r="J6" s="327"/>
      <c r="K6" s="327"/>
      <c r="L6" s="327"/>
      <c r="M6" s="384"/>
      <c r="N6" s="390"/>
      <c r="O6" s="390"/>
      <c r="P6" s="384"/>
    </row>
    <row r="7" spans="1:16" ht="18" customHeight="1" x14ac:dyDescent="0.35">
      <c r="A7" s="327"/>
      <c r="B7" s="329" t="s">
        <v>4</v>
      </c>
      <c r="C7" s="1537">
        <v>2369</v>
      </c>
      <c r="D7" s="1538"/>
      <c r="E7" s="1538"/>
      <c r="F7" s="1538"/>
      <c r="G7" s="1539"/>
      <c r="H7" s="327"/>
      <c r="I7" s="327"/>
      <c r="J7" s="327"/>
      <c r="K7" s="327"/>
      <c r="L7" s="327"/>
      <c r="M7" s="372"/>
      <c r="N7" s="391"/>
      <c r="O7" s="389"/>
      <c r="P7" s="392"/>
    </row>
    <row r="8" spans="1:16" ht="18" customHeight="1" x14ac:dyDescent="0.35">
      <c r="A8" s="327"/>
      <c r="B8" s="327"/>
      <c r="C8" s="327"/>
      <c r="D8" s="327"/>
      <c r="E8" s="327"/>
      <c r="F8" s="327"/>
      <c r="G8" s="327"/>
      <c r="H8" s="327"/>
      <c r="I8" s="327"/>
      <c r="J8" s="327"/>
      <c r="K8" s="327"/>
      <c r="L8" s="327"/>
      <c r="M8" s="372"/>
      <c r="N8" s="391"/>
      <c r="O8" s="389"/>
      <c r="P8" s="392"/>
    </row>
    <row r="9" spans="1:16" ht="18" customHeight="1" x14ac:dyDescent="0.35">
      <c r="A9" s="327"/>
      <c r="B9" s="329" t="s">
        <v>1</v>
      </c>
      <c r="C9" s="1399" t="s">
        <v>614</v>
      </c>
      <c r="D9" s="1400"/>
      <c r="E9" s="1400"/>
      <c r="F9" s="1400"/>
      <c r="G9" s="1401"/>
      <c r="H9" s="327"/>
      <c r="I9" s="327"/>
      <c r="J9" s="327"/>
      <c r="K9" s="327"/>
      <c r="L9" s="327"/>
      <c r="M9" s="384"/>
      <c r="N9" s="390"/>
      <c r="O9" s="390"/>
      <c r="P9" s="384"/>
    </row>
    <row r="10" spans="1:16" ht="18" customHeight="1" x14ac:dyDescent="0.35">
      <c r="A10" s="327"/>
      <c r="B10" s="329" t="s">
        <v>2</v>
      </c>
      <c r="C10" s="1408" t="s">
        <v>615</v>
      </c>
      <c r="D10" s="1409"/>
      <c r="E10" s="1409"/>
      <c r="F10" s="1409"/>
      <c r="G10" s="1410"/>
      <c r="H10" s="327"/>
      <c r="I10" s="327"/>
      <c r="J10" s="327"/>
      <c r="K10" s="327"/>
      <c r="L10" s="327"/>
      <c r="M10" s="384"/>
      <c r="N10" s="390"/>
      <c r="O10" s="390"/>
      <c r="P10" s="384"/>
    </row>
    <row r="11" spans="1:16" ht="18" customHeight="1" x14ac:dyDescent="0.35">
      <c r="A11" s="327"/>
      <c r="B11" s="329" t="s">
        <v>32</v>
      </c>
      <c r="C11" s="1540" t="s">
        <v>616</v>
      </c>
      <c r="D11" s="1541"/>
      <c r="E11" s="1541"/>
      <c r="F11" s="1541"/>
      <c r="G11" s="1541"/>
      <c r="H11" s="327"/>
      <c r="I11" s="327"/>
      <c r="J11" s="327"/>
      <c r="K11" s="327"/>
      <c r="L11" s="327"/>
      <c r="M11" s="327"/>
      <c r="N11" s="327"/>
      <c r="O11" s="327"/>
      <c r="P11" s="327"/>
    </row>
    <row r="12" spans="1:16" ht="18" customHeight="1" x14ac:dyDescent="0.35">
      <c r="A12" s="327"/>
      <c r="B12" s="329"/>
      <c r="C12" s="329"/>
      <c r="D12" s="329"/>
      <c r="E12" s="329"/>
      <c r="F12" s="329"/>
      <c r="G12" s="329"/>
      <c r="H12" s="327"/>
      <c r="I12" s="327"/>
      <c r="J12" s="327"/>
      <c r="K12" s="327"/>
      <c r="L12" s="327"/>
      <c r="M12" s="327"/>
      <c r="N12" s="327"/>
      <c r="O12" s="327"/>
      <c r="P12" s="327"/>
    </row>
    <row r="13" spans="1:16" ht="24.65" customHeight="1" x14ac:dyDescent="0.35">
      <c r="A13" s="327"/>
      <c r="B13" s="1411"/>
      <c r="C13" s="1411"/>
      <c r="D13" s="1411"/>
      <c r="E13" s="1411"/>
      <c r="F13" s="1411"/>
      <c r="G13" s="1411"/>
      <c r="H13" s="1411"/>
      <c r="I13" s="891"/>
      <c r="J13" s="327"/>
      <c r="K13" s="327"/>
      <c r="L13" s="327"/>
      <c r="M13" s="327"/>
      <c r="N13" s="327"/>
      <c r="O13" s="327"/>
      <c r="P13" s="327"/>
    </row>
    <row r="14" spans="1:16" ht="18" customHeight="1" x14ac:dyDescent="0.35">
      <c r="A14" s="327"/>
      <c r="B14" s="330"/>
      <c r="C14" s="327"/>
      <c r="D14" s="327"/>
      <c r="E14" s="327"/>
      <c r="F14" s="327"/>
      <c r="G14" s="327"/>
      <c r="H14" s="327"/>
      <c r="I14" s="327"/>
      <c r="J14" s="327"/>
      <c r="K14" s="327"/>
      <c r="L14" s="327"/>
      <c r="M14" s="327"/>
      <c r="N14" s="327"/>
      <c r="O14" s="327"/>
      <c r="P14" s="327"/>
    </row>
    <row r="15" spans="1:16" ht="18" customHeight="1" x14ac:dyDescent="0.35">
      <c r="A15" s="327"/>
      <c r="B15" s="330"/>
      <c r="C15" s="327"/>
      <c r="D15" s="327"/>
      <c r="E15" s="327"/>
      <c r="F15" s="327"/>
      <c r="G15" s="327"/>
      <c r="H15" s="327"/>
      <c r="I15" s="327"/>
      <c r="J15" s="327"/>
      <c r="K15" s="327"/>
      <c r="L15" s="327"/>
      <c r="M15" s="327"/>
      <c r="N15" s="327"/>
      <c r="O15" s="327"/>
      <c r="P15" s="327"/>
    </row>
    <row r="16" spans="1:16" ht="45" customHeight="1" x14ac:dyDescent="0.35">
      <c r="A16" s="878" t="s">
        <v>181</v>
      </c>
      <c r="B16" s="891"/>
      <c r="C16" s="891"/>
      <c r="D16" s="891"/>
      <c r="E16" s="891"/>
      <c r="F16" s="331" t="s">
        <v>9</v>
      </c>
      <c r="G16" s="331" t="s">
        <v>37</v>
      </c>
      <c r="H16" s="331" t="s">
        <v>29</v>
      </c>
      <c r="I16" s="331" t="s">
        <v>30</v>
      </c>
      <c r="J16" s="331" t="s">
        <v>33</v>
      </c>
      <c r="K16" s="331" t="s">
        <v>34</v>
      </c>
      <c r="L16" s="327"/>
      <c r="M16" s="327"/>
      <c r="N16" s="327"/>
      <c r="O16" s="327"/>
      <c r="P16" s="327"/>
    </row>
    <row r="17" spans="1:11" ht="18" customHeight="1" x14ac:dyDescent="0.35">
      <c r="A17" s="332" t="s">
        <v>184</v>
      </c>
      <c r="B17" s="328" t="s">
        <v>182</v>
      </c>
      <c r="C17" s="327"/>
      <c r="D17" s="327"/>
      <c r="E17" s="327"/>
      <c r="F17" s="327"/>
      <c r="G17" s="327"/>
      <c r="H17" s="327"/>
      <c r="I17" s="327"/>
      <c r="J17" s="327"/>
      <c r="K17" s="327"/>
    </row>
    <row r="18" spans="1:11" ht="18" customHeight="1" x14ac:dyDescent="0.35">
      <c r="A18" s="329" t="s">
        <v>185</v>
      </c>
      <c r="B18" s="333" t="s">
        <v>183</v>
      </c>
      <c r="C18" s="327"/>
      <c r="D18" s="327"/>
      <c r="E18" s="327"/>
      <c r="F18" s="497" t="s">
        <v>73</v>
      </c>
      <c r="G18" s="497" t="s">
        <v>73</v>
      </c>
      <c r="H18" s="498">
        <v>9770566.9684966505</v>
      </c>
      <c r="I18" s="334">
        <v>0</v>
      </c>
      <c r="J18" s="498">
        <v>8258057.1165757338</v>
      </c>
      <c r="K18" s="335">
        <f>(H18+I18)-J18</f>
        <v>1512509.8519209167</v>
      </c>
    </row>
    <row r="19" spans="1:11" ht="45" customHeight="1" x14ac:dyDescent="0.35">
      <c r="A19" s="878" t="s">
        <v>8</v>
      </c>
      <c r="B19" s="891"/>
      <c r="C19" s="891"/>
      <c r="D19" s="891"/>
      <c r="E19" s="891"/>
      <c r="F19" s="331" t="s">
        <v>9</v>
      </c>
      <c r="G19" s="331" t="s">
        <v>37</v>
      </c>
      <c r="H19" s="331" t="s">
        <v>29</v>
      </c>
      <c r="I19" s="331" t="s">
        <v>30</v>
      </c>
      <c r="J19" s="331" t="s">
        <v>33</v>
      </c>
      <c r="K19" s="331" t="s">
        <v>34</v>
      </c>
    </row>
    <row r="20" spans="1:11" ht="18" customHeight="1" x14ac:dyDescent="0.35">
      <c r="A20" s="332" t="s">
        <v>74</v>
      </c>
      <c r="B20" s="328" t="s">
        <v>41</v>
      </c>
      <c r="C20" s="327"/>
      <c r="D20" s="327"/>
      <c r="E20" s="327"/>
      <c r="F20" s="327"/>
      <c r="G20" s="327"/>
      <c r="H20" s="327"/>
      <c r="I20" s="327"/>
      <c r="J20" s="327"/>
      <c r="K20" s="327"/>
    </row>
    <row r="21" spans="1:11" ht="18" customHeight="1" x14ac:dyDescent="0.35">
      <c r="A21" s="329" t="s">
        <v>75</v>
      </c>
      <c r="B21" s="333" t="s">
        <v>42</v>
      </c>
      <c r="C21" s="327"/>
      <c r="D21" s="327"/>
      <c r="E21" s="327"/>
      <c r="F21" s="497">
        <v>2781.5</v>
      </c>
      <c r="G21" s="497">
        <v>1855</v>
      </c>
      <c r="H21" s="498">
        <v>234732</v>
      </c>
      <c r="I21" s="334">
        <v>10406</v>
      </c>
      <c r="J21" s="498">
        <v>0</v>
      </c>
      <c r="K21" s="335">
        <f>(H21+I21)-J21</f>
        <v>245138</v>
      </c>
    </row>
    <row r="22" spans="1:11" ht="18" customHeight="1" x14ac:dyDescent="0.35">
      <c r="A22" s="329" t="s">
        <v>76</v>
      </c>
      <c r="B22" s="327" t="s">
        <v>6</v>
      </c>
      <c r="C22" s="327"/>
      <c r="D22" s="327"/>
      <c r="E22" s="327"/>
      <c r="F22" s="497"/>
      <c r="G22" s="497"/>
      <c r="H22" s="498"/>
      <c r="I22" s="334"/>
      <c r="J22" s="498"/>
      <c r="K22" s="335"/>
    </row>
    <row r="23" spans="1:11" ht="18" customHeight="1" x14ac:dyDescent="0.35">
      <c r="A23" s="329" t="s">
        <v>77</v>
      </c>
      <c r="B23" s="327" t="s">
        <v>43</v>
      </c>
      <c r="C23" s="327"/>
      <c r="D23" s="327"/>
      <c r="E23" s="327"/>
      <c r="F23" s="497">
        <v>0</v>
      </c>
      <c r="G23" s="497">
        <v>0</v>
      </c>
      <c r="H23" s="498">
        <v>8845</v>
      </c>
      <c r="I23" s="334">
        <v>5529</v>
      </c>
      <c r="J23" s="498">
        <v>0</v>
      </c>
      <c r="K23" s="335">
        <f t="shared" ref="K23:K30" si="0">(H23+I23)-J23</f>
        <v>14374</v>
      </c>
    </row>
    <row r="24" spans="1:11" ht="18" customHeight="1" x14ac:dyDescent="0.35">
      <c r="A24" s="329" t="s">
        <v>78</v>
      </c>
      <c r="B24" s="327" t="s">
        <v>44</v>
      </c>
      <c r="C24" s="327"/>
      <c r="D24" s="327"/>
      <c r="E24" s="327"/>
      <c r="F24" s="497">
        <v>10</v>
      </c>
      <c r="G24" s="497">
        <v>0</v>
      </c>
      <c r="H24" s="498">
        <v>415993</v>
      </c>
      <c r="I24" s="334">
        <v>210344</v>
      </c>
      <c r="J24" s="498">
        <v>290866</v>
      </c>
      <c r="K24" s="335">
        <f t="shared" si="0"/>
        <v>335471</v>
      </c>
    </row>
    <row r="25" spans="1:11" ht="18" customHeight="1" x14ac:dyDescent="0.35">
      <c r="A25" s="329" t="s">
        <v>79</v>
      </c>
      <c r="B25" s="327" t="s">
        <v>5</v>
      </c>
      <c r="C25" s="327"/>
      <c r="D25" s="327"/>
      <c r="E25" s="327"/>
      <c r="F25" s="497">
        <v>2</v>
      </c>
      <c r="G25" s="497">
        <v>1</v>
      </c>
      <c r="H25" s="498">
        <v>319</v>
      </c>
      <c r="I25" s="334">
        <v>199</v>
      </c>
      <c r="J25" s="498">
        <v>0</v>
      </c>
      <c r="K25" s="335">
        <f t="shared" si="0"/>
        <v>518</v>
      </c>
    </row>
    <row r="26" spans="1:11" ht="18" customHeight="1" x14ac:dyDescent="0.35">
      <c r="A26" s="329" t="s">
        <v>80</v>
      </c>
      <c r="B26" s="327" t="s">
        <v>45</v>
      </c>
      <c r="C26" s="327"/>
      <c r="D26" s="327"/>
      <c r="E26" s="327"/>
      <c r="F26" s="497"/>
      <c r="G26" s="497"/>
      <c r="H26" s="498"/>
      <c r="I26" s="334"/>
      <c r="J26" s="498"/>
      <c r="K26" s="335"/>
    </row>
    <row r="27" spans="1:11" ht="18" customHeight="1" x14ac:dyDescent="0.35">
      <c r="A27" s="329" t="s">
        <v>81</v>
      </c>
      <c r="B27" s="327" t="s">
        <v>46</v>
      </c>
      <c r="C27" s="327"/>
      <c r="D27" s="327"/>
      <c r="E27" s="327"/>
      <c r="F27" s="497">
        <v>1484</v>
      </c>
      <c r="G27" s="497">
        <v>0</v>
      </c>
      <c r="H27" s="498">
        <v>80613</v>
      </c>
      <c r="I27" s="334">
        <v>0</v>
      </c>
      <c r="J27" s="498">
        <v>0</v>
      </c>
      <c r="K27" s="335">
        <f t="shared" si="0"/>
        <v>80613</v>
      </c>
    </row>
    <row r="28" spans="1:11" ht="18" customHeight="1" x14ac:dyDescent="0.35">
      <c r="A28" s="329" t="s">
        <v>82</v>
      </c>
      <c r="B28" s="327" t="s">
        <v>47</v>
      </c>
      <c r="C28" s="327"/>
      <c r="D28" s="327"/>
      <c r="E28" s="327"/>
      <c r="F28" s="497"/>
      <c r="G28" s="497"/>
      <c r="H28" s="498"/>
      <c r="I28" s="334"/>
      <c r="J28" s="498"/>
      <c r="K28" s="335"/>
    </row>
    <row r="29" spans="1:11" ht="18" customHeight="1" x14ac:dyDescent="0.35">
      <c r="A29" s="329" t="s">
        <v>83</v>
      </c>
      <c r="B29" s="327" t="s">
        <v>48</v>
      </c>
      <c r="C29" s="327"/>
      <c r="D29" s="327"/>
      <c r="E29" s="327"/>
      <c r="F29" s="497">
        <v>0</v>
      </c>
      <c r="G29" s="497">
        <v>0</v>
      </c>
      <c r="H29" s="498">
        <v>175551</v>
      </c>
      <c r="I29" s="334">
        <v>0</v>
      </c>
      <c r="J29" s="498">
        <v>0</v>
      </c>
      <c r="K29" s="335">
        <f t="shared" si="0"/>
        <v>175551</v>
      </c>
    </row>
    <row r="30" spans="1:11" ht="18" customHeight="1" x14ac:dyDescent="0.35">
      <c r="A30" s="329" t="s">
        <v>84</v>
      </c>
      <c r="B30" s="1542" t="s">
        <v>279</v>
      </c>
      <c r="C30" s="1543"/>
      <c r="D30" s="1544"/>
      <c r="E30" s="327"/>
      <c r="F30" s="497">
        <v>242</v>
      </c>
      <c r="G30" s="497">
        <v>0</v>
      </c>
      <c r="H30" s="498">
        <v>142626</v>
      </c>
      <c r="I30" s="334">
        <v>79407</v>
      </c>
      <c r="J30" s="498">
        <v>0</v>
      </c>
      <c r="K30" s="335">
        <f t="shared" si="0"/>
        <v>222033</v>
      </c>
    </row>
    <row r="31" spans="1:11" ht="18" customHeight="1" x14ac:dyDescent="0.35">
      <c r="A31" s="329" t="s">
        <v>133</v>
      </c>
      <c r="B31" s="1392"/>
      <c r="C31" s="1393"/>
      <c r="D31" s="1394"/>
      <c r="E31" s="327"/>
      <c r="F31" s="497"/>
      <c r="G31" s="497"/>
      <c r="H31" s="498"/>
      <c r="I31" s="334"/>
      <c r="J31" s="498"/>
      <c r="K31" s="335"/>
    </row>
    <row r="32" spans="1:11" ht="18" customHeight="1" x14ac:dyDescent="0.35">
      <c r="A32" s="329" t="s">
        <v>134</v>
      </c>
      <c r="B32" s="918"/>
      <c r="C32" s="919"/>
      <c r="D32" s="920"/>
      <c r="E32" s="327"/>
      <c r="F32" s="497"/>
      <c r="G32" s="336"/>
      <c r="H32" s="498"/>
      <c r="I32" s="334"/>
      <c r="J32" s="498"/>
      <c r="K32" s="335"/>
    </row>
    <row r="33" spans="1:11" ht="18" customHeight="1" x14ac:dyDescent="0.35">
      <c r="A33" s="329" t="s">
        <v>135</v>
      </c>
      <c r="B33" s="918"/>
      <c r="C33" s="919"/>
      <c r="D33" s="920"/>
      <c r="E33" s="327"/>
      <c r="F33" s="497"/>
      <c r="G33" s="336"/>
      <c r="H33" s="498"/>
      <c r="I33" s="334"/>
      <c r="J33" s="498"/>
      <c r="K33" s="335"/>
    </row>
    <row r="34" spans="1:11" ht="18" customHeight="1" x14ac:dyDescent="0.35">
      <c r="A34" s="329" t="s">
        <v>136</v>
      </c>
      <c r="B34" s="1392"/>
      <c r="C34" s="1393"/>
      <c r="D34" s="1394"/>
      <c r="E34" s="327"/>
      <c r="F34" s="497"/>
      <c r="G34" s="336"/>
      <c r="H34" s="498"/>
      <c r="I34" s="334"/>
      <c r="J34" s="498"/>
      <c r="K34" s="335"/>
    </row>
    <row r="35" spans="1:11" ht="18" customHeight="1" x14ac:dyDescent="0.35">
      <c r="A35" s="327"/>
      <c r="B35" s="327"/>
      <c r="C35" s="327"/>
      <c r="D35" s="327"/>
      <c r="E35" s="327"/>
      <c r="F35" s="327"/>
      <c r="G35" s="327"/>
      <c r="H35" s="327"/>
      <c r="I35" s="327"/>
      <c r="J35" s="327"/>
      <c r="K35" s="337"/>
    </row>
    <row r="36" spans="1:11" ht="18" customHeight="1" x14ac:dyDescent="0.35">
      <c r="A36" s="332" t="s">
        <v>137</v>
      </c>
      <c r="B36" s="328" t="s">
        <v>138</v>
      </c>
      <c r="C36" s="327"/>
      <c r="D36" s="327"/>
      <c r="E36" s="328" t="s">
        <v>7</v>
      </c>
      <c r="F36" s="338">
        <f t="shared" ref="F36:K36" si="1">SUM(F21:F34)</f>
        <v>4519.5</v>
      </c>
      <c r="G36" s="338">
        <f t="shared" si="1"/>
        <v>1856</v>
      </c>
      <c r="H36" s="338">
        <f t="shared" si="1"/>
        <v>1058679</v>
      </c>
      <c r="I36" s="335">
        <f t="shared" si="1"/>
        <v>305885</v>
      </c>
      <c r="J36" s="335">
        <f t="shared" si="1"/>
        <v>290866</v>
      </c>
      <c r="K36" s="335">
        <f t="shared" si="1"/>
        <v>1073698</v>
      </c>
    </row>
    <row r="37" spans="1:11" ht="18" customHeight="1" thickBot="1" x14ac:dyDescent="0.4">
      <c r="A37" s="327"/>
      <c r="B37" s="328"/>
      <c r="C37" s="327"/>
      <c r="D37" s="327"/>
      <c r="E37" s="327"/>
      <c r="F37" s="339"/>
      <c r="G37" s="339"/>
      <c r="H37" s="340"/>
      <c r="I37" s="340"/>
      <c r="J37" s="340"/>
      <c r="K37" s="341"/>
    </row>
    <row r="38" spans="1:11" ht="42.75" customHeight="1" x14ac:dyDescent="0.35">
      <c r="A38" s="327"/>
      <c r="B38" s="327"/>
      <c r="C38" s="327"/>
      <c r="D38" s="327"/>
      <c r="E38" s="327"/>
      <c r="F38" s="331" t="s">
        <v>9</v>
      </c>
      <c r="G38" s="331" t="s">
        <v>37</v>
      </c>
      <c r="H38" s="331" t="s">
        <v>29</v>
      </c>
      <c r="I38" s="331" t="s">
        <v>30</v>
      </c>
      <c r="J38" s="331" t="s">
        <v>33</v>
      </c>
      <c r="K38" s="331" t="s">
        <v>34</v>
      </c>
    </row>
    <row r="39" spans="1:11" ht="18.75" customHeight="1" x14ac:dyDescent="0.35">
      <c r="A39" s="332" t="s">
        <v>86</v>
      </c>
      <c r="B39" s="328" t="s">
        <v>49</v>
      </c>
      <c r="C39" s="327"/>
      <c r="D39" s="327"/>
      <c r="E39" s="327"/>
      <c r="F39" s="327"/>
      <c r="G39" s="327"/>
      <c r="H39" s="327"/>
      <c r="I39" s="327"/>
      <c r="J39" s="327"/>
      <c r="K39" s="327"/>
    </row>
    <row r="40" spans="1:11" ht="18" customHeight="1" x14ac:dyDescent="0.35">
      <c r="A40" s="329" t="s">
        <v>87</v>
      </c>
      <c r="B40" s="327" t="s">
        <v>31</v>
      </c>
      <c r="C40" s="327"/>
      <c r="D40" s="327"/>
      <c r="E40" s="327"/>
      <c r="F40" s="497">
        <v>195263</v>
      </c>
      <c r="G40" s="497">
        <v>1000</v>
      </c>
      <c r="H40" s="498">
        <v>10063059</v>
      </c>
      <c r="I40" s="334">
        <v>6289412</v>
      </c>
      <c r="J40" s="498">
        <v>0</v>
      </c>
      <c r="K40" s="335">
        <f t="shared" ref="K40:K41" si="2">(H40+I40)-J40</f>
        <v>16352471</v>
      </c>
    </row>
    <row r="41" spans="1:11" ht="18" customHeight="1" x14ac:dyDescent="0.35">
      <c r="A41" s="329" t="s">
        <v>88</v>
      </c>
      <c r="B41" s="1412" t="s">
        <v>50</v>
      </c>
      <c r="C41" s="1412"/>
      <c r="D41" s="327"/>
      <c r="E41" s="327"/>
      <c r="F41" s="497">
        <v>0</v>
      </c>
      <c r="G41" s="497">
        <v>0</v>
      </c>
      <c r="H41" s="498">
        <v>775420</v>
      </c>
      <c r="I41" s="334">
        <v>0</v>
      </c>
      <c r="J41" s="498">
        <v>146650</v>
      </c>
      <c r="K41" s="335">
        <f t="shared" si="2"/>
        <v>628770</v>
      </c>
    </row>
    <row r="42" spans="1:11" ht="18" customHeight="1" x14ac:dyDescent="0.35">
      <c r="A42" s="329" t="s">
        <v>89</v>
      </c>
      <c r="B42" s="333" t="s">
        <v>11</v>
      </c>
      <c r="C42" s="327"/>
      <c r="D42" s="327"/>
      <c r="E42" s="327"/>
      <c r="F42" s="497">
        <v>24</v>
      </c>
      <c r="G42" s="497">
        <v>0</v>
      </c>
      <c r="H42" s="498">
        <v>8324</v>
      </c>
      <c r="I42" s="334">
        <v>5204</v>
      </c>
      <c r="J42" s="498">
        <v>0</v>
      </c>
      <c r="K42" s="335">
        <f>(H42+I42)-J42</f>
        <v>13528</v>
      </c>
    </row>
    <row r="43" spans="1:11" ht="18" customHeight="1" x14ac:dyDescent="0.35">
      <c r="A43" s="329" t="s">
        <v>90</v>
      </c>
      <c r="B43" s="342" t="s">
        <v>10</v>
      </c>
      <c r="C43" s="343"/>
      <c r="D43" s="343"/>
      <c r="E43" s="327"/>
      <c r="F43" s="497"/>
      <c r="G43" s="497"/>
      <c r="H43" s="498"/>
      <c r="I43" s="334"/>
      <c r="J43" s="498"/>
      <c r="K43" s="335"/>
    </row>
    <row r="44" spans="1:11" ht="18" customHeight="1" x14ac:dyDescent="0.35">
      <c r="A44" s="329" t="s">
        <v>91</v>
      </c>
      <c r="B44" s="1392"/>
      <c r="C44" s="1393"/>
      <c r="D44" s="1394"/>
      <c r="E44" s="327"/>
      <c r="F44" s="344"/>
      <c r="G44" s="344"/>
      <c r="H44" s="344"/>
      <c r="I44" s="345"/>
      <c r="J44" s="344"/>
      <c r="K44" s="346"/>
    </row>
    <row r="45" spans="1:11" ht="18" customHeight="1" x14ac:dyDescent="0.35">
      <c r="A45" s="329" t="s">
        <v>139</v>
      </c>
      <c r="B45" s="1392"/>
      <c r="C45" s="1393"/>
      <c r="D45" s="1394"/>
      <c r="E45" s="327"/>
      <c r="F45" s="497"/>
      <c r="G45" s="497"/>
      <c r="H45" s="498"/>
      <c r="I45" s="334"/>
      <c r="J45" s="498"/>
      <c r="K45" s="335"/>
    </row>
    <row r="46" spans="1:11" ht="18" customHeight="1" x14ac:dyDescent="0.35">
      <c r="A46" s="329" t="s">
        <v>140</v>
      </c>
      <c r="B46" s="1392"/>
      <c r="C46" s="1393"/>
      <c r="D46" s="1394"/>
      <c r="E46" s="327"/>
      <c r="F46" s="497"/>
      <c r="G46" s="497"/>
      <c r="H46" s="498"/>
      <c r="I46" s="334"/>
      <c r="J46" s="498"/>
      <c r="K46" s="335"/>
    </row>
    <row r="47" spans="1:11" ht="18" customHeight="1" x14ac:dyDescent="0.35">
      <c r="A47" s="329" t="s">
        <v>141</v>
      </c>
      <c r="B47" s="1392"/>
      <c r="C47" s="1393"/>
      <c r="D47" s="1394"/>
      <c r="E47" s="327"/>
      <c r="F47" s="497"/>
      <c r="G47" s="497"/>
      <c r="H47" s="498"/>
      <c r="I47" s="334"/>
      <c r="J47" s="498"/>
      <c r="K47" s="335"/>
    </row>
    <row r="49" spans="1:13" ht="18" customHeight="1" x14ac:dyDescent="0.35">
      <c r="A49" s="332" t="s">
        <v>142</v>
      </c>
      <c r="B49" s="328" t="s">
        <v>143</v>
      </c>
      <c r="C49" s="327"/>
      <c r="D49" s="327"/>
      <c r="E49" s="328" t="s">
        <v>7</v>
      </c>
      <c r="F49" s="382">
        <f t="shared" ref="F49:K49" si="3">SUM(F40:F47)</f>
        <v>195287</v>
      </c>
      <c r="G49" s="347">
        <f t="shared" si="3"/>
        <v>1000</v>
      </c>
      <c r="H49" s="335">
        <f t="shared" si="3"/>
        <v>10846803</v>
      </c>
      <c r="I49" s="335">
        <f t="shared" si="3"/>
        <v>6294616</v>
      </c>
      <c r="J49" s="335">
        <f t="shared" si="3"/>
        <v>146650</v>
      </c>
      <c r="K49" s="335">
        <f t="shared" si="3"/>
        <v>16994769</v>
      </c>
      <c r="L49" s="327"/>
      <c r="M49" s="327"/>
    </row>
    <row r="50" spans="1:13" ht="18" customHeight="1" thickBot="1" x14ac:dyDescent="0.4">
      <c r="A50" s="327"/>
      <c r="B50" s="327"/>
      <c r="C50" s="327"/>
      <c r="D50" s="327"/>
      <c r="E50" s="327"/>
      <c r="F50" s="327"/>
      <c r="G50" s="348"/>
      <c r="H50" s="348"/>
      <c r="I50" s="348"/>
      <c r="J50" s="348"/>
      <c r="K50" s="348"/>
      <c r="L50" s="327"/>
      <c r="M50" s="327"/>
    </row>
    <row r="51" spans="1:13" ht="42.75" customHeight="1" x14ac:dyDescent="0.35">
      <c r="A51" s="327"/>
      <c r="B51" s="327"/>
      <c r="C51" s="327"/>
      <c r="D51" s="327"/>
      <c r="E51" s="327"/>
      <c r="F51" s="331" t="s">
        <v>9</v>
      </c>
      <c r="G51" s="331" t="s">
        <v>37</v>
      </c>
      <c r="H51" s="331" t="s">
        <v>29</v>
      </c>
      <c r="I51" s="331" t="s">
        <v>30</v>
      </c>
      <c r="J51" s="331" t="s">
        <v>33</v>
      </c>
      <c r="K51" s="331" t="s">
        <v>34</v>
      </c>
      <c r="L51" s="327"/>
      <c r="M51" s="327"/>
    </row>
    <row r="52" spans="1:13" ht="18" customHeight="1" x14ac:dyDescent="0.35">
      <c r="A52" s="332" t="s">
        <v>92</v>
      </c>
      <c r="B52" s="1414" t="s">
        <v>38</v>
      </c>
      <c r="C52" s="1414"/>
      <c r="D52" s="327"/>
      <c r="E52" s="327"/>
      <c r="F52" s="327"/>
      <c r="G52" s="327"/>
      <c r="H52" s="327"/>
      <c r="I52" s="327"/>
      <c r="J52" s="327"/>
      <c r="K52" s="327"/>
      <c r="L52" s="327"/>
      <c r="M52" s="327"/>
    </row>
    <row r="53" spans="1:13" ht="18" customHeight="1" x14ac:dyDescent="0.35">
      <c r="A53" s="329" t="s">
        <v>51</v>
      </c>
      <c r="B53" s="915" t="s">
        <v>279</v>
      </c>
      <c r="C53" s="916"/>
      <c r="D53" s="917"/>
      <c r="E53" s="327"/>
      <c r="F53" s="497">
        <v>0</v>
      </c>
      <c r="G53" s="497">
        <v>0</v>
      </c>
      <c r="H53" s="498">
        <v>6028670</v>
      </c>
      <c r="I53" s="334">
        <v>0</v>
      </c>
      <c r="J53" s="498">
        <v>2898011</v>
      </c>
      <c r="K53" s="335">
        <f>(H53+I53)-J53</f>
        <v>3130659</v>
      </c>
      <c r="L53" s="327"/>
      <c r="M53" s="327"/>
    </row>
    <row r="54" spans="1:13" ht="18" customHeight="1" x14ac:dyDescent="0.35">
      <c r="A54" s="329" t="s">
        <v>626</v>
      </c>
      <c r="B54" s="1395" t="s">
        <v>553</v>
      </c>
      <c r="C54" s="1396"/>
      <c r="D54" s="1397"/>
      <c r="E54" s="327"/>
      <c r="F54" s="497">
        <v>0</v>
      </c>
      <c r="G54" s="497">
        <v>0</v>
      </c>
      <c r="H54" s="498">
        <v>123371</v>
      </c>
      <c r="I54" s="334">
        <v>0</v>
      </c>
      <c r="J54" s="498">
        <v>5089</v>
      </c>
      <c r="K54" s="335">
        <f>(H54+I54)-J54</f>
        <v>118282</v>
      </c>
      <c r="L54" s="327"/>
      <c r="M54" s="383"/>
    </row>
    <row r="55" spans="1:13" ht="18" customHeight="1" x14ac:dyDescent="0.35">
      <c r="A55" s="329" t="s">
        <v>627</v>
      </c>
      <c r="B55" s="1395"/>
      <c r="C55" s="1396"/>
      <c r="D55" s="1397"/>
      <c r="E55" s="327"/>
      <c r="F55" s="497"/>
      <c r="G55" s="497"/>
      <c r="H55" s="498"/>
      <c r="I55" s="334"/>
      <c r="J55" s="498"/>
      <c r="K55" s="335"/>
      <c r="L55" s="327"/>
      <c r="M55" s="327"/>
    </row>
    <row r="56" spans="1:13" ht="18" customHeight="1" x14ac:dyDescent="0.35">
      <c r="A56" s="329" t="s">
        <v>95</v>
      </c>
      <c r="B56" s="358"/>
      <c r="C56" s="359"/>
      <c r="D56" s="917"/>
      <c r="E56" s="327"/>
      <c r="F56" s="497"/>
      <c r="G56" s="497"/>
      <c r="H56" s="498"/>
      <c r="I56" s="334"/>
      <c r="J56" s="498"/>
      <c r="K56" s="335"/>
      <c r="L56" s="327"/>
      <c r="M56" s="327"/>
    </row>
    <row r="57" spans="1:13" ht="18" customHeight="1" x14ac:dyDescent="0.35">
      <c r="A57" s="329" t="s">
        <v>96</v>
      </c>
      <c r="B57" s="915"/>
      <c r="C57" s="916"/>
      <c r="D57" s="917"/>
      <c r="E57" s="327"/>
      <c r="F57" s="497"/>
      <c r="G57" s="497"/>
      <c r="H57" s="498"/>
      <c r="I57" s="334"/>
      <c r="J57" s="498"/>
      <c r="K57" s="335"/>
      <c r="L57" s="327"/>
      <c r="M57" s="327"/>
    </row>
    <row r="58" spans="1:13" ht="18" customHeight="1" x14ac:dyDescent="0.35">
      <c r="A58" s="329" t="s">
        <v>97</v>
      </c>
      <c r="B58" s="915"/>
      <c r="C58" s="916"/>
      <c r="D58" s="917"/>
      <c r="E58" s="327"/>
      <c r="F58" s="497"/>
      <c r="G58" s="497"/>
      <c r="H58" s="498"/>
      <c r="I58" s="334"/>
      <c r="J58" s="498"/>
      <c r="K58" s="335"/>
      <c r="L58" s="327"/>
      <c r="M58" s="327"/>
    </row>
    <row r="59" spans="1:13" ht="18" customHeight="1" x14ac:dyDescent="0.35">
      <c r="A59" s="329" t="s">
        <v>98</v>
      </c>
      <c r="B59" s="915"/>
      <c r="C59" s="916"/>
      <c r="D59" s="917"/>
      <c r="E59" s="327"/>
      <c r="F59" s="497"/>
      <c r="G59" s="497"/>
      <c r="H59" s="498"/>
      <c r="I59" s="334"/>
      <c r="J59" s="498"/>
      <c r="K59" s="335"/>
      <c r="L59" s="327"/>
      <c r="M59" s="327"/>
    </row>
    <row r="60" spans="1:13" ht="18" customHeight="1" x14ac:dyDescent="0.35">
      <c r="A60" s="329" t="s">
        <v>99</v>
      </c>
      <c r="B60" s="915"/>
      <c r="C60" s="916"/>
      <c r="D60" s="917"/>
      <c r="E60" s="327"/>
      <c r="F60" s="497"/>
      <c r="G60" s="497"/>
      <c r="H60" s="498"/>
      <c r="I60" s="334"/>
      <c r="J60" s="498"/>
      <c r="K60" s="335"/>
      <c r="L60" s="327"/>
      <c r="M60" s="327"/>
    </row>
    <row r="61" spans="1:13" ht="18" customHeight="1" x14ac:dyDescent="0.35">
      <c r="A61" s="329" t="s">
        <v>100</v>
      </c>
      <c r="B61" s="915"/>
      <c r="C61" s="916"/>
      <c r="D61" s="917"/>
      <c r="E61" s="327"/>
      <c r="F61" s="497"/>
      <c r="G61" s="497"/>
      <c r="H61" s="498"/>
      <c r="I61" s="334"/>
      <c r="J61" s="498"/>
      <c r="K61" s="335"/>
      <c r="L61" s="327"/>
      <c r="M61" s="327"/>
    </row>
    <row r="62" spans="1:13" ht="18" customHeight="1" x14ac:dyDescent="0.35">
      <c r="A62" s="329" t="s">
        <v>101</v>
      </c>
      <c r="B62" s="915"/>
      <c r="C62" s="916"/>
      <c r="D62" s="917"/>
      <c r="E62" s="327"/>
      <c r="F62" s="497"/>
      <c r="G62" s="497"/>
      <c r="H62" s="498"/>
      <c r="I62" s="334"/>
      <c r="J62" s="498"/>
      <c r="K62" s="335"/>
      <c r="L62" s="327"/>
      <c r="M62" s="327"/>
    </row>
    <row r="63" spans="1:13" ht="18" customHeight="1" x14ac:dyDescent="0.35">
      <c r="A63" s="329"/>
      <c r="B63" s="327"/>
      <c r="C63" s="327"/>
      <c r="D63" s="327"/>
      <c r="E63" s="327"/>
      <c r="F63" s="327"/>
      <c r="G63" s="327"/>
      <c r="H63" s="327"/>
      <c r="I63" s="349"/>
      <c r="J63" s="327"/>
      <c r="K63" s="327"/>
      <c r="L63" s="327"/>
      <c r="M63" s="327"/>
    </row>
    <row r="64" spans="1:13" ht="18" customHeight="1" x14ac:dyDescent="0.35">
      <c r="A64" s="329" t="s">
        <v>144</v>
      </c>
      <c r="B64" s="328" t="s">
        <v>145</v>
      </c>
      <c r="C64" s="327"/>
      <c r="D64" s="327"/>
      <c r="E64" s="328" t="s">
        <v>7</v>
      </c>
      <c r="F64" s="338">
        <f t="shared" ref="F64:J64" si="4">SUM(F53:F62)</f>
        <v>0</v>
      </c>
      <c r="G64" s="338">
        <f t="shared" si="4"/>
        <v>0</v>
      </c>
      <c r="H64" s="335">
        <f t="shared" si="4"/>
        <v>6152041</v>
      </c>
      <c r="I64" s="335">
        <f t="shared" si="4"/>
        <v>0</v>
      </c>
      <c r="J64" s="335">
        <f t="shared" si="4"/>
        <v>2903100</v>
      </c>
      <c r="K64" s="335">
        <f>SUM(K53:K62)</f>
        <v>3248941</v>
      </c>
      <c r="L64" s="327"/>
      <c r="M64" s="327"/>
    </row>
    <row r="65" spans="1:11" ht="18" customHeight="1" x14ac:dyDescent="0.35">
      <c r="A65" s="327"/>
      <c r="B65" s="327"/>
      <c r="C65" s="327"/>
      <c r="D65" s="327"/>
      <c r="E65" s="327"/>
      <c r="F65" s="350"/>
      <c r="G65" s="350"/>
      <c r="H65" s="350"/>
      <c r="I65" s="350"/>
      <c r="J65" s="350"/>
      <c r="K65" s="350"/>
    </row>
    <row r="66" spans="1:11" ht="42.75" customHeight="1" x14ac:dyDescent="0.35">
      <c r="A66" s="327"/>
      <c r="B66" s="327"/>
      <c r="C66" s="327"/>
      <c r="D66" s="327"/>
      <c r="E66" s="327"/>
      <c r="F66" s="351" t="s">
        <v>9</v>
      </c>
      <c r="G66" s="351" t="s">
        <v>37</v>
      </c>
      <c r="H66" s="351" t="s">
        <v>29</v>
      </c>
      <c r="I66" s="351" t="s">
        <v>30</v>
      </c>
      <c r="J66" s="351" t="s">
        <v>33</v>
      </c>
      <c r="K66" s="351" t="s">
        <v>34</v>
      </c>
    </row>
    <row r="67" spans="1:11" ht="18" customHeight="1" x14ac:dyDescent="0.35">
      <c r="A67" s="332" t="s">
        <v>102</v>
      </c>
      <c r="B67" s="328" t="s">
        <v>12</v>
      </c>
      <c r="C67" s="327"/>
      <c r="D67" s="327"/>
      <c r="E67" s="327"/>
      <c r="F67" s="352"/>
      <c r="G67" s="352"/>
      <c r="H67" s="352"/>
      <c r="I67" s="353"/>
      <c r="J67" s="352"/>
      <c r="K67" s="354"/>
    </row>
    <row r="68" spans="1:11" ht="18" customHeight="1" x14ac:dyDescent="0.35">
      <c r="A68" s="329" t="s">
        <v>303</v>
      </c>
      <c r="B68" s="915" t="s">
        <v>52</v>
      </c>
      <c r="C68" s="916"/>
      <c r="D68" s="917"/>
      <c r="E68" s="327"/>
      <c r="F68" s="355">
        <v>0</v>
      </c>
      <c r="G68" s="355">
        <v>0</v>
      </c>
      <c r="H68" s="334">
        <v>934072</v>
      </c>
      <c r="I68" s="334">
        <v>583795</v>
      </c>
      <c r="J68" s="334">
        <v>0</v>
      </c>
      <c r="K68" s="335">
        <f>(H68+I68)-J68</f>
        <v>1517867</v>
      </c>
    </row>
    <row r="69" spans="1:11" ht="18" customHeight="1" x14ac:dyDescent="0.35">
      <c r="A69" s="329" t="s">
        <v>391</v>
      </c>
      <c r="B69" s="915" t="s">
        <v>624</v>
      </c>
      <c r="C69" s="916"/>
      <c r="D69" s="917"/>
      <c r="E69" s="327"/>
      <c r="F69" s="355">
        <v>0</v>
      </c>
      <c r="G69" s="355">
        <v>0</v>
      </c>
      <c r="H69" s="334">
        <v>238391</v>
      </c>
      <c r="I69" s="334">
        <v>148994</v>
      </c>
      <c r="J69" s="334">
        <v>0</v>
      </c>
      <c r="K69" s="335">
        <f>(H69+I69)-J69</f>
        <v>387385</v>
      </c>
    </row>
    <row r="70" spans="1:11" ht="18" customHeight="1" x14ac:dyDescent="0.35">
      <c r="A70" s="329" t="s">
        <v>178</v>
      </c>
      <c r="B70" s="915"/>
      <c r="C70" s="916"/>
      <c r="D70" s="917"/>
      <c r="E70" s="328"/>
      <c r="F70" s="356"/>
      <c r="G70" s="356"/>
      <c r="H70" s="334"/>
      <c r="I70" s="334"/>
      <c r="J70" s="334"/>
      <c r="K70" s="335"/>
    </row>
    <row r="71" spans="1:11" ht="18" customHeight="1" x14ac:dyDescent="0.35">
      <c r="A71" s="329" t="s">
        <v>179</v>
      </c>
      <c r="B71" s="915"/>
      <c r="C71" s="916"/>
      <c r="D71" s="917"/>
      <c r="E71" s="328"/>
      <c r="F71" s="356"/>
      <c r="G71" s="356"/>
      <c r="H71" s="357"/>
      <c r="I71" s="334"/>
      <c r="J71" s="357"/>
      <c r="K71" s="335"/>
    </row>
    <row r="72" spans="1:11" ht="18" customHeight="1" x14ac:dyDescent="0.35">
      <c r="A72" s="329" t="s">
        <v>180</v>
      </c>
      <c r="B72" s="358"/>
      <c r="C72" s="359"/>
      <c r="D72" s="360"/>
      <c r="E72" s="328"/>
      <c r="F72" s="497"/>
      <c r="G72" s="497"/>
      <c r="H72" s="498"/>
      <c r="I72" s="334"/>
      <c r="J72" s="498"/>
      <c r="K72" s="335"/>
    </row>
    <row r="73" spans="1:11" ht="18" customHeight="1" x14ac:dyDescent="0.35">
      <c r="A73" s="329"/>
      <c r="B73" s="333"/>
      <c r="C73" s="327"/>
      <c r="D73" s="327"/>
      <c r="E73" s="328"/>
      <c r="F73" s="361"/>
      <c r="G73" s="361"/>
      <c r="H73" s="362"/>
      <c r="I73" s="353"/>
      <c r="J73" s="362"/>
      <c r="K73" s="354"/>
    </row>
    <row r="74" spans="1:11" ht="18" customHeight="1" x14ac:dyDescent="0.35">
      <c r="A74" s="332" t="s">
        <v>146</v>
      </c>
      <c r="B74" s="328" t="s">
        <v>147</v>
      </c>
      <c r="C74" s="327"/>
      <c r="D74" s="327"/>
      <c r="E74" s="328" t="s">
        <v>7</v>
      </c>
      <c r="F74" s="363">
        <f t="shared" ref="F74:J74" si="5">SUM(F68:F72)</f>
        <v>0</v>
      </c>
      <c r="G74" s="363">
        <f t="shared" si="5"/>
        <v>0</v>
      </c>
      <c r="H74" s="334">
        <f>SUM(H68:H72)</f>
        <v>1172463</v>
      </c>
      <c r="I74" s="334">
        <f>SUM(I68:I72)</f>
        <v>732789</v>
      </c>
      <c r="J74" s="334">
        <f t="shared" si="5"/>
        <v>0</v>
      </c>
      <c r="K74" s="335">
        <f>SUM(K68:K72)</f>
        <v>1905252</v>
      </c>
    </row>
    <row r="75" spans="1:11" ht="42.75" customHeight="1" x14ac:dyDescent="0.35">
      <c r="A75" s="327"/>
      <c r="B75" s="327"/>
      <c r="C75" s="327"/>
      <c r="D75" s="327"/>
      <c r="E75" s="327"/>
      <c r="F75" s="331" t="s">
        <v>9</v>
      </c>
      <c r="G75" s="331" t="s">
        <v>37</v>
      </c>
      <c r="H75" s="331" t="s">
        <v>29</v>
      </c>
      <c r="I75" s="331" t="s">
        <v>30</v>
      </c>
      <c r="J75" s="331" t="s">
        <v>33</v>
      </c>
      <c r="K75" s="331" t="s">
        <v>34</v>
      </c>
    </row>
    <row r="76" spans="1:11" ht="18" customHeight="1" x14ac:dyDescent="0.35">
      <c r="A76" s="332" t="s">
        <v>105</v>
      </c>
      <c r="B76" s="328" t="s">
        <v>106</v>
      </c>
      <c r="C76" s="327"/>
      <c r="D76" s="327"/>
      <c r="E76" s="327"/>
      <c r="F76" s="327"/>
      <c r="G76" s="327"/>
      <c r="H76" s="327"/>
      <c r="I76" s="327"/>
      <c r="J76" s="327"/>
      <c r="K76" s="327"/>
    </row>
    <row r="77" spans="1:11" ht="18" customHeight="1" x14ac:dyDescent="0.35">
      <c r="A77" s="329" t="s">
        <v>107</v>
      </c>
      <c r="B77" s="333" t="s">
        <v>54</v>
      </c>
      <c r="C77" s="327"/>
      <c r="D77" s="327"/>
      <c r="E77" s="327"/>
      <c r="F77" s="497">
        <v>0</v>
      </c>
      <c r="G77" s="497">
        <v>0</v>
      </c>
      <c r="H77" s="498">
        <v>63915</v>
      </c>
      <c r="I77" s="334">
        <v>0</v>
      </c>
      <c r="J77" s="498">
        <v>0</v>
      </c>
      <c r="K77" s="335">
        <f>(H77+I77)-J77</f>
        <v>63915</v>
      </c>
    </row>
    <row r="78" spans="1:11" ht="18" customHeight="1" x14ac:dyDescent="0.35">
      <c r="A78" s="329" t="s">
        <v>108</v>
      </c>
      <c r="B78" s="333" t="s">
        <v>55</v>
      </c>
      <c r="C78" s="327"/>
      <c r="D78" s="327"/>
      <c r="E78" s="327"/>
      <c r="F78" s="497"/>
      <c r="G78" s="497"/>
      <c r="H78" s="498"/>
      <c r="I78" s="334"/>
      <c r="J78" s="498"/>
      <c r="K78" s="335"/>
    </row>
    <row r="79" spans="1:11" ht="18" customHeight="1" x14ac:dyDescent="0.35">
      <c r="A79" s="329" t="s">
        <v>109</v>
      </c>
      <c r="B79" s="333" t="s">
        <v>13</v>
      </c>
      <c r="C79" s="327"/>
      <c r="D79" s="327"/>
      <c r="E79" s="327"/>
      <c r="F79" s="497">
        <v>0</v>
      </c>
      <c r="G79" s="497">
        <v>0</v>
      </c>
      <c r="H79" s="498">
        <v>3122</v>
      </c>
      <c r="I79" s="334">
        <v>1952</v>
      </c>
      <c r="J79" s="498">
        <v>0</v>
      </c>
      <c r="K79" s="335">
        <f t="shared" ref="K79" si="6">(H79+I79)-J79</f>
        <v>5074</v>
      </c>
    </row>
    <row r="80" spans="1:11" ht="18" customHeight="1" x14ac:dyDescent="0.35">
      <c r="A80" s="329" t="s">
        <v>110</v>
      </c>
      <c r="B80" s="333" t="s">
        <v>56</v>
      </c>
      <c r="C80" s="327"/>
      <c r="D80" s="327"/>
      <c r="E80" s="327"/>
      <c r="F80" s="497"/>
      <c r="G80" s="497"/>
      <c r="H80" s="498"/>
      <c r="I80" s="334"/>
      <c r="J80" s="498"/>
      <c r="K80" s="335"/>
    </row>
    <row r="81" spans="1:11" ht="18" customHeight="1" x14ac:dyDescent="0.35">
      <c r="A81" s="329"/>
      <c r="B81" s="327"/>
      <c r="C81" s="327"/>
      <c r="D81" s="327"/>
      <c r="E81" s="327"/>
      <c r="F81" s="327"/>
      <c r="G81" s="327"/>
      <c r="H81" s="327"/>
      <c r="I81" s="327"/>
      <c r="J81" s="327"/>
      <c r="K81" s="365"/>
    </row>
    <row r="82" spans="1:11" ht="18" customHeight="1" x14ac:dyDescent="0.35">
      <c r="A82" s="329" t="s">
        <v>148</v>
      </c>
      <c r="B82" s="328" t="s">
        <v>149</v>
      </c>
      <c r="C82" s="327"/>
      <c r="D82" s="327"/>
      <c r="E82" s="328" t="s">
        <v>7</v>
      </c>
      <c r="F82" s="363">
        <f t="shared" ref="F82:J82" si="7">SUM(F77:F80)</f>
        <v>0</v>
      </c>
      <c r="G82" s="363">
        <f t="shared" si="7"/>
        <v>0</v>
      </c>
      <c r="H82" s="364">
        <f>SUM(H77:H80)</f>
        <v>67037</v>
      </c>
      <c r="I82" s="364">
        <f>SUM(I77:I80)</f>
        <v>1952</v>
      </c>
      <c r="J82" s="364">
        <f t="shared" si="7"/>
        <v>0</v>
      </c>
      <c r="K82" s="364">
        <f>SUM(K77:K80)</f>
        <v>68989</v>
      </c>
    </row>
    <row r="83" spans="1:11" ht="18" customHeight="1" thickBot="1" x14ac:dyDescent="0.4">
      <c r="A83" s="329"/>
      <c r="B83" s="327"/>
      <c r="C83" s="327"/>
      <c r="D83" s="327"/>
      <c r="E83" s="327"/>
      <c r="F83" s="348"/>
      <c r="G83" s="348"/>
      <c r="H83" s="348"/>
      <c r="I83" s="348"/>
      <c r="J83" s="348"/>
      <c r="K83" s="348"/>
    </row>
    <row r="84" spans="1:11" ht="42.75" customHeight="1" x14ac:dyDescent="0.35">
      <c r="A84" s="327"/>
      <c r="B84" s="327"/>
      <c r="C84" s="327"/>
      <c r="D84" s="327"/>
      <c r="E84" s="327"/>
      <c r="F84" s="331" t="s">
        <v>9</v>
      </c>
      <c r="G84" s="331" t="s">
        <v>37</v>
      </c>
      <c r="H84" s="331" t="s">
        <v>29</v>
      </c>
      <c r="I84" s="331" t="s">
        <v>30</v>
      </c>
      <c r="J84" s="331" t="s">
        <v>33</v>
      </c>
      <c r="K84" s="331" t="s">
        <v>34</v>
      </c>
    </row>
    <row r="85" spans="1:11" ht="18" customHeight="1" x14ac:dyDescent="0.35">
      <c r="A85" s="332" t="s">
        <v>111</v>
      </c>
      <c r="B85" s="328" t="s">
        <v>57</v>
      </c>
      <c r="C85" s="327"/>
      <c r="D85" s="327"/>
      <c r="E85" s="327"/>
      <c r="F85" s="327"/>
      <c r="G85" s="327"/>
      <c r="H85" s="327"/>
      <c r="I85" s="327"/>
      <c r="J85" s="327"/>
      <c r="K85" s="327"/>
    </row>
    <row r="86" spans="1:11" ht="18" customHeight="1" x14ac:dyDescent="0.35">
      <c r="A86" s="329" t="s">
        <v>112</v>
      </c>
      <c r="B86" s="333" t="s">
        <v>113</v>
      </c>
      <c r="C86" s="327"/>
      <c r="D86" s="327"/>
      <c r="E86" s="327"/>
      <c r="F86" s="497"/>
      <c r="G86" s="497"/>
      <c r="H86" s="498"/>
      <c r="I86" s="334"/>
      <c r="J86" s="498"/>
      <c r="K86" s="335"/>
    </row>
    <row r="87" spans="1:11" ht="18" customHeight="1" x14ac:dyDescent="0.35">
      <c r="A87" s="329" t="s">
        <v>114</v>
      </c>
      <c r="B87" s="333" t="s">
        <v>14</v>
      </c>
      <c r="C87" s="327"/>
      <c r="D87" s="327"/>
      <c r="E87" s="327"/>
      <c r="F87" s="497"/>
      <c r="G87" s="497"/>
      <c r="H87" s="498"/>
      <c r="I87" s="334"/>
      <c r="J87" s="498"/>
      <c r="K87" s="335"/>
    </row>
    <row r="88" spans="1:11" ht="18" customHeight="1" x14ac:dyDescent="0.35">
      <c r="A88" s="329" t="s">
        <v>115</v>
      </c>
      <c r="B88" s="333" t="s">
        <v>116</v>
      </c>
      <c r="C88" s="327"/>
      <c r="D88" s="327"/>
      <c r="E88" s="327"/>
      <c r="F88" s="497">
        <v>0</v>
      </c>
      <c r="G88" s="497">
        <v>0</v>
      </c>
      <c r="H88" s="498">
        <v>113767</v>
      </c>
      <c r="I88" s="334">
        <v>71104</v>
      </c>
      <c r="J88" s="498">
        <v>0</v>
      </c>
      <c r="K88" s="335">
        <f t="shared" ref="K88:K93" si="8">(H88+I88)-J88</f>
        <v>184871</v>
      </c>
    </row>
    <row r="89" spans="1:11" ht="18" customHeight="1" x14ac:dyDescent="0.35">
      <c r="A89" s="329" t="s">
        <v>117</v>
      </c>
      <c r="B89" s="333" t="s">
        <v>58</v>
      </c>
      <c r="C89" s="327"/>
      <c r="D89" s="327"/>
      <c r="E89" s="327"/>
      <c r="F89" s="497"/>
      <c r="G89" s="497"/>
      <c r="H89" s="498"/>
      <c r="I89" s="334"/>
      <c r="J89" s="498"/>
      <c r="K89" s="335"/>
    </row>
    <row r="90" spans="1:11" ht="18" customHeight="1" x14ac:dyDescent="0.35">
      <c r="A90" s="329" t="s">
        <v>118</v>
      </c>
      <c r="B90" s="1412" t="s">
        <v>59</v>
      </c>
      <c r="C90" s="1412"/>
      <c r="D90" s="327"/>
      <c r="E90" s="327"/>
      <c r="F90" s="497"/>
      <c r="G90" s="497"/>
      <c r="H90" s="498"/>
      <c r="I90" s="334"/>
      <c r="J90" s="498"/>
      <c r="K90" s="335"/>
    </row>
    <row r="91" spans="1:11" ht="18" customHeight="1" x14ac:dyDescent="0.35">
      <c r="A91" s="329" t="s">
        <v>119</v>
      </c>
      <c r="B91" s="333" t="s">
        <v>60</v>
      </c>
      <c r="C91" s="327"/>
      <c r="D91" s="327"/>
      <c r="E91" s="327"/>
      <c r="F91" s="497"/>
      <c r="G91" s="497"/>
      <c r="H91" s="498"/>
      <c r="I91" s="334"/>
      <c r="J91" s="498"/>
      <c r="K91" s="335"/>
    </row>
    <row r="92" spans="1:11" ht="18" customHeight="1" x14ac:dyDescent="0.35">
      <c r="A92" s="329" t="s">
        <v>120</v>
      </c>
      <c r="B92" s="333" t="s">
        <v>121</v>
      </c>
      <c r="C92" s="327"/>
      <c r="D92" s="327"/>
      <c r="E92" s="327"/>
      <c r="F92" s="366">
        <v>0</v>
      </c>
      <c r="G92" s="366">
        <v>0</v>
      </c>
      <c r="H92" s="367">
        <v>26386</v>
      </c>
      <c r="I92" s="334">
        <v>0</v>
      </c>
      <c r="J92" s="367">
        <v>0</v>
      </c>
      <c r="K92" s="335">
        <f t="shared" si="8"/>
        <v>26386</v>
      </c>
    </row>
    <row r="93" spans="1:11" ht="18" customHeight="1" x14ac:dyDescent="0.35">
      <c r="A93" s="329" t="s">
        <v>122</v>
      </c>
      <c r="B93" s="333" t="s">
        <v>123</v>
      </c>
      <c r="C93" s="327"/>
      <c r="D93" s="327"/>
      <c r="E93" s="327"/>
      <c r="F93" s="497">
        <v>0</v>
      </c>
      <c r="G93" s="497">
        <v>0</v>
      </c>
      <c r="H93" s="498">
        <v>4016</v>
      </c>
      <c r="I93" s="334">
        <v>0</v>
      </c>
      <c r="J93" s="498">
        <v>0</v>
      </c>
      <c r="K93" s="335">
        <f t="shared" si="8"/>
        <v>4016</v>
      </c>
    </row>
    <row r="94" spans="1:11" ht="18" customHeight="1" x14ac:dyDescent="0.35">
      <c r="A94" s="329" t="s">
        <v>124</v>
      </c>
      <c r="B94" s="1395"/>
      <c r="C94" s="1396"/>
      <c r="D94" s="1397"/>
      <c r="E94" s="327"/>
      <c r="F94" s="497"/>
      <c r="G94" s="497"/>
      <c r="H94" s="498"/>
      <c r="I94" s="334"/>
      <c r="J94" s="498"/>
      <c r="K94" s="335"/>
    </row>
    <row r="95" spans="1:11" ht="18" customHeight="1" x14ac:dyDescent="0.35">
      <c r="A95" s="329" t="s">
        <v>125</v>
      </c>
      <c r="B95" s="1395"/>
      <c r="C95" s="1396"/>
      <c r="D95" s="1397"/>
      <c r="E95" s="327"/>
      <c r="F95" s="497"/>
      <c r="G95" s="497"/>
      <c r="H95" s="498"/>
      <c r="I95" s="334"/>
      <c r="J95" s="498"/>
      <c r="K95" s="335"/>
    </row>
    <row r="96" spans="1:11" ht="18" customHeight="1" x14ac:dyDescent="0.35">
      <c r="A96" s="329" t="s">
        <v>126</v>
      </c>
      <c r="B96" s="1395"/>
      <c r="C96" s="1396"/>
      <c r="D96" s="1397"/>
      <c r="E96" s="327"/>
      <c r="F96" s="497"/>
      <c r="G96" s="497"/>
      <c r="H96" s="498"/>
      <c r="I96" s="334"/>
      <c r="J96" s="498"/>
      <c r="K96" s="335"/>
    </row>
    <row r="97" spans="1:16" ht="18" customHeight="1" x14ac:dyDescent="0.35">
      <c r="A97" s="329"/>
      <c r="B97" s="333"/>
      <c r="C97" s="327"/>
      <c r="D97" s="327"/>
      <c r="E97" s="327"/>
      <c r="F97" s="327"/>
      <c r="G97" s="327"/>
      <c r="H97" s="327"/>
      <c r="I97" s="327"/>
      <c r="J97" s="327"/>
      <c r="K97" s="327"/>
      <c r="L97" s="327"/>
      <c r="M97" s="327"/>
      <c r="N97" s="327"/>
      <c r="O97" s="327"/>
      <c r="P97" s="327"/>
    </row>
    <row r="98" spans="1:16" ht="18" customHeight="1" x14ac:dyDescent="0.35">
      <c r="A98" s="332" t="s">
        <v>150</v>
      </c>
      <c r="B98" s="328" t="s">
        <v>151</v>
      </c>
      <c r="C98" s="327"/>
      <c r="D98" s="327"/>
      <c r="E98" s="328" t="s">
        <v>7</v>
      </c>
      <c r="F98" s="338">
        <f t="shared" ref="F98:J98" si="9">SUM(F86:F96)</f>
        <v>0</v>
      </c>
      <c r="G98" s="338">
        <f t="shared" si="9"/>
        <v>0</v>
      </c>
      <c r="H98" s="338">
        <f>SUM(H86:H96)</f>
        <v>144169</v>
      </c>
      <c r="I98" s="338">
        <f>SUM(I86:I96)</f>
        <v>71104</v>
      </c>
      <c r="J98" s="338">
        <f t="shared" si="9"/>
        <v>0</v>
      </c>
      <c r="K98" s="338">
        <f>SUM(K86:K96)</f>
        <v>215273</v>
      </c>
      <c r="L98" s="327"/>
      <c r="M98" s="327"/>
      <c r="N98" s="327"/>
      <c r="O98" s="327"/>
      <c r="P98" s="327"/>
    </row>
    <row r="99" spans="1:16" ht="18" customHeight="1" thickBot="1" x14ac:dyDescent="0.4">
      <c r="A99" s="327"/>
      <c r="B99" s="328"/>
      <c r="C99" s="327"/>
      <c r="D99" s="327"/>
      <c r="E99" s="327"/>
      <c r="F99" s="348"/>
      <c r="G99" s="348"/>
      <c r="H99" s="348"/>
      <c r="I99" s="348"/>
      <c r="J99" s="348"/>
      <c r="K99" s="348"/>
      <c r="L99" s="327"/>
      <c r="M99" s="327"/>
      <c r="N99" s="327"/>
      <c r="O99" s="327"/>
      <c r="P99" s="327"/>
    </row>
    <row r="100" spans="1:16" ht="42.75" customHeight="1" x14ac:dyDescent="0.35">
      <c r="A100" s="327"/>
      <c r="B100" s="327"/>
      <c r="C100" s="327"/>
      <c r="D100" s="327"/>
      <c r="E100" s="327"/>
      <c r="F100" s="331" t="s">
        <v>9</v>
      </c>
      <c r="G100" s="331" t="s">
        <v>37</v>
      </c>
      <c r="H100" s="331" t="s">
        <v>29</v>
      </c>
      <c r="I100" s="331" t="s">
        <v>30</v>
      </c>
      <c r="J100" s="331" t="s">
        <v>33</v>
      </c>
      <c r="K100" s="331" t="s">
        <v>34</v>
      </c>
      <c r="L100" s="327"/>
      <c r="M100" s="327"/>
      <c r="N100" s="327"/>
      <c r="O100" s="327"/>
      <c r="P100" s="327"/>
    </row>
    <row r="101" spans="1:16" ht="18" customHeight="1" x14ac:dyDescent="0.35">
      <c r="A101" s="332" t="s">
        <v>130</v>
      </c>
      <c r="B101" s="328" t="s">
        <v>63</v>
      </c>
      <c r="C101" s="327"/>
      <c r="D101" s="327"/>
      <c r="E101" s="327"/>
      <c r="F101" s="327"/>
      <c r="G101" s="327"/>
      <c r="H101" s="327"/>
      <c r="I101" s="327"/>
      <c r="J101" s="327"/>
      <c r="K101" s="327"/>
      <c r="L101" s="327"/>
      <c r="M101" s="327"/>
      <c r="N101" s="327"/>
      <c r="O101" s="327"/>
      <c r="P101" s="327"/>
    </row>
    <row r="102" spans="1:16" ht="18" customHeight="1" x14ac:dyDescent="0.35">
      <c r="A102" s="329" t="s">
        <v>131</v>
      </c>
      <c r="B102" s="333" t="s">
        <v>152</v>
      </c>
      <c r="C102" s="327"/>
      <c r="D102" s="327"/>
      <c r="E102" s="327"/>
      <c r="F102" s="497">
        <v>40</v>
      </c>
      <c r="G102" s="497">
        <v>0</v>
      </c>
      <c r="H102" s="498">
        <v>79906</v>
      </c>
      <c r="I102" s="334">
        <v>1419</v>
      </c>
      <c r="J102" s="498">
        <v>0</v>
      </c>
      <c r="K102" s="335">
        <f t="shared" ref="K102" si="10">(H102+I102)-J102</f>
        <v>81325</v>
      </c>
      <c r="L102" s="327"/>
      <c r="M102" s="327"/>
      <c r="N102" s="327"/>
      <c r="O102" s="327"/>
      <c r="P102" s="327"/>
    </row>
    <row r="103" spans="1:16" ht="18" customHeight="1" x14ac:dyDescent="0.35">
      <c r="A103" s="329" t="s">
        <v>132</v>
      </c>
      <c r="B103" s="1413" t="s">
        <v>62</v>
      </c>
      <c r="C103" s="1413"/>
      <c r="D103" s="327"/>
      <c r="E103" s="327"/>
      <c r="F103" s="497"/>
      <c r="G103" s="497"/>
      <c r="H103" s="498"/>
      <c r="I103" s="334"/>
      <c r="J103" s="498"/>
      <c r="K103" s="335"/>
      <c r="L103" s="327"/>
      <c r="M103" s="327"/>
      <c r="N103" s="327"/>
      <c r="O103" s="327"/>
      <c r="P103" s="327"/>
    </row>
    <row r="104" spans="1:16" ht="18" customHeight="1" x14ac:dyDescent="0.35">
      <c r="A104" s="329" t="s">
        <v>128</v>
      </c>
      <c r="B104" s="1395"/>
      <c r="C104" s="1396"/>
      <c r="D104" s="1397"/>
      <c r="E104" s="327"/>
      <c r="F104" s="497"/>
      <c r="G104" s="497"/>
      <c r="H104" s="498"/>
      <c r="I104" s="334"/>
      <c r="J104" s="498"/>
      <c r="K104" s="335"/>
      <c r="L104" s="327"/>
      <c r="M104" s="327"/>
      <c r="N104" s="327"/>
      <c r="O104" s="327"/>
      <c r="P104" s="327"/>
    </row>
    <row r="105" spans="1:16" ht="18" customHeight="1" x14ac:dyDescent="0.35">
      <c r="A105" s="329" t="s">
        <v>127</v>
      </c>
      <c r="B105" s="1395"/>
      <c r="C105" s="1396"/>
      <c r="D105" s="1397"/>
      <c r="E105" s="327"/>
      <c r="F105" s="497"/>
      <c r="G105" s="497"/>
      <c r="H105" s="498"/>
      <c r="I105" s="334"/>
      <c r="J105" s="498"/>
      <c r="K105" s="335"/>
      <c r="L105" s="327"/>
      <c r="M105" s="327"/>
      <c r="N105" s="327"/>
      <c r="O105" s="327"/>
      <c r="P105" s="327"/>
    </row>
    <row r="106" spans="1:16" ht="18" customHeight="1" x14ac:dyDescent="0.35">
      <c r="A106" s="329" t="s">
        <v>129</v>
      </c>
      <c r="B106" s="1395"/>
      <c r="C106" s="1396"/>
      <c r="D106" s="1397"/>
      <c r="E106" s="327"/>
      <c r="F106" s="497"/>
      <c r="G106" s="497"/>
      <c r="H106" s="498"/>
      <c r="I106" s="334"/>
      <c r="J106" s="498"/>
      <c r="K106" s="335"/>
      <c r="L106" s="327"/>
      <c r="M106" s="327"/>
      <c r="N106" s="327"/>
      <c r="O106" s="327"/>
      <c r="P106" s="327"/>
    </row>
    <row r="107" spans="1:16" ht="18" customHeight="1" x14ac:dyDescent="0.35">
      <c r="A107" s="327"/>
      <c r="B107" s="328"/>
      <c r="C107" s="327"/>
      <c r="D107" s="327"/>
      <c r="E107" s="327"/>
      <c r="F107" s="327"/>
      <c r="G107" s="327"/>
      <c r="H107" s="327"/>
      <c r="I107" s="327"/>
      <c r="J107" s="327"/>
      <c r="K107" s="327"/>
      <c r="L107" s="327"/>
      <c r="M107" s="327"/>
      <c r="N107" s="327"/>
      <c r="O107" s="327"/>
      <c r="P107" s="327"/>
    </row>
    <row r="108" spans="1:16" s="101" customFormat="1" ht="18" customHeight="1" x14ac:dyDescent="0.35">
      <c r="A108" s="332" t="s">
        <v>153</v>
      </c>
      <c r="B108" s="368" t="s">
        <v>154</v>
      </c>
      <c r="C108" s="327"/>
      <c r="D108" s="327"/>
      <c r="E108" s="328" t="s">
        <v>7</v>
      </c>
      <c r="F108" s="338">
        <f t="shared" ref="F108:J108" si="11">SUM(F102:F106)</f>
        <v>40</v>
      </c>
      <c r="G108" s="338">
        <f t="shared" si="11"/>
        <v>0</v>
      </c>
      <c r="H108" s="335">
        <f t="shared" si="11"/>
        <v>79906</v>
      </c>
      <c r="I108" s="335">
        <f t="shared" si="11"/>
        <v>1419</v>
      </c>
      <c r="J108" s="335">
        <f t="shared" si="11"/>
        <v>0</v>
      </c>
      <c r="K108" s="335">
        <f>SUM(K102:K106)</f>
        <v>81325</v>
      </c>
      <c r="L108" s="343"/>
      <c r="M108" s="343"/>
      <c r="N108" s="378"/>
      <c r="O108" s="378"/>
      <c r="P108" s="343"/>
    </row>
    <row r="109" spans="1:16" s="101" customFormat="1" ht="18" customHeight="1" thickBot="1" x14ac:dyDescent="0.4">
      <c r="A109" s="369"/>
      <c r="B109" s="370"/>
      <c r="C109" s="371"/>
      <c r="D109" s="371"/>
      <c r="E109" s="371"/>
      <c r="F109" s="348"/>
      <c r="G109" s="348"/>
      <c r="H109" s="348"/>
      <c r="I109" s="348"/>
      <c r="J109" s="348"/>
      <c r="K109" s="348"/>
      <c r="L109" s="343"/>
      <c r="M109" s="343"/>
      <c r="N109" s="378"/>
      <c r="O109" s="378"/>
      <c r="P109" s="343"/>
    </row>
    <row r="110" spans="1:16" s="101" customFormat="1" ht="18" customHeight="1" x14ac:dyDescent="0.35">
      <c r="A110" s="332" t="s">
        <v>156</v>
      </c>
      <c r="B110" s="328" t="s">
        <v>39</v>
      </c>
      <c r="C110" s="327"/>
      <c r="D110" s="327"/>
      <c r="E110" s="327"/>
      <c r="F110" s="327"/>
      <c r="G110" s="327"/>
      <c r="H110" s="327"/>
      <c r="I110" s="327"/>
      <c r="J110" s="327"/>
      <c r="K110" s="327"/>
      <c r="L110" s="343"/>
      <c r="M110" s="343"/>
      <c r="N110" s="385"/>
      <c r="O110" s="385"/>
      <c r="P110" s="372"/>
    </row>
    <row r="111" spans="1:16" ht="18" customHeight="1" x14ac:dyDescent="0.35">
      <c r="A111" s="332" t="s">
        <v>155</v>
      </c>
      <c r="B111" s="328" t="s">
        <v>164</v>
      </c>
      <c r="C111" s="327"/>
      <c r="D111" s="327"/>
      <c r="E111" s="328" t="s">
        <v>7</v>
      </c>
      <c r="F111" s="498">
        <v>4426975.97</v>
      </c>
      <c r="G111" s="327"/>
      <c r="H111" s="327"/>
      <c r="I111" s="327"/>
      <c r="J111" s="327"/>
      <c r="K111" s="327"/>
      <c r="L111" s="327"/>
      <c r="M111" s="327"/>
      <c r="N111" s="386"/>
      <c r="O111" s="387"/>
      <c r="P111" s="388"/>
    </row>
    <row r="112" spans="1:16" ht="18" customHeight="1" x14ac:dyDescent="0.35">
      <c r="A112" s="327"/>
      <c r="B112" s="328"/>
      <c r="C112" s="327"/>
      <c r="D112" s="327"/>
      <c r="E112" s="328"/>
      <c r="F112" s="372"/>
      <c r="G112" s="327"/>
      <c r="H112" s="327"/>
      <c r="I112" s="327"/>
      <c r="J112" s="327"/>
      <c r="K112" s="327"/>
      <c r="L112" s="327"/>
      <c r="M112" s="327"/>
      <c r="N112" s="386"/>
      <c r="O112" s="387"/>
      <c r="P112" s="388"/>
    </row>
    <row r="113" spans="1:16" ht="14.5" x14ac:dyDescent="0.35">
      <c r="A113" s="332"/>
      <c r="B113" s="328" t="s">
        <v>15</v>
      </c>
      <c r="C113" s="327"/>
      <c r="D113" s="327"/>
      <c r="E113" s="327"/>
      <c r="F113" s="327"/>
      <c r="G113" s="384"/>
      <c r="H113" s="327"/>
      <c r="I113" s="327"/>
      <c r="J113" s="327"/>
      <c r="K113" s="327"/>
      <c r="L113" s="327"/>
      <c r="M113" s="327"/>
      <c r="N113" s="386"/>
      <c r="O113" s="387"/>
      <c r="P113" s="388"/>
    </row>
    <row r="114" spans="1:16" ht="14.5" x14ac:dyDescent="0.35">
      <c r="A114" s="329" t="s">
        <v>171</v>
      </c>
      <c r="B114" s="333" t="s">
        <v>35</v>
      </c>
      <c r="C114" s="327"/>
      <c r="D114" s="327"/>
      <c r="E114" s="327"/>
      <c r="F114" s="373">
        <v>0.62492439142499701</v>
      </c>
      <c r="G114" s="384"/>
      <c r="H114" s="327"/>
      <c r="I114" s="327"/>
      <c r="J114" s="327"/>
      <c r="K114" s="327"/>
      <c r="L114" s="327"/>
      <c r="M114" s="327"/>
      <c r="N114" s="386"/>
      <c r="O114" s="387"/>
      <c r="P114" s="388"/>
    </row>
    <row r="115" spans="1:16" ht="14.5" x14ac:dyDescent="0.35">
      <c r="A115" s="329"/>
      <c r="B115" s="328"/>
      <c r="C115" s="327"/>
      <c r="D115" s="327"/>
      <c r="E115" s="327"/>
      <c r="F115" s="327"/>
      <c r="G115" s="384"/>
      <c r="H115" s="327"/>
      <c r="I115" s="327"/>
      <c r="J115" s="327"/>
      <c r="K115" s="327"/>
      <c r="L115" s="327"/>
      <c r="M115" s="327"/>
      <c r="N115" s="386"/>
      <c r="O115" s="387"/>
      <c r="P115" s="388"/>
    </row>
    <row r="116" spans="1:16" ht="14.5" x14ac:dyDescent="0.35">
      <c r="A116" s="329" t="s">
        <v>170</v>
      </c>
      <c r="B116" s="328" t="s">
        <v>16</v>
      </c>
      <c r="C116" s="327"/>
      <c r="D116" s="327"/>
      <c r="E116" s="327"/>
      <c r="F116" s="327"/>
      <c r="G116" s="384"/>
      <c r="H116" s="327"/>
      <c r="I116" s="327"/>
      <c r="J116" s="327"/>
      <c r="K116" s="327"/>
      <c r="L116" s="327"/>
      <c r="M116" s="327"/>
      <c r="N116" s="386"/>
      <c r="O116" s="387"/>
      <c r="P116" s="387"/>
    </row>
    <row r="117" spans="1:16" ht="14.5" x14ac:dyDescent="0.35">
      <c r="A117" s="329" t="s">
        <v>172</v>
      </c>
      <c r="B117" s="333" t="s">
        <v>17</v>
      </c>
      <c r="C117" s="327"/>
      <c r="D117" s="327"/>
      <c r="E117" s="327"/>
      <c r="F117" s="394">
        <v>444138147.2240001</v>
      </c>
      <c r="G117" s="384"/>
      <c r="H117" s="327"/>
      <c r="I117" s="327"/>
      <c r="J117" s="327"/>
      <c r="K117" s="327"/>
      <c r="L117" s="327"/>
      <c r="M117" s="327"/>
      <c r="N117" s="386"/>
      <c r="O117" s="389"/>
      <c r="P117" s="388"/>
    </row>
    <row r="118" spans="1:16" ht="14.5" x14ac:dyDescent="0.35">
      <c r="A118" s="329" t="s">
        <v>173</v>
      </c>
      <c r="B118" s="327" t="s">
        <v>18</v>
      </c>
      <c r="C118" s="327"/>
      <c r="D118" s="327"/>
      <c r="E118" s="327"/>
      <c r="F118" s="394">
        <v>10161815.255999997</v>
      </c>
      <c r="G118" s="384"/>
      <c r="H118" s="327"/>
      <c r="I118" s="327"/>
      <c r="J118" s="327"/>
      <c r="K118" s="327"/>
      <c r="L118" s="327"/>
      <c r="M118" s="327"/>
      <c r="N118" s="386"/>
      <c r="O118" s="387"/>
      <c r="P118" s="388"/>
    </row>
    <row r="119" spans="1:16" ht="14.5" x14ac:dyDescent="0.35">
      <c r="A119" s="329" t="s">
        <v>174</v>
      </c>
      <c r="B119" s="328" t="s">
        <v>19</v>
      </c>
      <c r="C119" s="327"/>
      <c r="D119" s="327"/>
      <c r="E119" s="327"/>
      <c r="F119" s="395">
        <f>SUM(F117:F118)</f>
        <v>454299962.48000008</v>
      </c>
      <c r="G119" s="384"/>
      <c r="H119" s="327"/>
      <c r="I119" s="327"/>
      <c r="J119" s="327"/>
      <c r="K119" s="327"/>
      <c r="L119" s="327"/>
      <c r="M119" s="327"/>
      <c r="N119" s="386"/>
      <c r="O119" s="387"/>
      <c r="P119" s="388"/>
    </row>
    <row r="120" spans="1:16" ht="14.5" x14ac:dyDescent="0.35">
      <c r="A120" s="329"/>
      <c r="B120" s="328"/>
      <c r="C120" s="327"/>
      <c r="D120" s="327"/>
      <c r="E120" s="327"/>
      <c r="F120" s="381"/>
      <c r="G120" s="384"/>
      <c r="H120" s="327"/>
      <c r="I120" s="327"/>
      <c r="J120" s="327"/>
      <c r="K120" s="327"/>
      <c r="L120" s="327"/>
      <c r="M120" s="327"/>
      <c r="N120" s="390"/>
      <c r="O120" s="390"/>
      <c r="P120" s="384"/>
    </row>
    <row r="121" spans="1:16" ht="14.5" x14ac:dyDescent="0.35">
      <c r="A121" s="329" t="s">
        <v>167</v>
      </c>
      <c r="B121" s="328" t="s">
        <v>36</v>
      </c>
      <c r="C121" s="327"/>
      <c r="D121" s="327"/>
      <c r="E121" s="327"/>
      <c r="F121" s="394">
        <v>443482531.935</v>
      </c>
      <c r="G121" s="384"/>
      <c r="H121" s="327"/>
      <c r="I121" s="327"/>
      <c r="J121" s="327"/>
      <c r="K121" s="327"/>
      <c r="L121" s="327"/>
      <c r="M121" s="327"/>
      <c r="N121" s="327"/>
      <c r="O121" s="327"/>
      <c r="P121" s="327"/>
    </row>
    <row r="122" spans="1:16" ht="14.5" x14ac:dyDescent="0.35">
      <c r="A122" s="329"/>
      <c r="B122" s="327"/>
      <c r="C122" s="327"/>
      <c r="D122" s="327"/>
      <c r="E122" s="327"/>
      <c r="F122" s="381"/>
      <c r="G122" s="384"/>
      <c r="H122" s="327"/>
      <c r="I122" s="327"/>
      <c r="J122" s="327"/>
      <c r="K122" s="327"/>
      <c r="L122" s="327"/>
      <c r="M122" s="327"/>
      <c r="N122" s="327"/>
      <c r="O122" s="327"/>
      <c r="P122" s="327"/>
    </row>
    <row r="123" spans="1:16" ht="14.5" x14ac:dyDescent="0.35">
      <c r="A123" s="329" t="s">
        <v>175</v>
      </c>
      <c r="B123" s="328" t="s">
        <v>20</v>
      </c>
      <c r="C123" s="327"/>
      <c r="D123" s="327"/>
      <c r="E123" s="327"/>
      <c r="F123" s="394">
        <f>F119-F121</f>
        <v>10817430.545000076</v>
      </c>
      <c r="G123" s="384"/>
      <c r="H123" s="327"/>
      <c r="I123" s="327"/>
      <c r="J123" s="327"/>
      <c r="K123" s="327"/>
      <c r="L123" s="327"/>
      <c r="M123" s="327"/>
      <c r="N123" s="327"/>
      <c r="O123" s="327"/>
      <c r="P123" s="327"/>
    </row>
    <row r="124" spans="1:16" ht="14.5" x14ac:dyDescent="0.35">
      <c r="A124" s="329"/>
      <c r="B124" s="327"/>
      <c r="C124" s="327"/>
      <c r="D124" s="327"/>
      <c r="E124" s="327"/>
      <c r="F124" s="381"/>
      <c r="G124" s="384"/>
      <c r="H124" s="327"/>
      <c r="I124" s="327"/>
      <c r="J124" s="327"/>
      <c r="K124" s="327"/>
      <c r="L124" s="327"/>
      <c r="M124" s="327"/>
      <c r="N124" s="327"/>
      <c r="O124" s="327"/>
      <c r="P124" s="327"/>
    </row>
    <row r="125" spans="1:16" ht="14.5" x14ac:dyDescent="0.35">
      <c r="A125" s="329" t="s">
        <v>176</v>
      </c>
      <c r="B125" s="328" t="s">
        <v>21</v>
      </c>
      <c r="C125" s="327"/>
      <c r="D125" s="327"/>
      <c r="E125" s="327"/>
      <c r="F125" s="394">
        <v>6290840.7000000011</v>
      </c>
      <c r="G125" s="384"/>
      <c r="H125" s="327"/>
      <c r="I125" s="327"/>
      <c r="J125" s="327"/>
      <c r="K125" s="327"/>
      <c r="L125" s="327"/>
      <c r="M125" s="327"/>
      <c r="N125" s="327"/>
      <c r="O125" s="327"/>
      <c r="P125" s="327"/>
    </row>
    <row r="126" spans="1:16" ht="14.5" x14ac:dyDescent="0.35">
      <c r="A126" s="329"/>
      <c r="B126" s="327"/>
      <c r="C126" s="327"/>
      <c r="D126" s="327"/>
      <c r="E126" s="327"/>
      <c r="F126" s="381"/>
      <c r="G126" s="384"/>
      <c r="H126" s="327"/>
      <c r="I126" s="327"/>
      <c r="J126" s="327"/>
      <c r="K126" s="327"/>
      <c r="L126" s="327"/>
      <c r="M126" s="327"/>
      <c r="N126" s="327"/>
      <c r="O126" s="327"/>
      <c r="P126" s="327"/>
    </row>
    <row r="127" spans="1:16" ht="14.5" x14ac:dyDescent="0.35">
      <c r="A127" s="329" t="s">
        <v>177</v>
      </c>
      <c r="B127" s="328" t="s">
        <v>22</v>
      </c>
      <c r="C127" s="327"/>
      <c r="D127" s="327"/>
      <c r="E127" s="327"/>
      <c r="F127" s="394">
        <f>F123+F125</f>
        <v>17108271.245000079</v>
      </c>
      <c r="G127" s="384"/>
      <c r="H127" s="327"/>
      <c r="I127" s="327"/>
      <c r="J127" s="327"/>
      <c r="K127" s="327"/>
      <c r="L127" s="327"/>
      <c r="M127" s="327"/>
      <c r="N127" s="327"/>
      <c r="O127" s="327"/>
      <c r="P127" s="327"/>
    </row>
    <row r="128" spans="1:16" ht="14.5" x14ac:dyDescent="0.35">
      <c r="A128" s="329"/>
      <c r="B128" s="327"/>
      <c r="C128" s="327"/>
      <c r="D128" s="327"/>
      <c r="E128" s="327"/>
      <c r="F128" s="327"/>
      <c r="G128" s="327"/>
      <c r="H128" s="327"/>
      <c r="I128" s="327"/>
      <c r="J128" s="327"/>
      <c r="K128" s="327"/>
      <c r="L128" s="327"/>
      <c r="M128" s="327"/>
      <c r="N128" s="327"/>
      <c r="O128" s="327"/>
      <c r="P128" s="327"/>
    </row>
    <row r="129" spans="1:11" ht="42.75" customHeight="1" x14ac:dyDescent="0.35">
      <c r="A129" s="327"/>
      <c r="B129" s="327"/>
      <c r="C129" s="327"/>
      <c r="D129" s="327"/>
      <c r="E129" s="327"/>
      <c r="F129" s="331" t="s">
        <v>9</v>
      </c>
      <c r="G129" s="331" t="s">
        <v>37</v>
      </c>
      <c r="H129" s="331" t="s">
        <v>29</v>
      </c>
      <c r="I129" s="331" t="s">
        <v>30</v>
      </c>
      <c r="J129" s="331" t="s">
        <v>33</v>
      </c>
      <c r="K129" s="331" t="s">
        <v>34</v>
      </c>
    </row>
    <row r="130" spans="1:11" ht="18" customHeight="1" x14ac:dyDescent="0.35">
      <c r="A130" s="332" t="s">
        <v>157</v>
      </c>
      <c r="B130" s="328" t="s">
        <v>23</v>
      </c>
      <c r="C130" s="327"/>
      <c r="D130" s="327"/>
      <c r="E130" s="327"/>
      <c r="F130" s="327"/>
      <c r="G130" s="327"/>
      <c r="H130" s="327"/>
      <c r="I130" s="327"/>
      <c r="J130" s="327"/>
      <c r="K130" s="327"/>
    </row>
    <row r="131" spans="1:11" ht="18" customHeight="1" x14ac:dyDescent="0.35">
      <c r="A131" s="329" t="s">
        <v>158</v>
      </c>
      <c r="B131" s="327" t="s">
        <v>24</v>
      </c>
      <c r="C131" s="327"/>
      <c r="D131" s="327"/>
      <c r="E131" s="327"/>
      <c r="F131" s="497">
        <v>0</v>
      </c>
      <c r="G131" s="497">
        <v>0</v>
      </c>
      <c r="H131" s="498">
        <v>0</v>
      </c>
      <c r="I131" s="334">
        <v>0</v>
      </c>
      <c r="J131" s="498">
        <v>0</v>
      </c>
      <c r="K131" s="335">
        <v>0</v>
      </c>
    </row>
    <row r="132" spans="1:11" ht="18" customHeight="1" x14ac:dyDescent="0.35">
      <c r="A132" s="329" t="s">
        <v>159</v>
      </c>
      <c r="B132" s="327" t="s">
        <v>25</v>
      </c>
      <c r="C132" s="327"/>
      <c r="D132" s="327"/>
      <c r="E132" s="327"/>
      <c r="F132" s="497">
        <v>0</v>
      </c>
      <c r="G132" s="497">
        <v>0</v>
      </c>
      <c r="H132" s="498">
        <v>0</v>
      </c>
      <c r="I132" s="334">
        <v>0</v>
      </c>
      <c r="J132" s="498">
        <v>0</v>
      </c>
      <c r="K132" s="335">
        <v>0</v>
      </c>
    </row>
    <row r="133" spans="1:11" ht="18" customHeight="1" x14ac:dyDescent="0.35">
      <c r="A133" s="329" t="s">
        <v>160</v>
      </c>
      <c r="B133" s="1392"/>
      <c r="C133" s="1393"/>
      <c r="D133" s="1394"/>
      <c r="E133" s="327"/>
      <c r="F133" s="497"/>
      <c r="G133" s="497"/>
      <c r="H133" s="498"/>
      <c r="I133" s="334"/>
      <c r="J133" s="498"/>
      <c r="K133" s="335"/>
    </row>
    <row r="134" spans="1:11" ht="18" customHeight="1" x14ac:dyDescent="0.35">
      <c r="A134" s="329" t="s">
        <v>161</v>
      </c>
      <c r="B134" s="1392"/>
      <c r="C134" s="1393"/>
      <c r="D134" s="1394"/>
      <c r="E134" s="327"/>
      <c r="F134" s="497"/>
      <c r="G134" s="497"/>
      <c r="H134" s="498"/>
      <c r="I134" s="334"/>
      <c r="J134" s="498"/>
      <c r="K134" s="335"/>
    </row>
    <row r="135" spans="1:11" ht="18" customHeight="1" x14ac:dyDescent="0.35">
      <c r="A135" s="329" t="s">
        <v>162</v>
      </c>
      <c r="B135" s="1392"/>
      <c r="C135" s="1393"/>
      <c r="D135" s="1394"/>
      <c r="E135" s="327"/>
      <c r="F135" s="497"/>
      <c r="G135" s="497"/>
      <c r="H135" s="498"/>
      <c r="I135" s="334"/>
      <c r="J135" s="498"/>
      <c r="K135" s="335"/>
    </row>
    <row r="136" spans="1:11" ht="18" customHeight="1" x14ac:dyDescent="0.35">
      <c r="A136" s="332"/>
      <c r="B136" s="327"/>
      <c r="C136" s="327"/>
      <c r="D136" s="327"/>
      <c r="E136" s="327"/>
      <c r="F136" s="327"/>
      <c r="G136" s="327"/>
      <c r="H136" s="327"/>
      <c r="I136" s="327"/>
      <c r="J136" s="327"/>
      <c r="K136" s="327"/>
    </row>
    <row r="137" spans="1:11" ht="18" customHeight="1" x14ac:dyDescent="0.35">
      <c r="A137" s="332" t="s">
        <v>163</v>
      </c>
      <c r="B137" s="328" t="s">
        <v>27</v>
      </c>
      <c r="C137" s="327"/>
      <c r="D137" s="327"/>
      <c r="E137" s="327"/>
      <c r="F137" s="338">
        <f t="shared" ref="F137:K137" si="12">SUM(F131:F135)</f>
        <v>0</v>
      </c>
      <c r="G137" s="338">
        <f t="shared" si="12"/>
        <v>0</v>
      </c>
      <c r="H137" s="335">
        <f t="shared" si="12"/>
        <v>0</v>
      </c>
      <c r="I137" s="335">
        <f t="shared" si="12"/>
        <v>0</v>
      </c>
      <c r="J137" s="335">
        <f t="shared" si="12"/>
        <v>0</v>
      </c>
      <c r="K137" s="335">
        <f t="shared" si="12"/>
        <v>0</v>
      </c>
    </row>
    <row r="138" spans="1:11" ht="18" customHeight="1" x14ac:dyDescent="0.35">
      <c r="A138" s="327"/>
      <c r="B138" s="327"/>
      <c r="C138" s="327"/>
      <c r="D138" s="327"/>
      <c r="E138" s="327"/>
      <c r="F138" s="327"/>
      <c r="G138" s="327"/>
      <c r="H138" s="327"/>
      <c r="I138" s="327"/>
      <c r="J138" s="327"/>
      <c r="K138" s="327"/>
    </row>
    <row r="139" spans="1:11" ht="42.75" customHeight="1" x14ac:dyDescent="0.35">
      <c r="A139" s="327"/>
      <c r="B139" s="327"/>
      <c r="C139" s="327"/>
      <c r="D139" s="327"/>
      <c r="E139" s="327"/>
      <c r="F139" s="331" t="s">
        <v>9</v>
      </c>
      <c r="G139" s="331" t="s">
        <v>37</v>
      </c>
      <c r="H139" s="331" t="s">
        <v>29</v>
      </c>
      <c r="I139" s="331" t="s">
        <v>30</v>
      </c>
      <c r="J139" s="331" t="s">
        <v>33</v>
      </c>
      <c r="K139" s="331" t="s">
        <v>34</v>
      </c>
    </row>
    <row r="140" spans="1:11" ht="18" customHeight="1" x14ac:dyDescent="0.35">
      <c r="A140" s="332" t="s">
        <v>166</v>
      </c>
      <c r="B140" s="328" t="s">
        <v>26</v>
      </c>
      <c r="C140" s="327"/>
      <c r="D140" s="327"/>
      <c r="E140" s="327"/>
      <c r="F140" s="327"/>
      <c r="G140" s="327"/>
      <c r="H140" s="327"/>
      <c r="I140" s="327"/>
      <c r="J140" s="327"/>
      <c r="K140" s="327"/>
    </row>
    <row r="141" spans="1:11" ht="18" customHeight="1" x14ac:dyDescent="0.35">
      <c r="A141" s="329" t="s">
        <v>137</v>
      </c>
      <c r="B141" s="328" t="s">
        <v>64</v>
      </c>
      <c r="C141" s="327"/>
      <c r="D141" s="327"/>
      <c r="E141" s="327"/>
      <c r="F141" s="374">
        <f>F36</f>
        <v>4519.5</v>
      </c>
      <c r="G141" s="374">
        <f t="shared" ref="G141:K141" si="13">G36</f>
        <v>1856</v>
      </c>
      <c r="H141" s="379">
        <f t="shared" si="13"/>
        <v>1058679</v>
      </c>
      <c r="I141" s="379">
        <f t="shared" si="13"/>
        <v>305885</v>
      </c>
      <c r="J141" s="379">
        <f t="shared" si="13"/>
        <v>290866</v>
      </c>
      <c r="K141" s="379">
        <f t="shared" si="13"/>
        <v>1073698</v>
      </c>
    </row>
    <row r="142" spans="1:11" ht="18" customHeight="1" x14ac:dyDescent="0.35">
      <c r="A142" s="329" t="s">
        <v>142</v>
      </c>
      <c r="B142" s="328" t="s">
        <v>65</v>
      </c>
      <c r="C142" s="327"/>
      <c r="D142" s="327"/>
      <c r="E142" s="327"/>
      <c r="F142" s="374">
        <f t="shared" ref="F142:K142" si="14">F49</f>
        <v>195287</v>
      </c>
      <c r="G142" s="374">
        <f t="shared" si="14"/>
        <v>1000</v>
      </c>
      <c r="H142" s="379">
        <f t="shared" si="14"/>
        <v>10846803</v>
      </c>
      <c r="I142" s="379">
        <f t="shared" si="14"/>
        <v>6294616</v>
      </c>
      <c r="J142" s="379">
        <f t="shared" si="14"/>
        <v>146650</v>
      </c>
      <c r="K142" s="379">
        <f t="shared" si="14"/>
        <v>16994769</v>
      </c>
    </row>
    <row r="143" spans="1:11" ht="18" customHeight="1" x14ac:dyDescent="0.35">
      <c r="A143" s="329" t="s">
        <v>144</v>
      </c>
      <c r="B143" s="328" t="s">
        <v>66</v>
      </c>
      <c r="C143" s="327"/>
      <c r="D143" s="327"/>
      <c r="E143" s="327"/>
      <c r="F143" s="374">
        <f t="shared" ref="F143:K143" si="15">F64</f>
        <v>0</v>
      </c>
      <c r="G143" s="374">
        <f t="shared" si="15"/>
        <v>0</v>
      </c>
      <c r="H143" s="379">
        <f t="shared" si="15"/>
        <v>6152041</v>
      </c>
      <c r="I143" s="379">
        <f t="shared" si="15"/>
        <v>0</v>
      </c>
      <c r="J143" s="379">
        <f t="shared" si="15"/>
        <v>2903100</v>
      </c>
      <c r="K143" s="379">
        <f t="shared" si="15"/>
        <v>3248941</v>
      </c>
    </row>
    <row r="144" spans="1:11" ht="18" customHeight="1" x14ac:dyDescent="0.35">
      <c r="A144" s="329" t="s">
        <v>146</v>
      </c>
      <c r="B144" s="328" t="s">
        <v>67</v>
      </c>
      <c r="C144" s="327"/>
      <c r="D144" s="327"/>
      <c r="E144" s="327"/>
      <c r="F144" s="374">
        <f t="shared" ref="F144:K144" si="16">F74</f>
        <v>0</v>
      </c>
      <c r="G144" s="374">
        <f t="shared" si="16"/>
        <v>0</v>
      </c>
      <c r="H144" s="379">
        <f t="shared" si="16"/>
        <v>1172463</v>
      </c>
      <c r="I144" s="379">
        <f t="shared" si="16"/>
        <v>732789</v>
      </c>
      <c r="J144" s="379">
        <f t="shared" si="16"/>
        <v>0</v>
      </c>
      <c r="K144" s="379">
        <f t="shared" si="16"/>
        <v>1905252</v>
      </c>
    </row>
    <row r="145" spans="1:11" ht="18" customHeight="1" x14ac:dyDescent="0.35">
      <c r="A145" s="329" t="s">
        <v>148</v>
      </c>
      <c r="B145" s="328" t="s">
        <v>68</v>
      </c>
      <c r="C145" s="327"/>
      <c r="D145" s="327"/>
      <c r="E145" s="327"/>
      <c r="F145" s="374">
        <f t="shared" ref="F145:K145" si="17">F82</f>
        <v>0</v>
      </c>
      <c r="G145" s="374">
        <f t="shared" si="17"/>
        <v>0</v>
      </c>
      <c r="H145" s="379">
        <f t="shared" si="17"/>
        <v>67037</v>
      </c>
      <c r="I145" s="379">
        <f t="shared" si="17"/>
        <v>1952</v>
      </c>
      <c r="J145" s="379">
        <f t="shared" si="17"/>
        <v>0</v>
      </c>
      <c r="K145" s="379">
        <f t="shared" si="17"/>
        <v>68989</v>
      </c>
    </row>
    <row r="146" spans="1:11" ht="18" customHeight="1" x14ac:dyDescent="0.35">
      <c r="A146" s="329" t="s">
        <v>150</v>
      </c>
      <c r="B146" s="328" t="s">
        <v>69</v>
      </c>
      <c r="C146" s="327"/>
      <c r="D146" s="327"/>
      <c r="E146" s="327"/>
      <c r="F146" s="374">
        <f t="shared" ref="F146:K146" si="18">F98</f>
        <v>0</v>
      </c>
      <c r="G146" s="374">
        <f t="shared" si="18"/>
        <v>0</v>
      </c>
      <c r="H146" s="379">
        <f t="shared" si="18"/>
        <v>144169</v>
      </c>
      <c r="I146" s="379">
        <f t="shared" si="18"/>
        <v>71104</v>
      </c>
      <c r="J146" s="379">
        <f t="shared" si="18"/>
        <v>0</v>
      </c>
      <c r="K146" s="379">
        <f t="shared" si="18"/>
        <v>215273</v>
      </c>
    </row>
    <row r="147" spans="1:11" ht="18" customHeight="1" x14ac:dyDescent="0.35">
      <c r="A147" s="329" t="s">
        <v>153</v>
      </c>
      <c r="B147" s="328" t="s">
        <v>61</v>
      </c>
      <c r="C147" s="327"/>
      <c r="D147" s="327"/>
      <c r="E147" s="327"/>
      <c r="F147" s="338">
        <f t="shared" ref="F147:K147" si="19">F108</f>
        <v>40</v>
      </c>
      <c r="G147" s="338">
        <f t="shared" si="19"/>
        <v>0</v>
      </c>
      <c r="H147" s="379">
        <f t="shared" si="19"/>
        <v>79906</v>
      </c>
      <c r="I147" s="379">
        <f t="shared" si="19"/>
        <v>1419</v>
      </c>
      <c r="J147" s="379">
        <f t="shared" si="19"/>
        <v>0</v>
      </c>
      <c r="K147" s="379">
        <f t="shared" si="19"/>
        <v>81325</v>
      </c>
    </row>
    <row r="148" spans="1:11" ht="18" customHeight="1" x14ac:dyDescent="0.35">
      <c r="A148" s="329" t="s">
        <v>155</v>
      </c>
      <c r="B148" s="328" t="s">
        <v>70</v>
      </c>
      <c r="C148" s="327"/>
      <c r="D148" s="327"/>
      <c r="E148" s="327"/>
      <c r="F148" s="375"/>
      <c r="G148" s="375"/>
      <c r="H148" s="379"/>
      <c r="I148" s="379"/>
      <c r="J148" s="379"/>
      <c r="K148" s="379">
        <f>F111</f>
        <v>4426975.97</v>
      </c>
    </row>
    <row r="149" spans="1:11" ht="18" customHeight="1" x14ac:dyDescent="0.35">
      <c r="A149" s="329" t="s">
        <v>163</v>
      </c>
      <c r="B149" s="328" t="s">
        <v>71</v>
      </c>
      <c r="C149" s="327"/>
      <c r="D149" s="327"/>
      <c r="E149" s="327"/>
      <c r="F149" s="338">
        <f t="shared" ref="F149:K149" si="20">F137</f>
        <v>0</v>
      </c>
      <c r="G149" s="338">
        <f t="shared" si="20"/>
        <v>0</v>
      </c>
      <c r="H149" s="379">
        <f t="shared" si="20"/>
        <v>0</v>
      </c>
      <c r="I149" s="379">
        <f t="shared" si="20"/>
        <v>0</v>
      </c>
      <c r="J149" s="379">
        <f t="shared" si="20"/>
        <v>0</v>
      </c>
      <c r="K149" s="379">
        <f t="shared" si="20"/>
        <v>0</v>
      </c>
    </row>
    <row r="150" spans="1:11" ht="18" customHeight="1" x14ac:dyDescent="0.35">
      <c r="A150" s="329" t="s">
        <v>185</v>
      </c>
      <c r="B150" s="328" t="s">
        <v>186</v>
      </c>
      <c r="C150" s="327"/>
      <c r="D150" s="327"/>
      <c r="E150" s="327"/>
      <c r="F150" s="375"/>
      <c r="G150" s="375"/>
      <c r="H150" s="379">
        <f>H18</f>
        <v>9770566.9684966505</v>
      </c>
      <c r="I150" s="379">
        <f>I18</f>
        <v>0</v>
      </c>
      <c r="J150" s="379">
        <f>J18</f>
        <v>8258057.1165757338</v>
      </c>
      <c r="K150" s="379">
        <f>K18</f>
        <v>1512509.8519209167</v>
      </c>
    </row>
    <row r="151" spans="1:11" ht="18" customHeight="1" x14ac:dyDescent="0.35">
      <c r="A151" s="327"/>
      <c r="B151" s="328"/>
      <c r="C151" s="327"/>
      <c r="D151" s="327"/>
      <c r="E151" s="327"/>
      <c r="F151" s="350"/>
      <c r="G151" s="350"/>
      <c r="H151" s="380"/>
      <c r="I151" s="380"/>
      <c r="J151" s="380"/>
      <c r="K151" s="380"/>
    </row>
    <row r="152" spans="1:11" ht="18" customHeight="1" x14ac:dyDescent="0.35">
      <c r="A152" s="332" t="s">
        <v>165</v>
      </c>
      <c r="B152" s="328" t="s">
        <v>26</v>
      </c>
      <c r="C152" s="327"/>
      <c r="D152" s="327"/>
      <c r="E152" s="327"/>
      <c r="F152" s="376">
        <f t="shared" ref="F152:K152" si="21">SUM(F141:F150)</f>
        <v>199846.5</v>
      </c>
      <c r="G152" s="376">
        <f t="shared" si="21"/>
        <v>2856</v>
      </c>
      <c r="H152" s="379">
        <f t="shared" si="21"/>
        <v>29291664.96849665</v>
      </c>
      <c r="I152" s="379">
        <f t="shared" si="21"/>
        <v>7407765</v>
      </c>
      <c r="J152" s="379">
        <f t="shared" si="21"/>
        <v>11598673.116575733</v>
      </c>
      <c r="K152" s="379">
        <f t="shared" si="21"/>
        <v>29527732.821920916</v>
      </c>
    </row>
    <row r="153" spans="1:11" ht="18" customHeight="1" x14ac:dyDescent="0.35">
      <c r="A153" s="327"/>
      <c r="B153" s="327"/>
      <c r="C153" s="327"/>
      <c r="D153" s="327"/>
      <c r="E153" s="327"/>
      <c r="F153" s="327"/>
      <c r="G153" s="327"/>
      <c r="H153" s="327"/>
      <c r="I153" s="327"/>
      <c r="J153" s="327"/>
      <c r="K153" s="381"/>
    </row>
    <row r="154" spans="1:11" ht="18" customHeight="1" x14ac:dyDescent="0.35">
      <c r="A154" s="332" t="s">
        <v>168</v>
      </c>
      <c r="B154" s="328" t="s">
        <v>28</v>
      </c>
      <c r="C154" s="327"/>
      <c r="D154" s="327"/>
      <c r="E154" s="327"/>
      <c r="F154" s="377">
        <f>K152/F121</f>
        <v>6.6581501402289078E-2</v>
      </c>
      <c r="G154" s="327"/>
      <c r="H154" s="381"/>
      <c r="I154" s="327"/>
      <c r="J154" s="327"/>
      <c r="K154" s="381"/>
    </row>
    <row r="155" spans="1:11" ht="18" customHeight="1" x14ac:dyDescent="0.35">
      <c r="A155" s="332" t="s">
        <v>169</v>
      </c>
      <c r="B155" s="328" t="s">
        <v>72</v>
      </c>
      <c r="C155" s="327"/>
      <c r="D155" s="327"/>
      <c r="E155" s="327"/>
      <c r="F155" s="377">
        <f>K152/F127</f>
        <v>1.7259331699309155</v>
      </c>
      <c r="G155" s="328"/>
      <c r="H155" s="393"/>
      <c r="I155" s="327"/>
      <c r="J155" s="327"/>
      <c r="K155" s="327"/>
    </row>
    <row r="156" spans="1:11" ht="18" customHeight="1" x14ac:dyDescent="0.35">
      <c r="A156" s="327"/>
      <c r="B156" s="327"/>
      <c r="C156" s="327"/>
      <c r="D156" s="327"/>
      <c r="E156" s="327"/>
      <c r="F156" s="327"/>
      <c r="G156" s="328"/>
      <c r="H156" s="381"/>
      <c r="I156" s="327"/>
      <c r="J156" s="327"/>
      <c r="K156" s="327"/>
    </row>
  </sheetData>
  <sheetProtection sheet="1" objects="1" scenarios="1"/>
  <mergeCells count="30">
    <mergeCell ref="B104:D104"/>
    <mergeCell ref="B105:D105"/>
    <mergeCell ref="B30:D30"/>
    <mergeCell ref="B31:D31"/>
    <mergeCell ref="B34:D34"/>
    <mergeCell ref="B90:C90"/>
    <mergeCell ref="B44:D44"/>
    <mergeCell ref="B45:D45"/>
    <mergeCell ref="B46:D46"/>
    <mergeCell ref="B47:D47"/>
    <mergeCell ref="B52:C52"/>
    <mergeCell ref="B54:D54"/>
    <mergeCell ref="B55:D55"/>
    <mergeCell ref="B41:C41"/>
    <mergeCell ref="B134:D134"/>
    <mergeCell ref="B135:D135"/>
    <mergeCell ref="B94:D94"/>
    <mergeCell ref="B95:D95"/>
    <mergeCell ref="D2:H2"/>
    <mergeCell ref="C5:G5"/>
    <mergeCell ref="C6:G6"/>
    <mergeCell ref="B106:D106"/>
    <mergeCell ref="B133:D133"/>
    <mergeCell ref="C7:G7"/>
    <mergeCell ref="C9:G9"/>
    <mergeCell ref="C10:G10"/>
    <mergeCell ref="C11:G11"/>
    <mergeCell ref="B13:H13"/>
    <mergeCell ref="B96:D96"/>
    <mergeCell ref="B103:C103"/>
  </mergeCells>
  <hyperlinks>
    <hyperlink ref="C11" r:id="rId1"/>
  </hyperlinks>
  <pageMargins left="0.7" right="0.7" top="0.75" bottom="0.75" header="0.3" footer="0.3"/>
  <pageSetup paperSize="218" scale="5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56"/>
  <sheetViews>
    <sheetView showGridLines="0" zoomScale="85" zoomScaleNormal="85" zoomScaleSheetLayoutView="80" workbookViewId="0"/>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61" t="s">
        <v>252</v>
      </c>
      <c r="D5" s="1362"/>
      <c r="E5" s="1362"/>
      <c r="F5" s="1362"/>
      <c r="G5" s="1364"/>
      <c r="H5" s="742"/>
      <c r="I5" s="742"/>
      <c r="J5" s="742"/>
      <c r="K5" s="742"/>
    </row>
    <row r="6" spans="1:11" ht="18" customHeight="1" x14ac:dyDescent="0.3">
      <c r="A6" s="742"/>
      <c r="B6" s="733" t="s">
        <v>3</v>
      </c>
      <c r="C6" s="1365">
        <v>210027</v>
      </c>
      <c r="D6" s="1366"/>
      <c r="E6" s="1366"/>
      <c r="F6" s="1366"/>
      <c r="G6" s="1367"/>
      <c r="H6" s="742"/>
      <c r="I6" s="742"/>
      <c r="J6" s="742"/>
      <c r="K6" s="742"/>
    </row>
    <row r="7" spans="1:11" ht="18" customHeight="1" x14ac:dyDescent="0.3">
      <c r="A7" s="742"/>
      <c r="B7" s="733" t="s">
        <v>4</v>
      </c>
      <c r="C7" s="1368">
        <v>1923</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61" t="s">
        <v>628</v>
      </c>
      <c r="D9" s="1362"/>
      <c r="E9" s="1362"/>
      <c r="F9" s="1362"/>
      <c r="G9" s="1364"/>
      <c r="H9" s="742"/>
      <c r="I9" s="742"/>
      <c r="J9" s="742"/>
      <c r="K9" s="742"/>
    </row>
    <row r="10" spans="1:11" ht="18" customHeight="1" x14ac:dyDescent="0.3">
      <c r="A10" s="742"/>
      <c r="B10" s="733" t="s">
        <v>2</v>
      </c>
      <c r="C10" s="1371" t="s">
        <v>477</v>
      </c>
      <c r="D10" s="1372"/>
      <c r="E10" s="1372"/>
      <c r="F10" s="1372"/>
      <c r="G10" s="1373"/>
      <c r="H10" s="742"/>
      <c r="I10" s="742"/>
      <c r="J10" s="742"/>
      <c r="K10" s="742"/>
    </row>
    <row r="11" spans="1:11" ht="18" customHeight="1" x14ac:dyDescent="0.3">
      <c r="A11" s="742"/>
      <c r="B11" s="733" t="s">
        <v>32</v>
      </c>
      <c r="C11" s="1361" t="s">
        <v>776</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646" t="s">
        <v>73</v>
      </c>
      <c r="G18" s="646" t="s">
        <v>73</v>
      </c>
      <c r="H18" s="647">
        <v>6771794</v>
      </c>
      <c r="I18" s="673">
        <v>0</v>
      </c>
      <c r="J18" s="647">
        <v>5723503</v>
      </c>
      <c r="K18" s="648">
        <f>(H18+I18)-J18</f>
        <v>1048291</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646">
        <v>1673.5</v>
      </c>
      <c r="G21" s="646">
        <v>6950</v>
      </c>
      <c r="H21" s="647">
        <v>99996</v>
      </c>
      <c r="I21" s="673">
        <f t="shared" ref="I21:I34" si="0">H21*F$114</f>
        <v>80196.792000000001</v>
      </c>
      <c r="J21" s="647">
        <v>8702</v>
      </c>
      <c r="K21" s="648">
        <f t="shared" ref="K21:K34" si="1">(H21+I21)-J21</f>
        <v>171490.79200000002</v>
      </c>
    </row>
    <row r="22" spans="1:11" ht="18" customHeight="1" x14ac:dyDescent="0.3">
      <c r="A22" s="733" t="s">
        <v>76</v>
      </c>
      <c r="B22" s="742" t="s">
        <v>6</v>
      </c>
      <c r="C22" s="742"/>
      <c r="D22" s="742"/>
      <c r="E22" s="742"/>
      <c r="F22" s="646">
        <v>141</v>
      </c>
      <c r="G22" s="646">
        <v>321</v>
      </c>
      <c r="H22" s="647">
        <v>5181</v>
      </c>
      <c r="I22" s="673">
        <f t="shared" si="0"/>
        <v>4155.1620000000003</v>
      </c>
      <c r="J22" s="647">
        <v>0</v>
      </c>
      <c r="K22" s="648">
        <f t="shared" si="1"/>
        <v>9336.1620000000003</v>
      </c>
    </row>
    <row r="23" spans="1:11" ht="18" customHeight="1" x14ac:dyDescent="0.3">
      <c r="A23" s="733" t="s">
        <v>77</v>
      </c>
      <c r="B23" s="742" t="s">
        <v>43</v>
      </c>
      <c r="C23" s="742"/>
      <c r="D23" s="742"/>
      <c r="E23" s="742"/>
      <c r="F23" s="646">
        <v>512</v>
      </c>
      <c r="G23" s="646">
        <v>96827</v>
      </c>
      <c r="H23" s="647">
        <v>30162</v>
      </c>
      <c r="I23" s="673">
        <f t="shared" si="0"/>
        <v>24189.924000000003</v>
      </c>
      <c r="J23" s="647">
        <v>8940</v>
      </c>
      <c r="K23" s="648">
        <f t="shared" si="1"/>
        <v>45411.923999999999</v>
      </c>
    </row>
    <row r="24" spans="1:11" ht="18" customHeight="1" x14ac:dyDescent="0.3">
      <c r="A24" s="733" t="s">
        <v>78</v>
      </c>
      <c r="B24" s="742" t="s">
        <v>44</v>
      </c>
      <c r="C24" s="742"/>
      <c r="D24" s="742"/>
      <c r="E24" s="742"/>
      <c r="F24" s="646">
        <v>0</v>
      </c>
      <c r="G24" s="646">
        <v>0</v>
      </c>
      <c r="H24" s="647">
        <v>0</v>
      </c>
      <c r="I24" s="673">
        <f t="shared" si="0"/>
        <v>0</v>
      </c>
      <c r="J24" s="647">
        <v>0</v>
      </c>
      <c r="K24" s="648">
        <f t="shared" si="1"/>
        <v>0</v>
      </c>
    </row>
    <row r="25" spans="1:11" ht="18" customHeight="1" x14ac:dyDescent="0.3">
      <c r="A25" s="733" t="s">
        <v>79</v>
      </c>
      <c r="B25" s="742" t="s">
        <v>5</v>
      </c>
      <c r="C25" s="742"/>
      <c r="D25" s="742"/>
      <c r="E25" s="742"/>
      <c r="F25" s="646">
        <v>9.5</v>
      </c>
      <c r="G25" s="646">
        <v>136</v>
      </c>
      <c r="H25" s="647">
        <v>294</v>
      </c>
      <c r="I25" s="673">
        <f t="shared" si="0"/>
        <v>235.78800000000001</v>
      </c>
      <c r="J25" s="647">
        <v>0</v>
      </c>
      <c r="K25" s="648">
        <f t="shared" si="1"/>
        <v>529.78800000000001</v>
      </c>
    </row>
    <row r="26" spans="1:11" ht="18" customHeight="1" x14ac:dyDescent="0.3">
      <c r="A26" s="733" t="s">
        <v>80</v>
      </c>
      <c r="B26" s="742" t="s">
        <v>45</v>
      </c>
      <c r="C26" s="742"/>
      <c r="D26" s="742"/>
      <c r="E26" s="742"/>
      <c r="F26" s="646">
        <v>0</v>
      </c>
      <c r="G26" s="646">
        <v>0</v>
      </c>
      <c r="H26" s="647">
        <v>0</v>
      </c>
      <c r="I26" s="673">
        <f t="shared" si="0"/>
        <v>0</v>
      </c>
      <c r="J26" s="647">
        <v>0</v>
      </c>
      <c r="K26" s="648">
        <f t="shared" si="1"/>
        <v>0</v>
      </c>
    </row>
    <row r="27" spans="1:11" ht="18" customHeight="1" x14ac:dyDescent="0.3">
      <c r="A27" s="733" t="s">
        <v>81</v>
      </c>
      <c r="B27" s="742" t="s">
        <v>46</v>
      </c>
      <c r="C27" s="742"/>
      <c r="D27" s="742"/>
      <c r="E27" s="742"/>
      <c r="F27" s="646">
        <v>0</v>
      </c>
      <c r="G27" s="646">
        <v>0</v>
      </c>
      <c r="H27" s="647">
        <v>0</v>
      </c>
      <c r="I27" s="673">
        <f t="shared" si="0"/>
        <v>0</v>
      </c>
      <c r="J27" s="647">
        <v>0</v>
      </c>
      <c r="K27" s="648">
        <f t="shared" si="1"/>
        <v>0</v>
      </c>
    </row>
    <row r="28" spans="1:11" ht="18" customHeight="1" x14ac:dyDescent="0.3">
      <c r="A28" s="733" t="s">
        <v>82</v>
      </c>
      <c r="B28" s="742" t="s">
        <v>47</v>
      </c>
      <c r="C28" s="742"/>
      <c r="D28" s="742"/>
      <c r="E28" s="742"/>
      <c r="F28" s="646">
        <v>0</v>
      </c>
      <c r="G28" s="646">
        <v>0</v>
      </c>
      <c r="H28" s="647">
        <v>0</v>
      </c>
      <c r="I28" s="673">
        <f t="shared" si="0"/>
        <v>0</v>
      </c>
      <c r="J28" s="647">
        <v>0</v>
      </c>
      <c r="K28" s="648">
        <f t="shared" si="1"/>
        <v>0</v>
      </c>
    </row>
    <row r="29" spans="1:11" ht="18" customHeight="1" x14ac:dyDescent="0.3">
      <c r="A29" s="733" t="s">
        <v>83</v>
      </c>
      <c r="B29" s="742" t="s">
        <v>48</v>
      </c>
      <c r="C29" s="742"/>
      <c r="D29" s="742"/>
      <c r="E29" s="742"/>
      <c r="F29" s="646">
        <v>10946</v>
      </c>
      <c r="G29" s="646">
        <v>9341</v>
      </c>
      <c r="H29" s="647">
        <v>465883</v>
      </c>
      <c r="I29" s="673">
        <f t="shared" si="0"/>
        <v>373638.16600000003</v>
      </c>
      <c r="J29" s="647">
        <v>0</v>
      </c>
      <c r="K29" s="648">
        <f t="shared" si="1"/>
        <v>839521.16599999997</v>
      </c>
    </row>
    <row r="30" spans="1:11" ht="18" customHeight="1" x14ac:dyDescent="0.3">
      <c r="A30" s="733" t="s">
        <v>84</v>
      </c>
      <c r="B30" s="1351" t="s">
        <v>777</v>
      </c>
      <c r="C30" s="1352"/>
      <c r="D30" s="1353"/>
      <c r="E30" s="742"/>
      <c r="F30" s="646">
        <v>0</v>
      </c>
      <c r="G30" s="646">
        <v>0</v>
      </c>
      <c r="H30" s="647">
        <v>81320</v>
      </c>
      <c r="I30" s="673">
        <f t="shared" si="0"/>
        <v>65218.640000000007</v>
      </c>
      <c r="J30" s="647">
        <v>0</v>
      </c>
      <c r="K30" s="648">
        <f t="shared" si="1"/>
        <v>146538.64000000001</v>
      </c>
    </row>
    <row r="31" spans="1:11" ht="18" customHeight="1" x14ac:dyDescent="0.3">
      <c r="A31" s="733" t="s">
        <v>133</v>
      </c>
      <c r="B31" s="1351"/>
      <c r="C31" s="1352"/>
      <c r="D31" s="1353"/>
      <c r="E31" s="742"/>
      <c r="F31" s="646">
        <v>0</v>
      </c>
      <c r="G31" s="646">
        <v>0</v>
      </c>
      <c r="H31" s="647">
        <v>0</v>
      </c>
      <c r="I31" s="673">
        <v>0</v>
      </c>
      <c r="J31" s="647">
        <v>0</v>
      </c>
      <c r="K31" s="648">
        <f t="shared" si="1"/>
        <v>0</v>
      </c>
    </row>
    <row r="32" spans="1:11" ht="18" customHeight="1" x14ac:dyDescent="0.3">
      <c r="A32" s="733" t="s">
        <v>134</v>
      </c>
      <c r="B32" s="909"/>
      <c r="C32" s="910"/>
      <c r="D32" s="911"/>
      <c r="E32" s="742"/>
      <c r="F32" s="646">
        <v>0</v>
      </c>
      <c r="G32" s="646">
        <v>0</v>
      </c>
      <c r="H32" s="647">
        <v>0</v>
      </c>
      <c r="I32" s="673">
        <f t="shared" si="0"/>
        <v>0</v>
      </c>
      <c r="J32" s="647">
        <v>0</v>
      </c>
      <c r="K32" s="648">
        <f t="shared" si="1"/>
        <v>0</v>
      </c>
    </row>
    <row r="33" spans="1:11" ht="18" customHeight="1" x14ac:dyDescent="0.3">
      <c r="A33" s="733" t="s">
        <v>135</v>
      </c>
      <c r="B33" s="909"/>
      <c r="C33" s="910"/>
      <c r="D33" s="911"/>
      <c r="E33" s="742"/>
      <c r="F33" s="646">
        <v>0</v>
      </c>
      <c r="G33" s="646">
        <v>0</v>
      </c>
      <c r="H33" s="647">
        <v>0</v>
      </c>
      <c r="I33" s="673">
        <f t="shared" si="0"/>
        <v>0</v>
      </c>
      <c r="J33" s="647">
        <v>0</v>
      </c>
      <c r="K33" s="648">
        <f t="shared" si="1"/>
        <v>0</v>
      </c>
    </row>
    <row r="34" spans="1:11" ht="18" customHeight="1" x14ac:dyDescent="0.3">
      <c r="A34" s="733" t="s">
        <v>136</v>
      </c>
      <c r="B34" s="1351"/>
      <c r="C34" s="1352"/>
      <c r="D34" s="1353"/>
      <c r="E34" s="742"/>
      <c r="F34" s="646">
        <v>0</v>
      </c>
      <c r="G34" s="646">
        <v>0</v>
      </c>
      <c r="H34" s="647">
        <v>0</v>
      </c>
      <c r="I34" s="673">
        <f t="shared" si="0"/>
        <v>0</v>
      </c>
      <c r="J34" s="647">
        <v>0</v>
      </c>
      <c r="K34" s="648">
        <f t="shared" si="1"/>
        <v>0</v>
      </c>
    </row>
    <row r="35" spans="1:11" ht="18" customHeight="1" x14ac:dyDescent="0.25">
      <c r="A35" s="742"/>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13282</v>
      </c>
      <c r="G36" s="650">
        <f t="shared" si="2"/>
        <v>113575</v>
      </c>
      <c r="H36" s="650">
        <f t="shared" si="2"/>
        <v>682836</v>
      </c>
      <c r="I36" s="648">
        <f t="shared" si="2"/>
        <v>547634.47200000007</v>
      </c>
      <c r="J36" s="648">
        <f t="shared" si="2"/>
        <v>17642</v>
      </c>
      <c r="K36" s="648">
        <f t="shared" si="2"/>
        <v>1212828.4720000001</v>
      </c>
    </row>
    <row r="37" spans="1:11" ht="18" customHeight="1" thickBot="1" x14ac:dyDescent="0.35">
      <c r="A37" s="742"/>
      <c r="B37" s="636"/>
      <c r="C37" s="742"/>
      <c r="D37" s="742"/>
      <c r="E37" s="742"/>
      <c r="F37" s="651"/>
      <c r="G37" s="651"/>
      <c r="H37" s="652"/>
      <c r="I37" s="652"/>
      <c r="J37" s="652"/>
      <c r="K37" s="668"/>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646">
        <v>6250</v>
      </c>
      <c r="G40" s="646">
        <v>25000</v>
      </c>
      <c r="H40" s="647">
        <v>856250</v>
      </c>
      <c r="I40" s="673">
        <v>0</v>
      </c>
      <c r="J40" s="647">
        <v>0</v>
      </c>
      <c r="K40" s="648">
        <f t="shared" ref="K40:K47" si="3">(H40+I40)-J40</f>
        <v>856250</v>
      </c>
    </row>
    <row r="41" spans="1:11" ht="18" customHeight="1" x14ac:dyDescent="0.3">
      <c r="A41" s="733" t="s">
        <v>88</v>
      </c>
      <c r="B41" s="1359" t="s">
        <v>50</v>
      </c>
      <c r="C41" s="1359"/>
      <c r="D41" s="742"/>
      <c r="E41" s="742"/>
      <c r="F41" s="646">
        <v>3627</v>
      </c>
      <c r="G41" s="646">
        <v>23576</v>
      </c>
      <c r="H41" s="647">
        <v>173915</v>
      </c>
      <c r="I41" s="673">
        <v>0</v>
      </c>
      <c r="J41" s="647">
        <v>0</v>
      </c>
      <c r="K41" s="648">
        <f t="shared" si="3"/>
        <v>173915</v>
      </c>
    </row>
    <row r="42" spans="1:11" ht="18" customHeight="1" x14ac:dyDescent="0.3">
      <c r="A42" s="733" t="s">
        <v>89</v>
      </c>
      <c r="B42" s="635" t="s">
        <v>11</v>
      </c>
      <c r="C42" s="742"/>
      <c r="D42" s="742"/>
      <c r="E42" s="742"/>
      <c r="F42" s="646">
        <v>7934</v>
      </c>
      <c r="G42" s="646">
        <v>34481</v>
      </c>
      <c r="H42" s="647">
        <v>253814</v>
      </c>
      <c r="I42" s="673">
        <v>0</v>
      </c>
      <c r="J42" s="647">
        <v>0</v>
      </c>
      <c r="K42" s="648">
        <f t="shared" si="3"/>
        <v>253814</v>
      </c>
    </row>
    <row r="43" spans="1:11" ht="18" customHeight="1" x14ac:dyDescent="0.3">
      <c r="A43" s="733" t="s">
        <v>90</v>
      </c>
      <c r="B43" s="670" t="s">
        <v>10</v>
      </c>
      <c r="C43" s="642"/>
      <c r="D43" s="642"/>
      <c r="E43" s="742"/>
      <c r="F43" s="646">
        <v>0</v>
      </c>
      <c r="G43" s="646">
        <v>0</v>
      </c>
      <c r="H43" s="647">
        <v>0</v>
      </c>
      <c r="I43" s="673">
        <v>0</v>
      </c>
      <c r="J43" s="647">
        <v>0</v>
      </c>
      <c r="K43" s="648">
        <f t="shared" si="3"/>
        <v>0</v>
      </c>
    </row>
    <row r="44" spans="1:11" ht="18" customHeight="1" x14ac:dyDescent="0.3">
      <c r="A44" s="733" t="s">
        <v>91</v>
      </c>
      <c r="B44" s="1351"/>
      <c r="C44" s="1352"/>
      <c r="D44" s="1353"/>
      <c r="E44" s="742"/>
      <c r="F44" s="677">
        <v>0</v>
      </c>
      <c r="G44" s="677">
        <v>0</v>
      </c>
      <c r="H44" s="677">
        <v>0</v>
      </c>
      <c r="I44" s="678">
        <v>0</v>
      </c>
      <c r="J44" s="677">
        <v>0</v>
      </c>
      <c r="K44" s="679">
        <f t="shared" si="3"/>
        <v>0</v>
      </c>
    </row>
    <row r="45" spans="1:11" ht="18" customHeight="1" x14ac:dyDescent="0.3">
      <c r="A45" s="733" t="s">
        <v>139</v>
      </c>
      <c r="B45" s="1351"/>
      <c r="C45" s="1352"/>
      <c r="D45" s="1353"/>
      <c r="E45" s="742"/>
      <c r="F45" s="646">
        <v>0</v>
      </c>
      <c r="G45" s="646">
        <v>0</v>
      </c>
      <c r="H45" s="647">
        <v>0</v>
      </c>
      <c r="I45" s="673">
        <v>0</v>
      </c>
      <c r="J45" s="647">
        <v>0</v>
      </c>
      <c r="K45" s="648">
        <f t="shared" si="3"/>
        <v>0</v>
      </c>
    </row>
    <row r="46" spans="1:11" ht="18" customHeight="1" x14ac:dyDescent="0.3">
      <c r="A46" s="733" t="s">
        <v>140</v>
      </c>
      <c r="B46" s="1351"/>
      <c r="C46" s="1352"/>
      <c r="D46" s="1353"/>
      <c r="E46" s="742"/>
      <c r="F46" s="646">
        <v>0</v>
      </c>
      <c r="G46" s="646">
        <v>0</v>
      </c>
      <c r="H46" s="647">
        <v>0</v>
      </c>
      <c r="I46" s="673">
        <v>0</v>
      </c>
      <c r="J46" s="647">
        <v>0</v>
      </c>
      <c r="K46" s="648">
        <f t="shared" si="3"/>
        <v>0</v>
      </c>
    </row>
    <row r="47" spans="1:11" ht="18" customHeight="1" x14ac:dyDescent="0.3">
      <c r="A47" s="733" t="s">
        <v>141</v>
      </c>
      <c r="B47" s="1351"/>
      <c r="C47" s="1352"/>
      <c r="D47" s="1353"/>
      <c r="E47" s="742"/>
      <c r="F47" s="646">
        <v>0</v>
      </c>
      <c r="G47" s="646">
        <v>0</v>
      </c>
      <c r="H47" s="647">
        <v>0</v>
      </c>
      <c r="I47" s="673">
        <v>0</v>
      </c>
      <c r="J47" s="647">
        <v>0</v>
      </c>
      <c r="K47" s="648">
        <f t="shared" si="3"/>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17811</v>
      </c>
      <c r="G49" s="654">
        <f t="shared" si="4"/>
        <v>83057</v>
      </c>
      <c r="H49" s="648">
        <f t="shared" si="4"/>
        <v>1283979</v>
      </c>
      <c r="I49" s="648">
        <f t="shared" si="4"/>
        <v>0</v>
      </c>
      <c r="J49" s="648">
        <f t="shared" si="4"/>
        <v>0</v>
      </c>
      <c r="K49" s="648">
        <f t="shared" si="4"/>
        <v>1283979</v>
      </c>
    </row>
    <row r="50" spans="1:11" ht="18" customHeight="1" thickBot="1" x14ac:dyDescent="0.3">
      <c r="A50" s="742"/>
      <c r="B50" s="742"/>
      <c r="C50" s="742"/>
      <c r="D50" s="742"/>
      <c r="E50" s="742"/>
      <c r="F50" s="742"/>
      <c r="G50" s="655"/>
      <c r="H50" s="655"/>
      <c r="I50" s="655"/>
      <c r="J50" s="655"/>
      <c r="K50" s="655"/>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912" t="s">
        <v>778</v>
      </c>
      <c r="C53" s="913"/>
      <c r="D53" s="914"/>
      <c r="E53" s="742"/>
      <c r="F53" s="646">
        <v>25446</v>
      </c>
      <c r="G53" s="646">
        <v>20584</v>
      </c>
      <c r="H53" s="647">
        <v>3259766</v>
      </c>
      <c r="I53" s="673">
        <v>1250471</v>
      </c>
      <c r="J53" s="647">
        <v>3070021</v>
      </c>
      <c r="K53" s="648">
        <f t="shared" ref="K53:K62" si="5">(H53+I53)-J53</f>
        <v>1440216</v>
      </c>
    </row>
    <row r="54" spans="1:11" ht="18" customHeight="1" x14ac:dyDescent="0.3">
      <c r="A54" s="733" t="s">
        <v>93</v>
      </c>
      <c r="B54" s="912" t="s">
        <v>287</v>
      </c>
      <c r="C54" s="913"/>
      <c r="D54" s="914"/>
      <c r="E54" s="742"/>
      <c r="F54" s="646">
        <v>32360</v>
      </c>
      <c r="G54" s="646">
        <v>11187</v>
      </c>
      <c r="H54" s="647">
        <v>2124561</v>
      </c>
      <c r="I54" s="673">
        <v>1320363</v>
      </c>
      <c r="J54" s="647">
        <v>1982176</v>
      </c>
      <c r="K54" s="648">
        <f t="shared" si="5"/>
        <v>1462748</v>
      </c>
    </row>
    <row r="55" spans="1:11" ht="18" customHeight="1" x14ac:dyDescent="0.3">
      <c r="A55" s="733" t="s">
        <v>94</v>
      </c>
      <c r="B55" s="912" t="s">
        <v>409</v>
      </c>
      <c r="C55" s="913"/>
      <c r="D55" s="914"/>
      <c r="E55" s="742"/>
      <c r="F55" s="646">
        <v>1292</v>
      </c>
      <c r="G55" s="646">
        <v>7573</v>
      </c>
      <c r="H55" s="647">
        <v>3290304</v>
      </c>
      <c r="I55" s="673">
        <v>2639641</v>
      </c>
      <c r="J55" s="647">
        <v>0</v>
      </c>
      <c r="K55" s="648">
        <f t="shared" si="5"/>
        <v>5929945</v>
      </c>
    </row>
    <row r="56" spans="1:11" ht="18" customHeight="1" x14ac:dyDescent="0.3">
      <c r="A56" s="733" t="s">
        <v>95</v>
      </c>
      <c r="B56" s="912" t="s">
        <v>478</v>
      </c>
      <c r="C56" s="913"/>
      <c r="D56" s="914"/>
      <c r="E56" s="742"/>
      <c r="F56" s="646">
        <v>13203</v>
      </c>
      <c r="G56" s="646">
        <v>11615</v>
      </c>
      <c r="H56" s="647">
        <v>2540516</v>
      </c>
      <c r="I56" s="673">
        <v>1542902</v>
      </c>
      <c r="J56" s="647">
        <v>1610224</v>
      </c>
      <c r="K56" s="648">
        <f t="shared" si="5"/>
        <v>2473194</v>
      </c>
    </row>
    <row r="57" spans="1:11" ht="18" customHeight="1" x14ac:dyDescent="0.3">
      <c r="A57" s="733" t="s">
        <v>96</v>
      </c>
      <c r="B57" s="912" t="s">
        <v>479</v>
      </c>
      <c r="C57" s="913"/>
      <c r="D57" s="914"/>
      <c r="E57" s="742"/>
      <c r="F57" s="646">
        <v>35600</v>
      </c>
      <c r="G57" s="646">
        <v>18746</v>
      </c>
      <c r="H57" s="647">
        <v>5066831</v>
      </c>
      <c r="I57" s="673">
        <v>2568832</v>
      </c>
      <c r="J57" s="647">
        <v>4606271</v>
      </c>
      <c r="K57" s="648">
        <f t="shared" si="5"/>
        <v>3029392</v>
      </c>
    </row>
    <row r="58" spans="1:11" ht="18" customHeight="1" x14ac:dyDescent="0.3">
      <c r="A58" s="733" t="s">
        <v>97</v>
      </c>
      <c r="B58" s="912" t="s">
        <v>480</v>
      </c>
      <c r="C58" s="913"/>
      <c r="D58" s="914"/>
      <c r="E58" s="742"/>
      <c r="F58" s="646">
        <v>57372</v>
      </c>
      <c r="G58" s="646">
        <v>30050</v>
      </c>
      <c r="H58" s="647">
        <v>6172252</v>
      </c>
      <c r="I58" s="673">
        <v>2702634</v>
      </c>
      <c r="J58" s="647">
        <v>4919861</v>
      </c>
      <c r="K58" s="648">
        <f t="shared" si="5"/>
        <v>3955025</v>
      </c>
    </row>
    <row r="59" spans="1:11" ht="18" customHeight="1" x14ac:dyDescent="0.3">
      <c r="A59" s="733" t="s">
        <v>98</v>
      </c>
      <c r="B59" s="912" t="s">
        <v>481</v>
      </c>
      <c r="C59" s="913"/>
      <c r="D59" s="914"/>
      <c r="E59" s="742"/>
      <c r="F59" s="646">
        <v>55666</v>
      </c>
      <c r="G59" s="646">
        <v>20063</v>
      </c>
      <c r="H59" s="647">
        <v>13095587</v>
      </c>
      <c r="I59" s="673">
        <v>3140879</v>
      </c>
      <c r="J59" s="647">
        <v>11359241</v>
      </c>
      <c r="K59" s="648">
        <f t="shared" si="5"/>
        <v>4877225</v>
      </c>
    </row>
    <row r="60" spans="1:11" ht="18" customHeight="1" x14ac:dyDescent="0.3">
      <c r="A60" s="733" t="s">
        <v>99</v>
      </c>
      <c r="B60" s="912"/>
      <c r="C60" s="913"/>
      <c r="D60" s="914"/>
      <c r="E60" s="742"/>
      <c r="F60" s="646">
        <v>0</v>
      </c>
      <c r="G60" s="646">
        <v>0</v>
      </c>
      <c r="H60" s="647">
        <v>0</v>
      </c>
      <c r="I60" s="673">
        <v>0</v>
      </c>
      <c r="J60" s="647">
        <v>0</v>
      </c>
      <c r="K60" s="648">
        <f t="shared" si="5"/>
        <v>0</v>
      </c>
    </row>
    <row r="61" spans="1:11" ht="18" customHeight="1" x14ac:dyDescent="0.3">
      <c r="A61" s="733" t="s">
        <v>100</v>
      </c>
      <c r="B61" s="912" t="s">
        <v>779</v>
      </c>
      <c r="C61" s="913"/>
      <c r="D61" s="914"/>
      <c r="E61" s="742"/>
      <c r="F61" s="646">
        <v>2112</v>
      </c>
      <c r="G61" s="646">
        <v>45</v>
      </c>
      <c r="H61" s="647">
        <v>223513</v>
      </c>
      <c r="I61" s="673">
        <v>179257</v>
      </c>
      <c r="J61" s="647">
        <v>223513</v>
      </c>
      <c r="K61" s="648">
        <f t="shared" si="5"/>
        <v>179257</v>
      </c>
    </row>
    <row r="62" spans="1:11" ht="18" customHeight="1" x14ac:dyDescent="0.3">
      <c r="A62" s="733" t="s">
        <v>101</v>
      </c>
      <c r="B62" s="912" t="s">
        <v>482</v>
      </c>
      <c r="C62" s="913"/>
      <c r="D62" s="914"/>
      <c r="E62" s="742"/>
      <c r="F62" s="646">
        <v>40509</v>
      </c>
      <c r="G62" s="646">
        <v>9719</v>
      </c>
      <c r="H62" s="647">
        <v>1845119</v>
      </c>
      <c r="I62" s="673">
        <v>1479785</v>
      </c>
      <c r="J62" s="647">
        <v>411567</v>
      </c>
      <c r="K62" s="648">
        <f t="shared" si="5"/>
        <v>2913337</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6">SUM(F53:F62)</f>
        <v>263560</v>
      </c>
      <c r="G64" s="650">
        <f t="shared" si="6"/>
        <v>129582</v>
      </c>
      <c r="H64" s="648">
        <f t="shared" si="6"/>
        <v>37618449</v>
      </c>
      <c r="I64" s="648">
        <f t="shared" si="6"/>
        <v>16824764</v>
      </c>
      <c r="J64" s="648">
        <f t="shared" si="6"/>
        <v>28182874</v>
      </c>
      <c r="K64" s="648">
        <f t="shared" si="6"/>
        <v>26260339</v>
      </c>
    </row>
    <row r="65" spans="1:11" ht="18" customHeight="1" x14ac:dyDescent="0.25">
      <c r="A65" s="742"/>
      <c r="B65" s="742"/>
      <c r="C65" s="742"/>
      <c r="D65" s="742"/>
      <c r="E65" s="742"/>
      <c r="F65" s="671"/>
      <c r="G65" s="671"/>
      <c r="H65" s="671"/>
      <c r="I65" s="671"/>
      <c r="J65" s="671"/>
      <c r="K65" s="671"/>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674">
        <v>0</v>
      </c>
      <c r="G68" s="674">
        <v>0</v>
      </c>
      <c r="H68" s="674">
        <v>0</v>
      </c>
      <c r="I68" s="673">
        <v>0</v>
      </c>
      <c r="J68" s="674">
        <v>0</v>
      </c>
      <c r="K68" s="648">
        <f>(H68+I68)-J68</f>
        <v>0</v>
      </c>
    </row>
    <row r="69" spans="1:11" ht="18" customHeight="1" x14ac:dyDescent="0.3">
      <c r="A69" s="733" t="s">
        <v>104</v>
      </c>
      <c r="B69" s="635" t="s">
        <v>53</v>
      </c>
      <c r="C69" s="742"/>
      <c r="D69" s="742"/>
      <c r="E69" s="742"/>
      <c r="F69" s="674">
        <v>0</v>
      </c>
      <c r="G69" s="674">
        <v>0</v>
      </c>
      <c r="H69" s="674">
        <v>0</v>
      </c>
      <c r="I69" s="673">
        <v>0</v>
      </c>
      <c r="J69" s="674">
        <v>0</v>
      </c>
      <c r="K69" s="648">
        <f>(H69+I69)-J69</f>
        <v>0</v>
      </c>
    </row>
    <row r="70" spans="1:11" ht="18" customHeight="1" x14ac:dyDescent="0.3">
      <c r="A70" s="733" t="s">
        <v>178</v>
      </c>
      <c r="B70" s="912"/>
      <c r="C70" s="913"/>
      <c r="D70" s="914"/>
      <c r="E70" s="636"/>
      <c r="F70" s="658">
        <v>0</v>
      </c>
      <c r="G70" s="658">
        <v>0</v>
      </c>
      <c r="H70" s="659">
        <v>0</v>
      </c>
      <c r="I70" s="673">
        <v>0</v>
      </c>
      <c r="J70" s="659">
        <v>0</v>
      </c>
      <c r="K70" s="648">
        <f>(H70+I70)-J70</f>
        <v>0</v>
      </c>
    </row>
    <row r="71" spans="1:11" ht="18" customHeight="1" x14ac:dyDescent="0.3">
      <c r="A71" s="733" t="s">
        <v>179</v>
      </c>
      <c r="B71" s="912"/>
      <c r="C71" s="913"/>
      <c r="D71" s="914"/>
      <c r="E71" s="636"/>
      <c r="F71" s="658">
        <v>0</v>
      </c>
      <c r="G71" s="658">
        <v>0</v>
      </c>
      <c r="H71" s="659">
        <v>0</v>
      </c>
      <c r="I71" s="673">
        <v>0</v>
      </c>
      <c r="J71" s="659">
        <v>0</v>
      </c>
      <c r="K71" s="648">
        <f>(H71+I71)-J71</f>
        <v>0</v>
      </c>
    </row>
    <row r="72" spans="1:11" ht="18" customHeight="1" x14ac:dyDescent="0.3">
      <c r="A72" s="733" t="s">
        <v>180</v>
      </c>
      <c r="B72" s="930"/>
      <c r="C72" s="929"/>
      <c r="D72" s="657"/>
      <c r="E72" s="636"/>
      <c r="F72" s="646">
        <v>0</v>
      </c>
      <c r="G72" s="646">
        <v>0</v>
      </c>
      <c r="H72" s="647">
        <v>0</v>
      </c>
      <c r="I72" s="673">
        <v>0</v>
      </c>
      <c r="J72" s="647">
        <v>0</v>
      </c>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646">
        <v>0</v>
      </c>
      <c r="G77" s="646">
        <v>0</v>
      </c>
      <c r="H77" s="647">
        <v>84576</v>
      </c>
      <c r="I77" s="673">
        <v>0</v>
      </c>
      <c r="J77" s="647">
        <v>0</v>
      </c>
      <c r="K77" s="648">
        <f>(H77+I77)-J77</f>
        <v>84576</v>
      </c>
    </row>
    <row r="78" spans="1:11" ht="18" customHeight="1" x14ac:dyDescent="0.3">
      <c r="A78" s="733" t="s">
        <v>108</v>
      </c>
      <c r="B78" s="635" t="s">
        <v>55</v>
      </c>
      <c r="C78" s="742"/>
      <c r="D78" s="742"/>
      <c r="E78" s="742"/>
      <c r="F78" s="646">
        <v>0</v>
      </c>
      <c r="G78" s="646">
        <v>0</v>
      </c>
      <c r="H78" s="647">
        <v>0</v>
      </c>
      <c r="I78" s="673">
        <v>0</v>
      </c>
      <c r="J78" s="647">
        <v>0</v>
      </c>
      <c r="K78" s="648">
        <f>(H78+I78)-J78</f>
        <v>0</v>
      </c>
    </row>
    <row r="79" spans="1:11" ht="18" customHeight="1" x14ac:dyDescent="0.3">
      <c r="A79" s="733" t="s">
        <v>109</v>
      </c>
      <c r="B79" s="635" t="s">
        <v>13</v>
      </c>
      <c r="C79" s="742"/>
      <c r="D79" s="742"/>
      <c r="E79" s="742"/>
      <c r="F79" s="646">
        <v>1155</v>
      </c>
      <c r="G79" s="646">
        <v>2598</v>
      </c>
      <c r="H79" s="647">
        <v>229319</v>
      </c>
      <c r="I79" s="673">
        <v>0</v>
      </c>
      <c r="J79" s="647">
        <v>19500</v>
      </c>
      <c r="K79" s="648">
        <f>(H79+I79)-J79</f>
        <v>209819</v>
      </c>
    </row>
    <row r="80" spans="1:11" ht="18" customHeight="1" x14ac:dyDescent="0.3">
      <c r="A80" s="733" t="s">
        <v>110</v>
      </c>
      <c r="B80" s="635" t="s">
        <v>56</v>
      </c>
      <c r="C80" s="742"/>
      <c r="D80" s="742"/>
      <c r="E80" s="742"/>
      <c r="F80" s="646">
        <v>0</v>
      </c>
      <c r="G80" s="646">
        <v>0</v>
      </c>
      <c r="H80" s="647">
        <v>0</v>
      </c>
      <c r="I80" s="673">
        <v>0</v>
      </c>
      <c r="J80" s="647">
        <v>0</v>
      </c>
      <c r="K80" s="648">
        <f>(H80+I80)-J80</f>
        <v>0</v>
      </c>
    </row>
    <row r="81" spans="1:11" ht="18" customHeight="1" x14ac:dyDescent="0.3">
      <c r="A81" s="733"/>
      <c r="B81" s="742"/>
      <c r="C81" s="742"/>
      <c r="D81" s="742"/>
      <c r="E81" s="742"/>
      <c r="F81" s="742"/>
      <c r="G81" s="742"/>
      <c r="H81" s="742"/>
      <c r="I81" s="742"/>
      <c r="J81" s="742"/>
      <c r="K81" s="663"/>
    </row>
    <row r="82" spans="1:11" ht="18" customHeight="1" x14ac:dyDescent="0.3">
      <c r="A82" s="733" t="s">
        <v>148</v>
      </c>
      <c r="B82" s="636" t="s">
        <v>149</v>
      </c>
      <c r="C82" s="742"/>
      <c r="D82" s="742"/>
      <c r="E82" s="636" t="s">
        <v>7</v>
      </c>
      <c r="F82" s="653">
        <f t="shared" ref="F82:K82" si="8">SUM(F77:F80)</f>
        <v>1155</v>
      </c>
      <c r="G82" s="653">
        <f t="shared" si="8"/>
        <v>2598</v>
      </c>
      <c r="H82" s="649">
        <f t="shared" si="8"/>
        <v>313895</v>
      </c>
      <c r="I82" s="649">
        <f t="shared" si="8"/>
        <v>0</v>
      </c>
      <c r="J82" s="649">
        <f t="shared" si="8"/>
        <v>19500</v>
      </c>
      <c r="K82" s="649">
        <f t="shared" si="8"/>
        <v>294395</v>
      </c>
    </row>
    <row r="83" spans="1:11" ht="18" customHeight="1" thickBot="1" x14ac:dyDescent="0.35">
      <c r="A83" s="733"/>
      <c r="B83" s="742"/>
      <c r="C83" s="742"/>
      <c r="D83" s="742"/>
      <c r="E83" s="742"/>
      <c r="F83" s="655"/>
      <c r="G83" s="655"/>
      <c r="H83" s="655"/>
      <c r="I83" s="655"/>
      <c r="J83" s="655"/>
      <c r="K83" s="655"/>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646">
        <v>0</v>
      </c>
      <c r="G86" s="646">
        <v>0</v>
      </c>
      <c r="H86" s="647">
        <v>0</v>
      </c>
      <c r="I86" s="673">
        <f t="shared" ref="I86:J96" si="9">H86*F$114</f>
        <v>0</v>
      </c>
      <c r="J86" s="647">
        <v>0</v>
      </c>
      <c r="K86" s="648">
        <f t="shared" ref="K86:K96" si="10">(H86+I86)-J86</f>
        <v>0</v>
      </c>
    </row>
    <row r="87" spans="1:11" ht="18" customHeight="1" x14ac:dyDescent="0.3">
      <c r="A87" s="733" t="s">
        <v>114</v>
      </c>
      <c r="B87" s="635" t="s">
        <v>14</v>
      </c>
      <c r="C87" s="742"/>
      <c r="D87" s="742"/>
      <c r="E87" s="742"/>
      <c r="F87" s="646">
        <v>0</v>
      </c>
      <c r="G87" s="646">
        <v>0</v>
      </c>
      <c r="H87" s="647">
        <v>0</v>
      </c>
      <c r="I87" s="673">
        <v>0</v>
      </c>
      <c r="J87" s="647">
        <v>0</v>
      </c>
      <c r="K87" s="648">
        <f t="shared" si="10"/>
        <v>0</v>
      </c>
    </row>
    <row r="88" spans="1:11" ht="18" customHeight="1" x14ac:dyDescent="0.3">
      <c r="A88" s="733" t="s">
        <v>115</v>
      </c>
      <c r="B88" s="635" t="s">
        <v>116</v>
      </c>
      <c r="C88" s="742"/>
      <c r="D88" s="742"/>
      <c r="E88" s="742"/>
      <c r="F88" s="646">
        <v>104</v>
      </c>
      <c r="G88" s="646">
        <v>0</v>
      </c>
      <c r="H88" s="647">
        <v>6537</v>
      </c>
      <c r="I88" s="673">
        <f t="shared" si="9"/>
        <v>5242.674</v>
      </c>
      <c r="J88" s="647">
        <v>30000</v>
      </c>
      <c r="K88" s="648">
        <f t="shared" si="10"/>
        <v>-18220.326000000001</v>
      </c>
    </row>
    <row r="89" spans="1:11" ht="18" customHeight="1" x14ac:dyDescent="0.3">
      <c r="A89" s="733" t="s">
        <v>117</v>
      </c>
      <c r="B89" s="635" t="s">
        <v>58</v>
      </c>
      <c r="C89" s="742"/>
      <c r="D89" s="742"/>
      <c r="E89" s="742"/>
      <c r="F89" s="646">
        <f t="shared" ref="F89:H90" si="11">E89*C$114</f>
        <v>0</v>
      </c>
      <c r="G89" s="646">
        <f t="shared" si="11"/>
        <v>0</v>
      </c>
      <c r="H89" s="647">
        <f t="shared" si="11"/>
        <v>0</v>
      </c>
      <c r="I89" s="673">
        <f t="shared" si="9"/>
        <v>0</v>
      </c>
      <c r="J89" s="647">
        <f t="shared" si="9"/>
        <v>0</v>
      </c>
      <c r="K89" s="648">
        <f t="shared" si="10"/>
        <v>0</v>
      </c>
    </row>
    <row r="90" spans="1:11" ht="18" customHeight="1" x14ac:dyDescent="0.3">
      <c r="A90" s="733" t="s">
        <v>118</v>
      </c>
      <c r="B90" s="1359" t="s">
        <v>59</v>
      </c>
      <c r="C90" s="1359"/>
      <c r="D90" s="742"/>
      <c r="E90" s="742"/>
      <c r="F90" s="646">
        <f t="shared" si="11"/>
        <v>0</v>
      </c>
      <c r="G90" s="646">
        <f t="shared" si="11"/>
        <v>0</v>
      </c>
      <c r="H90" s="647">
        <f t="shared" si="11"/>
        <v>0</v>
      </c>
      <c r="I90" s="673">
        <f t="shared" si="9"/>
        <v>0</v>
      </c>
      <c r="J90" s="647">
        <f t="shared" si="9"/>
        <v>0</v>
      </c>
      <c r="K90" s="648">
        <f t="shared" si="10"/>
        <v>0</v>
      </c>
    </row>
    <row r="91" spans="1:11" ht="18" customHeight="1" x14ac:dyDescent="0.3">
      <c r="A91" s="733" t="s">
        <v>119</v>
      </c>
      <c r="B91" s="635" t="s">
        <v>60</v>
      </c>
      <c r="C91" s="742"/>
      <c r="D91" s="742"/>
      <c r="E91" s="742"/>
      <c r="F91" s="646">
        <v>1608.5</v>
      </c>
      <c r="G91" s="646">
        <v>0</v>
      </c>
      <c r="H91" s="647">
        <v>76796</v>
      </c>
      <c r="I91" s="673">
        <f t="shared" si="9"/>
        <v>61590.392000000007</v>
      </c>
      <c r="J91" s="647">
        <v>0</v>
      </c>
      <c r="K91" s="648">
        <f t="shared" si="10"/>
        <v>138386.39199999999</v>
      </c>
    </row>
    <row r="92" spans="1:11" ht="18" customHeight="1" x14ac:dyDescent="0.3">
      <c r="A92" s="733" t="s">
        <v>120</v>
      </c>
      <c r="B92" s="635" t="s">
        <v>121</v>
      </c>
      <c r="C92" s="742"/>
      <c r="D92" s="742"/>
      <c r="E92" s="742"/>
      <c r="F92" s="661">
        <v>0</v>
      </c>
      <c r="G92" s="661">
        <v>0</v>
      </c>
      <c r="H92" s="662">
        <v>0</v>
      </c>
      <c r="I92" s="673">
        <f t="shared" si="9"/>
        <v>0</v>
      </c>
      <c r="J92" s="662">
        <v>0</v>
      </c>
      <c r="K92" s="648">
        <f t="shared" si="10"/>
        <v>0</v>
      </c>
    </row>
    <row r="93" spans="1:11" ht="18" customHeight="1" x14ac:dyDescent="0.3">
      <c r="A93" s="733" t="s">
        <v>122</v>
      </c>
      <c r="B93" s="635" t="s">
        <v>123</v>
      </c>
      <c r="C93" s="742"/>
      <c r="D93" s="742"/>
      <c r="E93" s="742"/>
      <c r="F93" s="646">
        <v>2080</v>
      </c>
      <c r="G93" s="646">
        <v>0</v>
      </c>
      <c r="H93" s="647">
        <v>521980</v>
      </c>
      <c r="I93" s="673">
        <f t="shared" si="9"/>
        <v>418627.96</v>
      </c>
      <c r="J93" s="647">
        <v>0</v>
      </c>
      <c r="K93" s="648">
        <f t="shared" si="10"/>
        <v>940607.96</v>
      </c>
    </row>
    <row r="94" spans="1:11" ht="18" customHeight="1" x14ac:dyDescent="0.3">
      <c r="A94" s="733" t="s">
        <v>124</v>
      </c>
      <c r="B94" s="1354"/>
      <c r="C94" s="1355"/>
      <c r="D94" s="1356"/>
      <c r="E94" s="742"/>
      <c r="F94" s="646">
        <f t="shared" ref="F94:H95" si="12">E94*C$114</f>
        <v>0</v>
      </c>
      <c r="G94" s="646">
        <f t="shared" si="12"/>
        <v>0</v>
      </c>
      <c r="H94" s="647">
        <f t="shared" si="12"/>
        <v>0</v>
      </c>
      <c r="I94" s="673">
        <f t="shared" si="9"/>
        <v>0</v>
      </c>
      <c r="J94" s="647">
        <f t="shared" si="9"/>
        <v>0</v>
      </c>
      <c r="K94" s="648">
        <f t="shared" si="10"/>
        <v>0</v>
      </c>
    </row>
    <row r="95" spans="1:11" ht="18" customHeight="1" x14ac:dyDescent="0.3">
      <c r="A95" s="733" t="s">
        <v>125</v>
      </c>
      <c r="B95" s="1354"/>
      <c r="C95" s="1355"/>
      <c r="D95" s="1356"/>
      <c r="E95" s="742"/>
      <c r="F95" s="646">
        <f t="shared" si="12"/>
        <v>0</v>
      </c>
      <c r="G95" s="646">
        <f t="shared" si="12"/>
        <v>0</v>
      </c>
      <c r="H95" s="647">
        <f t="shared" si="12"/>
        <v>0</v>
      </c>
      <c r="I95" s="673">
        <f t="shared" si="9"/>
        <v>0</v>
      </c>
      <c r="J95" s="647">
        <f t="shared" si="9"/>
        <v>0</v>
      </c>
      <c r="K95" s="648">
        <f t="shared" si="10"/>
        <v>0</v>
      </c>
    </row>
    <row r="96" spans="1:11" ht="18" customHeight="1" x14ac:dyDescent="0.3">
      <c r="A96" s="733" t="s">
        <v>126</v>
      </c>
      <c r="B96" s="1354"/>
      <c r="C96" s="1355"/>
      <c r="D96" s="1356"/>
      <c r="E96" s="742"/>
      <c r="F96" s="646">
        <v>0</v>
      </c>
      <c r="G96" s="646">
        <v>0</v>
      </c>
      <c r="H96" s="647">
        <v>0</v>
      </c>
      <c r="I96" s="673">
        <f t="shared" si="9"/>
        <v>0</v>
      </c>
      <c r="J96" s="647">
        <v>0</v>
      </c>
      <c r="K96" s="648">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3">SUM(F86:F96)</f>
        <v>3792.5</v>
      </c>
      <c r="G98" s="650">
        <f t="shared" si="13"/>
        <v>0</v>
      </c>
      <c r="H98" s="650">
        <f t="shared" si="13"/>
        <v>605313</v>
      </c>
      <c r="I98" s="650">
        <f t="shared" si="13"/>
        <v>485461.02600000001</v>
      </c>
      <c r="J98" s="650">
        <f t="shared" si="13"/>
        <v>30000</v>
      </c>
      <c r="K98" s="650">
        <f t="shared" si="13"/>
        <v>1060774.0260000001</v>
      </c>
    </row>
    <row r="99" spans="1:11" ht="18" customHeight="1" thickBot="1" x14ac:dyDescent="0.35">
      <c r="A99" s="742"/>
      <c r="B99" s="636"/>
      <c r="C99" s="742"/>
      <c r="D99" s="742"/>
      <c r="E99" s="742"/>
      <c r="F99" s="655"/>
      <c r="G99" s="655"/>
      <c r="H99" s="655"/>
      <c r="I99" s="655"/>
      <c r="J99" s="655"/>
      <c r="K99" s="655"/>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646">
        <v>142</v>
      </c>
      <c r="G102" s="646">
        <v>0</v>
      </c>
      <c r="H102" s="647">
        <v>7591</v>
      </c>
      <c r="I102" s="673">
        <f>H102*F$114</f>
        <v>6087.982</v>
      </c>
      <c r="J102" s="647">
        <v>0</v>
      </c>
      <c r="K102" s="648">
        <f>(H102+I102)-J102</f>
        <v>13678.982</v>
      </c>
    </row>
    <row r="103" spans="1:11" ht="18" customHeight="1" x14ac:dyDescent="0.3">
      <c r="A103" s="733" t="s">
        <v>132</v>
      </c>
      <c r="B103" s="1357" t="s">
        <v>62</v>
      </c>
      <c r="C103" s="1357"/>
      <c r="D103" s="742"/>
      <c r="E103" s="742"/>
      <c r="F103" s="646">
        <v>73</v>
      </c>
      <c r="G103" s="646">
        <v>0</v>
      </c>
      <c r="H103" s="647">
        <v>3489</v>
      </c>
      <c r="I103" s="673">
        <f>H103*F$114</f>
        <v>2798.1780000000003</v>
      </c>
      <c r="J103" s="647">
        <v>0</v>
      </c>
      <c r="K103" s="648">
        <f>(H103+I103)-J103</f>
        <v>6287.1779999999999</v>
      </c>
    </row>
    <row r="104" spans="1:11" ht="18" customHeight="1" x14ac:dyDescent="0.3">
      <c r="A104" s="733" t="s">
        <v>128</v>
      </c>
      <c r="B104" s="1354" t="s">
        <v>555</v>
      </c>
      <c r="C104" s="1355"/>
      <c r="D104" s="1356"/>
      <c r="E104" s="742"/>
      <c r="F104" s="646">
        <v>0</v>
      </c>
      <c r="G104" s="646">
        <v>0</v>
      </c>
      <c r="H104" s="647">
        <v>1230</v>
      </c>
      <c r="I104" s="673">
        <f>H104*F$114</f>
        <v>986.46</v>
      </c>
      <c r="J104" s="647">
        <v>0</v>
      </c>
      <c r="K104" s="648">
        <f>(H104+I104)-J104</f>
        <v>2216.46</v>
      </c>
    </row>
    <row r="105" spans="1:11" ht="18" customHeight="1" x14ac:dyDescent="0.3">
      <c r="A105" s="733" t="s">
        <v>127</v>
      </c>
      <c r="B105" s="1354"/>
      <c r="C105" s="1355"/>
      <c r="D105" s="1356"/>
      <c r="E105" s="742"/>
      <c r="F105" s="646">
        <f t="shared" ref="F105:H106" si="14">E105*C$114</f>
        <v>0</v>
      </c>
      <c r="G105" s="646">
        <f t="shared" si="14"/>
        <v>0</v>
      </c>
      <c r="H105" s="647">
        <f t="shared" si="14"/>
        <v>0</v>
      </c>
      <c r="I105" s="673">
        <f>H105*F$114</f>
        <v>0</v>
      </c>
      <c r="J105" s="647">
        <f>I105*G$114</f>
        <v>0</v>
      </c>
      <c r="K105" s="648">
        <f>(H105+I105)-J105</f>
        <v>0</v>
      </c>
    </row>
    <row r="106" spans="1:11" ht="18" customHeight="1" x14ac:dyDescent="0.3">
      <c r="A106" s="733" t="s">
        <v>129</v>
      </c>
      <c r="B106" s="1354"/>
      <c r="C106" s="1355"/>
      <c r="D106" s="1356"/>
      <c r="E106" s="742"/>
      <c r="F106" s="646">
        <f t="shared" si="14"/>
        <v>0</v>
      </c>
      <c r="G106" s="646">
        <f t="shared" si="14"/>
        <v>0</v>
      </c>
      <c r="H106" s="647">
        <f t="shared" si="14"/>
        <v>0</v>
      </c>
      <c r="I106" s="673">
        <f>H106*F$114</f>
        <v>0</v>
      </c>
      <c r="J106" s="647">
        <f>I106*G$114</f>
        <v>0</v>
      </c>
      <c r="K106" s="648">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5">SUM(F102:F106)</f>
        <v>215</v>
      </c>
      <c r="G108" s="650">
        <f t="shared" si="15"/>
        <v>0</v>
      </c>
      <c r="H108" s="648">
        <f t="shared" si="15"/>
        <v>12310</v>
      </c>
      <c r="I108" s="648">
        <f t="shared" si="15"/>
        <v>9872.619999999999</v>
      </c>
      <c r="J108" s="648">
        <f t="shared" si="15"/>
        <v>0</v>
      </c>
      <c r="K108" s="648">
        <f t="shared" si="15"/>
        <v>22182.62</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10385555</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656">
        <v>0.80200000000000005</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647">
        <v>323334882</v>
      </c>
      <c r="G117" s="740"/>
      <c r="H117" s="740"/>
      <c r="I117" s="740"/>
      <c r="J117" s="740"/>
      <c r="K117" s="740"/>
    </row>
    <row r="118" spans="1:11" ht="18" customHeight="1" x14ac:dyDescent="0.3">
      <c r="A118" s="733" t="s">
        <v>173</v>
      </c>
      <c r="B118" s="742" t="s">
        <v>18</v>
      </c>
      <c r="C118" s="742"/>
      <c r="D118" s="742"/>
      <c r="E118" s="742"/>
      <c r="F118" s="647">
        <v>6657366</v>
      </c>
      <c r="G118" s="740"/>
      <c r="H118" s="740"/>
      <c r="I118" s="740"/>
      <c r="J118" s="740"/>
      <c r="K118" s="740"/>
    </row>
    <row r="119" spans="1:11" ht="18" customHeight="1" x14ac:dyDescent="0.3">
      <c r="A119" s="733" t="s">
        <v>174</v>
      </c>
      <c r="B119" s="636" t="s">
        <v>19</v>
      </c>
      <c r="C119" s="742"/>
      <c r="D119" s="742"/>
      <c r="E119" s="742"/>
      <c r="F119" s="649">
        <f>SUM(F117:F118)</f>
        <v>329992248</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647">
        <v>322835314</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647">
        <v>7156935</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647">
        <v>13351713</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647">
        <v>20508648</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646"/>
      <c r="G131" s="646"/>
      <c r="H131" s="647"/>
      <c r="I131" s="673">
        <v>0</v>
      </c>
      <c r="J131" s="647"/>
      <c r="K131" s="648">
        <f>(H131+I131)-J131</f>
        <v>0</v>
      </c>
    </row>
    <row r="132" spans="1:11" ht="18" customHeight="1" x14ac:dyDescent="0.3">
      <c r="A132" s="733" t="s">
        <v>159</v>
      </c>
      <c r="B132" s="742" t="s">
        <v>25</v>
      </c>
      <c r="C132" s="742"/>
      <c r="D132" s="742"/>
      <c r="E132" s="742"/>
      <c r="F132" s="646"/>
      <c r="G132" s="646"/>
      <c r="H132" s="647"/>
      <c r="I132" s="673">
        <v>0</v>
      </c>
      <c r="J132" s="647"/>
      <c r="K132" s="648">
        <f>(H132+I132)-J132</f>
        <v>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6">SUM(F131:F135)</f>
        <v>0</v>
      </c>
      <c r="G137" s="650">
        <f t="shared" si="16"/>
        <v>0</v>
      </c>
      <c r="H137" s="648">
        <f t="shared" si="16"/>
        <v>0</v>
      </c>
      <c r="I137" s="648">
        <f t="shared" si="16"/>
        <v>0</v>
      </c>
      <c r="J137" s="648">
        <f t="shared" si="16"/>
        <v>0</v>
      </c>
      <c r="K137" s="648">
        <f t="shared" si="16"/>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664">
        <f t="shared" ref="F141:K141" si="17">F36</f>
        <v>13282</v>
      </c>
      <c r="G141" s="664">
        <f t="shared" si="17"/>
        <v>113575</v>
      </c>
      <c r="H141" s="664">
        <f t="shared" si="17"/>
        <v>682836</v>
      </c>
      <c r="I141" s="664">
        <f t="shared" si="17"/>
        <v>547634.47200000007</v>
      </c>
      <c r="J141" s="664">
        <f t="shared" si="17"/>
        <v>17642</v>
      </c>
      <c r="K141" s="664">
        <f t="shared" si="17"/>
        <v>1212828.4720000001</v>
      </c>
    </row>
    <row r="142" spans="1:11" ht="18" customHeight="1" x14ac:dyDescent="0.3">
      <c r="A142" s="733" t="s">
        <v>142</v>
      </c>
      <c r="B142" s="636" t="s">
        <v>65</v>
      </c>
      <c r="C142" s="742"/>
      <c r="D142" s="742"/>
      <c r="E142" s="742"/>
      <c r="F142" s="664">
        <f t="shared" ref="F142:K142" si="18">F49</f>
        <v>17811</v>
      </c>
      <c r="G142" s="664">
        <f t="shared" si="18"/>
        <v>83057</v>
      </c>
      <c r="H142" s="664">
        <f t="shared" si="18"/>
        <v>1283979</v>
      </c>
      <c r="I142" s="664">
        <f t="shared" si="18"/>
        <v>0</v>
      </c>
      <c r="J142" s="664">
        <f t="shared" si="18"/>
        <v>0</v>
      </c>
      <c r="K142" s="664">
        <f t="shared" si="18"/>
        <v>1283979</v>
      </c>
    </row>
    <row r="143" spans="1:11" ht="18" customHeight="1" x14ac:dyDescent="0.3">
      <c r="A143" s="733" t="s">
        <v>144</v>
      </c>
      <c r="B143" s="636" t="s">
        <v>66</v>
      </c>
      <c r="C143" s="742"/>
      <c r="D143" s="742"/>
      <c r="E143" s="742"/>
      <c r="F143" s="664">
        <f t="shared" ref="F143:K143" si="19">F64</f>
        <v>263560</v>
      </c>
      <c r="G143" s="664">
        <f t="shared" si="19"/>
        <v>129582</v>
      </c>
      <c r="H143" s="664">
        <f t="shared" si="19"/>
        <v>37618449</v>
      </c>
      <c r="I143" s="664">
        <f t="shared" si="19"/>
        <v>16824764</v>
      </c>
      <c r="J143" s="664">
        <f t="shared" si="19"/>
        <v>28182874</v>
      </c>
      <c r="K143" s="664">
        <f t="shared" si="19"/>
        <v>26260339</v>
      </c>
    </row>
    <row r="144" spans="1:11" ht="18" customHeight="1" x14ac:dyDescent="0.3">
      <c r="A144" s="733" t="s">
        <v>146</v>
      </c>
      <c r="B144" s="636" t="s">
        <v>67</v>
      </c>
      <c r="C144" s="742"/>
      <c r="D144" s="742"/>
      <c r="E144" s="742"/>
      <c r="F144" s="664">
        <f t="shared" ref="F144:K144" si="20">F74</f>
        <v>0</v>
      </c>
      <c r="G144" s="664">
        <f t="shared" si="20"/>
        <v>0</v>
      </c>
      <c r="H144" s="664">
        <f t="shared" si="20"/>
        <v>0</v>
      </c>
      <c r="I144" s="664">
        <f t="shared" si="20"/>
        <v>0</v>
      </c>
      <c r="J144" s="664">
        <f t="shared" si="20"/>
        <v>0</v>
      </c>
      <c r="K144" s="664">
        <f t="shared" si="20"/>
        <v>0</v>
      </c>
    </row>
    <row r="145" spans="1:11" ht="18" customHeight="1" x14ac:dyDescent="0.3">
      <c r="A145" s="733" t="s">
        <v>148</v>
      </c>
      <c r="B145" s="636" t="s">
        <v>68</v>
      </c>
      <c r="C145" s="742"/>
      <c r="D145" s="742"/>
      <c r="E145" s="742"/>
      <c r="F145" s="664">
        <f t="shared" ref="F145:K145" si="21">F82</f>
        <v>1155</v>
      </c>
      <c r="G145" s="664">
        <f t="shared" si="21"/>
        <v>2598</v>
      </c>
      <c r="H145" s="664">
        <f t="shared" si="21"/>
        <v>313895</v>
      </c>
      <c r="I145" s="664">
        <f t="shared" si="21"/>
        <v>0</v>
      </c>
      <c r="J145" s="664">
        <f t="shared" si="21"/>
        <v>19500</v>
      </c>
      <c r="K145" s="664">
        <f t="shared" si="21"/>
        <v>294395</v>
      </c>
    </row>
    <row r="146" spans="1:11" ht="18" customHeight="1" x14ac:dyDescent="0.3">
      <c r="A146" s="733" t="s">
        <v>150</v>
      </c>
      <c r="B146" s="636" t="s">
        <v>69</v>
      </c>
      <c r="C146" s="742"/>
      <c r="D146" s="742"/>
      <c r="E146" s="742"/>
      <c r="F146" s="664">
        <f t="shared" ref="F146:K146" si="22">F98</f>
        <v>3792.5</v>
      </c>
      <c r="G146" s="664">
        <f t="shared" si="22"/>
        <v>0</v>
      </c>
      <c r="H146" s="664">
        <f t="shared" si="22"/>
        <v>605313</v>
      </c>
      <c r="I146" s="664">
        <f t="shared" si="22"/>
        <v>485461.02600000001</v>
      </c>
      <c r="J146" s="664">
        <f t="shared" si="22"/>
        <v>30000</v>
      </c>
      <c r="K146" s="664">
        <f t="shared" si="22"/>
        <v>1060774.0260000001</v>
      </c>
    </row>
    <row r="147" spans="1:11" ht="18" customHeight="1" x14ac:dyDescent="0.3">
      <c r="A147" s="733" t="s">
        <v>153</v>
      </c>
      <c r="B147" s="636" t="s">
        <v>61</v>
      </c>
      <c r="C147" s="742"/>
      <c r="D147" s="742"/>
      <c r="E147" s="742"/>
      <c r="F147" s="650">
        <f t="shared" ref="F147:K147" si="23">F108</f>
        <v>215</v>
      </c>
      <c r="G147" s="650">
        <f t="shared" si="23"/>
        <v>0</v>
      </c>
      <c r="H147" s="650">
        <f t="shared" si="23"/>
        <v>12310</v>
      </c>
      <c r="I147" s="650">
        <f t="shared" si="23"/>
        <v>9872.619999999999</v>
      </c>
      <c r="J147" s="650">
        <f t="shared" si="23"/>
        <v>0</v>
      </c>
      <c r="K147" s="650">
        <f t="shared" si="23"/>
        <v>22182.62</v>
      </c>
    </row>
    <row r="148" spans="1:11" ht="18" customHeight="1" x14ac:dyDescent="0.3">
      <c r="A148" s="733" t="s">
        <v>155</v>
      </c>
      <c r="B148" s="636" t="s">
        <v>70</v>
      </c>
      <c r="C148" s="742"/>
      <c r="D148" s="742"/>
      <c r="E148" s="742"/>
      <c r="F148" s="665" t="s">
        <v>73</v>
      </c>
      <c r="G148" s="665" t="s">
        <v>73</v>
      </c>
      <c r="H148" s="666" t="s">
        <v>73</v>
      </c>
      <c r="I148" s="666" t="s">
        <v>73</v>
      </c>
      <c r="J148" s="666" t="s">
        <v>73</v>
      </c>
      <c r="K148" s="660">
        <f>F111</f>
        <v>10385555</v>
      </c>
    </row>
    <row r="149" spans="1:11" ht="18" customHeight="1" x14ac:dyDescent="0.3">
      <c r="A149" s="733" t="s">
        <v>163</v>
      </c>
      <c r="B149" s="636" t="s">
        <v>71</v>
      </c>
      <c r="C149" s="742"/>
      <c r="D149" s="742"/>
      <c r="E149" s="742"/>
      <c r="F149" s="650">
        <f t="shared" ref="F149:K149" si="24">F137</f>
        <v>0</v>
      </c>
      <c r="G149" s="650">
        <f t="shared" si="24"/>
        <v>0</v>
      </c>
      <c r="H149" s="650">
        <f t="shared" si="24"/>
        <v>0</v>
      </c>
      <c r="I149" s="650">
        <f t="shared" si="24"/>
        <v>0</v>
      </c>
      <c r="J149" s="650">
        <f t="shared" si="24"/>
        <v>0</v>
      </c>
      <c r="K149" s="650">
        <f t="shared" si="24"/>
        <v>0</v>
      </c>
    </row>
    <row r="150" spans="1:11" ht="18" customHeight="1" x14ac:dyDescent="0.3">
      <c r="A150" s="733" t="s">
        <v>185</v>
      </c>
      <c r="B150" s="636" t="s">
        <v>186</v>
      </c>
      <c r="C150" s="742"/>
      <c r="D150" s="742"/>
      <c r="E150" s="742"/>
      <c r="F150" s="665" t="s">
        <v>73</v>
      </c>
      <c r="G150" s="665" t="s">
        <v>73</v>
      </c>
      <c r="H150" s="650">
        <f>H18</f>
        <v>6771794</v>
      </c>
      <c r="I150" s="650">
        <f>I18</f>
        <v>0</v>
      </c>
      <c r="J150" s="650">
        <f>J18</f>
        <v>5723503</v>
      </c>
      <c r="K150" s="650">
        <f>K18</f>
        <v>1048291</v>
      </c>
    </row>
    <row r="151" spans="1:11" ht="18" customHeight="1" x14ac:dyDescent="0.3">
      <c r="A151" s="742"/>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5">SUM(F141:F150)</f>
        <v>299815.5</v>
      </c>
      <c r="G152" s="672">
        <f t="shared" si="25"/>
        <v>328812</v>
      </c>
      <c r="H152" s="672">
        <f t="shared" si="25"/>
        <v>47288576</v>
      </c>
      <c r="I152" s="672">
        <f t="shared" si="25"/>
        <v>17867732.118000001</v>
      </c>
      <c r="J152" s="672">
        <f t="shared" si="25"/>
        <v>33973519</v>
      </c>
      <c r="K152" s="672">
        <f t="shared" si="25"/>
        <v>41568344.118000001</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0.12876021400186721</v>
      </c>
      <c r="G154" s="742"/>
      <c r="H154" s="742"/>
      <c r="I154" s="742"/>
      <c r="J154" s="742"/>
      <c r="K154" s="742"/>
    </row>
    <row r="155" spans="1:11" ht="18" customHeight="1" x14ac:dyDescent="0.3">
      <c r="A155" s="639" t="s">
        <v>169</v>
      </c>
      <c r="B155" s="636" t="s">
        <v>72</v>
      </c>
      <c r="C155" s="742"/>
      <c r="D155" s="742"/>
      <c r="E155" s="742"/>
      <c r="F155" s="687">
        <f>K152/F127</f>
        <v>2.0268690611882363</v>
      </c>
      <c r="G155" s="636"/>
      <c r="H155" s="742"/>
      <c r="I155" s="742"/>
      <c r="J155" s="742"/>
      <c r="K155" s="742"/>
    </row>
    <row r="156" spans="1:11" ht="18" customHeight="1" x14ac:dyDescent="0.3">
      <c r="A156" s="396"/>
      <c r="B156" s="396"/>
      <c r="C156" s="396"/>
      <c r="D156" s="396"/>
      <c r="E156" s="396"/>
      <c r="F156" s="396"/>
      <c r="G156" s="397"/>
      <c r="H156" s="396"/>
      <c r="I156" s="396"/>
      <c r="J156" s="396"/>
      <c r="K156" s="396"/>
    </row>
  </sheetData>
  <sheetProtection sheet="1" objects="1" scenarios="1"/>
  <mergeCells count="28">
    <mergeCell ref="B52:C52"/>
    <mergeCell ref="B90:C90"/>
    <mergeCell ref="B134:D134"/>
    <mergeCell ref="B135:D135"/>
    <mergeCell ref="B133:D133"/>
    <mergeCell ref="B104:D104"/>
    <mergeCell ref="B105:D105"/>
    <mergeCell ref="B106:D106"/>
    <mergeCell ref="B103:C103"/>
    <mergeCell ref="B96:D96"/>
    <mergeCell ref="B95:D95"/>
    <mergeCell ref="B94:D9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s>
  <printOptions headings="1" gridLines="1"/>
  <pageMargins left="0.17" right="0.16" top="0.35" bottom="0.32" header="0.17" footer="0.17"/>
  <pageSetup scale="59" fitToHeight="3" orientation="landscape" horizontalDpi="1200"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156"/>
  <sheetViews>
    <sheetView zoomScale="70" zoomScaleNormal="70" workbookViewId="0">
      <selection activeCell="A2" sqref="A2"/>
    </sheetView>
  </sheetViews>
  <sheetFormatPr defaultColWidth="9.26953125" defaultRowHeight="18" customHeight="1" x14ac:dyDescent="0.35"/>
  <cols>
    <col min="1" max="1" width="8.26953125" style="100" customWidth="1"/>
    <col min="2" max="2" width="55.453125" style="98" bestFit="1" customWidth="1"/>
    <col min="3" max="3" width="9.54296875" style="98" customWidth="1"/>
    <col min="4" max="4" width="9.26953125" style="98"/>
    <col min="5" max="5" width="12.453125" style="98" customWidth="1"/>
    <col min="6" max="6" width="18.54296875" style="98" customWidth="1"/>
    <col min="7" max="7" width="23.54296875" style="98" customWidth="1"/>
    <col min="8" max="8" width="17.26953125" style="98" customWidth="1"/>
    <col min="9" max="9" width="21.26953125" style="98" customWidth="1"/>
    <col min="10" max="10" width="19.7265625" style="98" customWidth="1"/>
    <col min="11" max="11" width="17.54296875" style="98" customWidth="1"/>
    <col min="12" max="16384" width="9.26953125" style="98"/>
  </cols>
  <sheetData>
    <row r="1" spans="1:11" ht="18" customHeight="1" x14ac:dyDescent="0.35">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5">
      <c r="A3" s="742"/>
      <c r="B3" s="636" t="s">
        <v>0</v>
      </c>
      <c r="C3" s="742"/>
      <c r="D3" s="742"/>
      <c r="E3" s="742"/>
      <c r="F3" s="742"/>
      <c r="G3" s="742"/>
      <c r="H3" s="742"/>
      <c r="I3" s="742"/>
      <c r="J3" s="742"/>
      <c r="K3" s="742"/>
    </row>
    <row r="5" spans="1:11" ht="18" customHeight="1" x14ac:dyDescent="0.35">
      <c r="A5" s="742"/>
      <c r="B5" s="733" t="s">
        <v>40</v>
      </c>
      <c r="C5" s="1361" t="s">
        <v>780</v>
      </c>
      <c r="D5" s="1362"/>
      <c r="E5" s="1362"/>
      <c r="F5" s="1362"/>
      <c r="G5" s="1364"/>
      <c r="H5" s="742"/>
      <c r="I5" s="742"/>
      <c r="J5" s="742"/>
      <c r="K5" s="742"/>
    </row>
    <row r="6" spans="1:11" ht="18" customHeight="1" x14ac:dyDescent="0.35">
      <c r="A6" s="742"/>
      <c r="B6" s="733" t="s">
        <v>3</v>
      </c>
      <c r="C6" s="1365">
        <v>28</v>
      </c>
      <c r="D6" s="1366"/>
      <c r="E6" s="1366"/>
      <c r="F6" s="1366"/>
      <c r="G6" s="1367"/>
      <c r="H6" s="742"/>
      <c r="I6" s="742"/>
      <c r="J6" s="742"/>
      <c r="K6" s="742"/>
    </row>
    <row r="7" spans="1:11" ht="18" customHeight="1" x14ac:dyDescent="0.35">
      <c r="A7" s="742"/>
      <c r="B7" s="733" t="s">
        <v>4</v>
      </c>
      <c r="C7" s="1368">
        <v>1200</v>
      </c>
      <c r="D7" s="1369"/>
      <c r="E7" s="1369"/>
      <c r="F7" s="1369"/>
      <c r="G7" s="1370"/>
      <c r="H7" s="742"/>
      <c r="I7" s="742"/>
      <c r="J7" s="742"/>
      <c r="K7" s="742"/>
    </row>
    <row r="9" spans="1:11" ht="18" customHeight="1" x14ac:dyDescent="0.35">
      <c r="A9" s="742"/>
      <c r="B9" s="733" t="s">
        <v>1</v>
      </c>
      <c r="C9" s="1361" t="s">
        <v>614</v>
      </c>
      <c r="D9" s="1362"/>
      <c r="E9" s="1362"/>
      <c r="F9" s="1362"/>
      <c r="G9" s="1364"/>
      <c r="H9" s="742"/>
      <c r="I9" s="742"/>
      <c r="J9" s="742"/>
      <c r="K9" s="742"/>
    </row>
    <row r="10" spans="1:11" ht="18" customHeight="1" x14ac:dyDescent="0.35">
      <c r="A10" s="742"/>
      <c r="B10" s="733" t="s">
        <v>2</v>
      </c>
      <c r="C10" s="1371" t="s">
        <v>615</v>
      </c>
      <c r="D10" s="1372"/>
      <c r="E10" s="1372"/>
      <c r="F10" s="1372"/>
      <c r="G10" s="1373"/>
      <c r="H10" s="742"/>
      <c r="I10" s="742"/>
      <c r="J10" s="742"/>
      <c r="K10" s="742"/>
    </row>
    <row r="11" spans="1:11" ht="18" customHeight="1" x14ac:dyDescent="0.35">
      <c r="A11" s="742"/>
      <c r="B11" s="733" t="s">
        <v>32</v>
      </c>
      <c r="C11" s="1361" t="s">
        <v>616</v>
      </c>
      <c r="D11" s="1362"/>
      <c r="E11" s="1362"/>
      <c r="F11" s="1362"/>
      <c r="G11" s="1362"/>
      <c r="H11" s="742"/>
      <c r="I11" s="742"/>
      <c r="J11" s="742"/>
      <c r="K11" s="742"/>
    </row>
    <row r="12" spans="1:11" ht="18" customHeight="1" x14ac:dyDescent="0.35">
      <c r="A12" s="742"/>
      <c r="B12" s="733"/>
      <c r="C12" s="733"/>
      <c r="D12" s="733"/>
      <c r="E12" s="733"/>
      <c r="F12" s="733"/>
      <c r="G12" s="733"/>
      <c r="H12" s="742"/>
      <c r="I12" s="742"/>
      <c r="J12" s="742"/>
      <c r="K12" s="742"/>
    </row>
    <row r="13" spans="1:11" ht="24.65" customHeight="1" x14ac:dyDescent="0.35">
      <c r="A13" s="742"/>
      <c r="B13" s="1363"/>
      <c r="C13" s="1363"/>
      <c r="D13" s="1363"/>
      <c r="E13" s="1363"/>
      <c r="F13" s="1363"/>
      <c r="G13" s="1363"/>
      <c r="H13" s="1363"/>
      <c r="I13" s="888"/>
      <c r="J13" s="742"/>
      <c r="K13" s="742"/>
    </row>
    <row r="14" spans="1:11" ht="18" customHeight="1" x14ac:dyDescent="0.35">
      <c r="A14" s="742"/>
      <c r="B14" s="640"/>
      <c r="C14" s="742"/>
      <c r="D14" s="742"/>
      <c r="E14" s="742"/>
      <c r="F14" s="742"/>
      <c r="G14" s="742"/>
      <c r="H14" s="742"/>
      <c r="I14" s="742"/>
      <c r="J14" s="742"/>
      <c r="K14" s="742"/>
    </row>
    <row r="15" spans="1:11" ht="18" customHeight="1" x14ac:dyDescent="0.35">
      <c r="A15" s="742"/>
      <c r="B15" s="640"/>
      <c r="C15" s="742"/>
      <c r="D15" s="742"/>
      <c r="E15" s="742"/>
      <c r="F15" s="742"/>
      <c r="G15" s="742"/>
      <c r="H15" s="742"/>
      <c r="I15" s="742"/>
      <c r="J15" s="742"/>
      <c r="K15" s="742"/>
    </row>
    <row r="16" spans="1:11" ht="45" customHeight="1" x14ac:dyDescent="0.35">
      <c r="A16" s="889" t="s">
        <v>181</v>
      </c>
      <c r="B16" s="888"/>
      <c r="C16" s="888"/>
      <c r="D16" s="888"/>
      <c r="E16" s="888"/>
      <c r="F16" s="641" t="s">
        <v>9</v>
      </c>
      <c r="G16" s="641" t="s">
        <v>37</v>
      </c>
      <c r="H16" s="641" t="s">
        <v>29</v>
      </c>
      <c r="I16" s="641" t="s">
        <v>30</v>
      </c>
      <c r="J16" s="641" t="s">
        <v>33</v>
      </c>
      <c r="K16" s="641" t="s">
        <v>34</v>
      </c>
    </row>
    <row r="17" spans="1:11" ht="18" customHeight="1" x14ac:dyDescent="0.35">
      <c r="A17" s="639" t="s">
        <v>184</v>
      </c>
      <c r="B17" s="636" t="s">
        <v>182</v>
      </c>
      <c r="C17" s="742"/>
      <c r="D17" s="742"/>
      <c r="E17" s="742"/>
      <c r="F17" s="742"/>
      <c r="G17" s="742"/>
      <c r="H17" s="742"/>
      <c r="I17" s="742"/>
      <c r="J17" s="742"/>
      <c r="K17" s="742"/>
    </row>
    <row r="18" spans="1:11" ht="18" customHeight="1" x14ac:dyDescent="0.35">
      <c r="A18" s="733" t="s">
        <v>185</v>
      </c>
      <c r="B18" s="635" t="s">
        <v>183</v>
      </c>
      <c r="C18" s="742"/>
      <c r="D18" s="742"/>
      <c r="E18" s="742"/>
      <c r="F18" s="646" t="s">
        <v>73</v>
      </c>
      <c r="G18" s="646" t="s">
        <v>73</v>
      </c>
      <c r="H18" s="647">
        <v>3976832</v>
      </c>
      <c r="I18" s="673"/>
      <c r="J18" s="647">
        <v>3361208</v>
      </c>
      <c r="K18" s="648">
        <f>(H18+I18)-J18</f>
        <v>615624</v>
      </c>
    </row>
    <row r="19" spans="1:11" ht="45" customHeight="1" x14ac:dyDescent="0.35">
      <c r="A19" s="889" t="s">
        <v>8</v>
      </c>
      <c r="B19" s="888"/>
      <c r="C19" s="888"/>
      <c r="D19" s="888"/>
      <c r="E19" s="888"/>
      <c r="F19" s="641" t="s">
        <v>9</v>
      </c>
      <c r="G19" s="641" t="s">
        <v>37</v>
      </c>
      <c r="H19" s="641" t="s">
        <v>29</v>
      </c>
      <c r="I19" s="641" t="s">
        <v>30</v>
      </c>
      <c r="J19" s="641" t="s">
        <v>33</v>
      </c>
      <c r="K19" s="641" t="s">
        <v>34</v>
      </c>
    </row>
    <row r="20" spans="1:11" ht="18" customHeight="1" x14ac:dyDescent="0.35">
      <c r="A20" s="639" t="s">
        <v>74</v>
      </c>
      <c r="B20" s="636" t="s">
        <v>41</v>
      </c>
      <c r="C20" s="742"/>
      <c r="D20" s="742"/>
      <c r="E20" s="742"/>
      <c r="F20" s="742"/>
      <c r="G20" s="742"/>
      <c r="H20" s="742"/>
      <c r="I20" s="742"/>
      <c r="J20" s="742"/>
      <c r="K20" s="742"/>
    </row>
    <row r="21" spans="1:11" ht="18" customHeight="1" x14ac:dyDescent="0.35">
      <c r="A21" s="733" t="s">
        <v>75</v>
      </c>
      <c r="B21" s="635" t="s">
        <v>42</v>
      </c>
      <c r="C21" s="742"/>
      <c r="D21" s="742"/>
      <c r="E21" s="742"/>
      <c r="F21" s="646">
        <v>3544.4</v>
      </c>
      <c r="G21" s="646">
        <v>12600</v>
      </c>
      <c r="H21" s="647">
        <v>217545</v>
      </c>
      <c r="I21" s="673">
        <v>75370</v>
      </c>
      <c r="J21" s="647">
        <v>13257</v>
      </c>
      <c r="K21" s="648">
        <f t="shared" ref="K21:K34" si="0">(H21+I21)-J21</f>
        <v>279658</v>
      </c>
    </row>
    <row r="22" spans="1:11" ht="18" customHeight="1" x14ac:dyDescent="0.35">
      <c r="A22" s="733" t="s">
        <v>76</v>
      </c>
      <c r="B22" s="742" t="s">
        <v>6</v>
      </c>
      <c r="C22" s="742"/>
      <c r="D22" s="742"/>
      <c r="E22" s="742"/>
      <c r="F22" s="646">
        <v>154.19999999999999</v>
      </c>
      <c r="G22" s="646">
        <v>473</v>
      </c>
      <c r="H22" s="647">
        <v>6211</v>
      </c>
      <c r="I22" s="673">
        <v>3261</v>
      </c>
      <c r="J22" s="647"/>
      <c r="K22" s="648">
        <f t="shared" si="0"/>
        <v>9472</v>
      </c>
    </row>
    <row r="23" spans="1:11" ht="18" customHeight="1" x14ac:dyDescent="0.35">
      <c r="A23" s="733" t="s">
        <v>77</v>
      </c>
      <c r="B23" s="742" t="s">
        <v>43</v>
      </c>
      <c r="C23" s="742"/>
      <c r="D23" s="742"/>
      <c r="E23" s="742"/>
      <c r="F23" s="646"/>
      <c r="G23" s="646"/>
      <c r="H23" s="647"/>
      <c r="I23" s="673">
        <f t="shared" ref="I23:I34" si="1">H23*F$114</f>
        <v>0</v>
      </c>
      <c r="J23" s="647"/>
      <c r="K23" s="648">
        <f t="shared" si="0"/>
        <v>0</v>
      </c>
    </row>
    <row r="24" spans="1:11" ht="18" customHeight="1" x14ac:dyDescent="0.35">
      <c r="A24" s="733" t="s">
        <v>78</v>
      </c>
      <c r="B24" s="742" t="s">
        <v>44</v>
      </c>
      <c r="C24" s="742"/>
      <c r="D24" s="742"/>
      <c r="E24" s="742"/>
      <c r="F24" s="646">
        <v>2444</v>
      </c>
      <c r="G24" s="646">
        <v>953</v>
      </c>
      <c r="H24" s="647">
        <v>91972</v>
      </c>
      <c r="I24" s="673">
        <v>40268</v>
      </c>
      <c r="J24" s="647">
        <v>5785</v>
      </c>
      <c r="K24" s="648">
        <f t="shared" si="0"/>
        <v>126455</v>
      </c>
    </row>
    <row r="25" spans="1:11" ht="18" customHeight="1" x14ac:dyDescent="0.35">
      <c r="A25" s="733" t="s">
        <v>79</v>
      </c>
      <c r="B25" s="742" t="s">
        <v>5</v>
      </c>
      <c r="C25" s="742"/>
      <c r="D25" s="742"/>
      <c r="E25" s="742"/>
      <c r="F25" s="646"/>
      <c r="G25" s="646"/>
      <c r="H25" s="647"/>
      <c r="I25" s="673">
        <f t="shared" si="1"/>
        <v>0</v>
      </c>
      <c r="J25" s="647"/>
      <c r="K25" s="648">
        <f t="shared" si="0"/>
        <v>0</v>
      </c>
    </row>
    <row r="26" spans="1:11" ht="18" customHeight="1" x14ac:dyDescent="0.35">
      <c r="A26" s="733" t="s">
        <v>80</v>
      </c>
      <c r="B26" s="742" t="s">
        <v>45</v>
      </c>
      <c r="C26" s="742"/>
      <c r="D26" s="742"/>
      <c r="E26" s="742"/>
      <c r="F26" s="646"/>
      <c r="G26" s="646"/>
      <c r="H26" s="647"/>
      <c r="I26" s="673">
        <f t="shared" si="1"/>
        <v>0</v>
      </c>
      <c r="J26" s="647"/>
      <c r="K26" s="648">
        <f t="shared" si="0"/>
        <v>0</v>
      </c>
    </row>
    <row r="27" spans="1:11" ht="18" customHeight="1" x14ac:dyDescent="0.35">
      <c r="A27" s="733" t="s">
        <v>81</v>
      </c>
      <c r="B27" s="742" t="s">
        <v>46</v>
      </c>
      <c r="C27" s="742"/>
      <c r="D27" s="742"/>
      <c r="E27" s="742"/>
      <c r="F27" s="646"/>
      <c r="G27" s="646"/>
      <c r="H27" s="647"/>
      <c r="I27" s="673">
        <f t="shared" si="1"/>
        <v>0</v>
      </c>
      <c r="J27" s="647"/>
      <c r="K27" s="648">
        <f t="shared" si="0"/>
        <v>0</v>
      </c>
    </row>
    <row r="28" spans="1:11" ht="18" customHeight="1" x14ac:dyDescent="0.35">
      <c r="A28" s="733" t="s">
        <v>82</v>
      </c>
      <c r="B28" s="742" t="s">
        <v>47</v>
      </c>
      <c r="C28" s="742"/>
      <c r="D28" s="742"/>
      <c r="E28" s="742"/>
      <c r="F28" s="646"/>
      <c r="G28" s="646"/>
      <c r="H28" s="647"/>
      <c r="I28" s="673">
        <f t="shared" si="1"/>
        <v>0</v>
      </c>
      <c r="J28" s="647"/>
      <c r="K28" s="648">
        <f t="shared" si="0"/>
        <v>0</v>
      </c>
    </row>
    <row r="29" spans="1:11" ht="18" customHeight="1" x14ac:dyDescent="0.35">
      <c r="A29" s="733" t="s">
        <v>83</v>
      </c>
      <c r="B29" s="742" t="s">
        <v>48</v>
      </c>
      <c r="C29" s="742"/>
      <c r="D29" s="742"/>
      <c r="E29" s="742"/>
      <c r="F29" s="646">
        <v>4580</v>
      </c>
      <c r="G29" s="646">
        <v>1074</v>
      </c>
      <c r="H29" s="647">
        <v>296313</v>
      </c>
      <c r="I29" s="673">
        <v>106152</v>
      </c>
      <c r="J29" s="647"/>
      <c r="K29" s="648">
        <f t="shared" si="0"/>
        <v>402465</v>
      </c>
    </row>
    <row r="30" spans="1:11" ht="18" customHeight="1" x14ac:dyDescent="0.35">
      <c r="A30" s="733" t="s">
        <v>84</v>
      </c>
      <c r="B30" s="1351"/>
      <c r="C30" s="1352"/>
      <c r="D30" s="1353"/>
      <c r="E30" s="742"/>
      <c r="F30" s="646"/>
      <c r="G30" s="646"/>
      <c r="H30" s="647"/>
      <c r="I30" s="673">
        <f t="shared" si="1"/>
        <v>0</v>
      </c>
      <c r="J30" s="647"/>
      <c r="K30" s="648">
        <f t="shared" si="0"/>
        <v>0</v>
      </c>
    </row>
    <row r="31" spans="1:11" ht="18" customHeight="1" x14ac:dyDescent="0.35">
      <c r="A31" s="733" t="s">
        <v>133</v>
      </c>
      <c r="B31" s="1351"/>
      <c r="C31" s="1352"/>
      <c r="D31" s="1353"/>
      <c r="E31" s="742"/>
      <c r="F31" s="646"/>
      <c r="G31" s="646"/>
      <c r="H31" s="647"/>
      <c r="I31" s="673">
        <f t="shared" si="1"/>
        <v>0</v>
      </c>
      <c r="J31" s="647"/>
      <c r="K31" s="648">
        <f t="shared" si="0"/>
        <v>0</v>
      </c>
    </row>
    <row r="32" spans="1:11" ht="18" customHeight="1" x14ac:dyDescent="0.35">
      <c r="A32" s="733" t="s">
        <v>134</v>
      </c>
      <c r="B32" s="909"/>
      <c r="C32" s="910"/>
      <c r="D32" s="911"/>
      <c r="E32" s="742"/>
      <c r="F32" s="646"/>
      <c r="G32" s="675" t="s">
        <v>85</v>
      </c>
      <c r="H32" s="647"/>
      <c r="I32" s="673">
        <f t="shared" si="1"/>
        <v>0</v>
      </c>
      <c r="J32" s="647"/>
      <c r="K32" s="648">
        <f t="shared" si="0"/>
        <v>0</v>
      </c>
    </row>
    <row r="33" spans="1:11" ht="18" customHeight="1" x14ac:dyDescent="0.35">
      <c r="A33" s="733" t="s">
        <v>135</v>
      </c>
      <c r="B33" s="909"/>
      <c r="C33" s="910"/>
      <c r="D33" s="911"/>
      <c r="E33" s="742"/>
      <c r="F33" s="646"/>
      <c r="G33" s="675" t="s">
        <v>85</v>
      </c>
      <c r="H33" s="647"/>
      <c r="I33" s="673">
        <f t="shared" si="1"/>
        <v>0</v>
      </c>
      <c r="J33" s="647"/>
      <c r="K33" s="648">
        <f t="shared" si="0"/>
        <v>0</v>
      </c>
    </row>
    <row r="34" spans="1:11" ht="18" customHeight="1" x14ac:dyDescent="0.35">
      <c r="A34" s="733" t="s">
        <v>136</v>
      </c>
      <c r="B34" s="1351"/>
      <c r="C34" s="1352"/>
      <c r="D34" s="1353"/>
      <c r="E34" s="742"/>
      <c r="F34" s="646"/>
      <c r="G34" s="675" t="s">
        <v>85</v>
      </c>
      <c r="H34" s="647"/>
      <c r="I34" s="673">
        <f t="shared" si="1"/>
        <v>0</v>
      </c>
      <c r="J34" s="647"/>
      <c r="K34" s="648">
        <f t="shared" si="0"/>
        <v>0</v>
      </c>
    </row>
    <row r="35" spans="1:11" ht="18" customHeight="1" x14ac:dyDescent="0.35">
      <c r="A35" s="742"/>
      <c r="B35" s="742"/>
      <c r="C35" s="742"/>
      <c r="D35" s="742"/>
      <c r="E35" s="742"/>
      <c r="F35" s="742"/>
      <c r="G35" s="742"/>
      <c r="H35" s="742"/>
      <c r="I35" s="742"/>
      <c r="J35" s="742"/>
      <c r="K35" s="667"/>
    </row>
    <row r="36" spans="1:11" ht="18" customHeight="1" x14ac:dyDescent="0.35">
      <c r="A36" s="639" t="s">
        <v>137</v>
      </c>
      <c r="B36" s="636" t="s">
        <v>138</v>
      </c>
      <c r="C36" s="742"/>
      <c r="D36" s="742"/>
      <c r="E36" s="636" t="s">
        <v>7</v>
      </c>
      <c r="F36" s="650">
        <f t="shared" ref="F36:K36" si="2">SUM(F21:F34)</f>
        <v>10722.6</v>
      </c>
      <c r="G36" s="650">
        <f t="shared" si="2"/>
        <v>15100</v>
      </c>
      <c r="H36" s="650">
        <f t="shared" si="2"/>
        <v>612041</v>
      </c>
      <c r="I36" s="648">
        <f t="shared" si="2"/>
        <v>225051</v>
      </c>
      <c r="J36" s="648">
        <f t="shared" si="2"/>
        <v>19042</v>
      </c>
      <c r="K36" s="648">
        <f t="shared" si="2"/>
        <v>818050</v>
      </c>
    </row>
    <row r="37" spans="1:11" ht="18" customHeight="1" thickBot="1" x14ac:dyDescent="0.4">
      <c r="A37" s="742"/>
      <c r="B37" s="636"/>
      <c r="C37" s="742"/>
      <c r="D37" s="742"/>
      <c r="E37" s="742"/>
      <c r="F37" s="651"/>
      <c r="G37" s="651"/>
      <c r="H37" s="652"/>
      <c r="I37" s="652"/>
      <c r="J37" s="652"/>
      <c r="K37" s="668"/>
    </row>
    <row r="38" spans="1:11" ht="42.75" customHeight="1" x14ac:dyDescent="0.35">
      <c r="A38" s="742"/>
      <c r="B38" s="742"/>
      <c r="C38" s="742"/>
      <c r="D38" s="742"/>
      <c r="E38" s="742"/>
      <c r="F38" s="641" t="s">
        <v>9</v>
      </c>
      <c r="G38" s="641" t="s">
        <v>37</v>
      </c>
      <c r="H38" s="641" t="s">
        <v>29</v>
      </c>
      <c r="I38" s="641" t="s">
        <v>30</v>
      </c>
      <c r="J38" s="641" t="s">
        <v>33</v>
      </c>
      <c r="K38" s="641" t="s">
        <v>34</v>
      </c>
    </row>
    <row r="39" spans="1:11" ht="18.75" customHeight="1" x14ac:dyDescent="0.35">
      <c r="A39" s="639" t="s">
        <v>86</v>
      </c>
      <c r="B39" s="636" t="s">
        <v>49</v>
      </c>
      <c r="C39" s="742"/>
      <c r="D39" s="742"/>
      <c r="E39" s="742"/>
      <c r="F39" s="742"/>
      <c r="G39" s="742"/>
      <c r="H39" s="742"/>
      <c r="I39" s="742"/>
      <c r="J39" s="742"/>
      <c r="K39" s="742"/>
    </row>
    <row r="40" spans="1:11" ht="18" customHeight="1" x14ac:dyDescent="0.35">
      <c r="A40" s="733" t="s">
        <v>87</v>
      </c>
      <c r="B40" s="742" t="s">
        <v>31</v>
      </c>
      <c r="C40" s="742"/>
      <c r="D40" s="742"/>
      <c r="E40" s="742"/>
      <c r="F40" s="646"/>
      <c r="G40" s="646"/>
      <c r="H40" s="647"/>
      <c r="I40" s="673">
        <v>0</v>
      </c>
      <c r="J40" s="647"/>
      <c r="K40" s="648">
        <f t="shared" ref="K40:K47" si="3">(H40+I40)-J40</f>
        <v>0</v>
      </c>
    </row>
    <row r="41" spans="1:11" ht="18" customHeight="1" x14ac:dyDescent="0.35">
      <c r="A41" s="733" t="s">
        <v>88</v>
      </c>
      <c r="B41" s="1359" t="s">
        <v>50</v>
      </c>
      <c r="C41" s="1359"/>
      <c r="D41" s="742"/>
      <c r="E41" s="742"/>
      <c r="F41" s="646"/>
      <c r="G41" s="646"/>
      <c r="H41" s="647"/>
      <c r="I41" s="673">
        <v>0</v>
      </c>
      <c r="J41" s="647"/>
      <c r="K41" s="648">
        <f t="shared" si="3"/>
        <v>0</v>
      </c>
    </row>
    <row r="42" spans="1:11" ht="18" customHeight="1" x14ac:dyDescent="0.35">
      <c r="A42" s="733" t="s">
        <v>89</v>
      </c>
      <c r="B42" s="635" t="s">
        <v>11</v>
      </c>
      <c r="C42" s="742"/>
      <c r="D42" s="742"/>
      <c r="E42" s="742"/>
      <c r="F42" s="646">
        <v>574.79999999999995</v>
      </c>
      <c r="G42" s="646">
        <v>105</v>
      </c>
      <c r="H42" s="647">
        <v>31344</v>
      </c>
      <c r="I42" s="673">
        <v>19032</v>
      </c>
      <c r="J42" s="647"/>
      <c r="K42" s="648">
        <f t="shared" si="3"/>
        <v>50376</v>
      </c>
    </row>
    <row r="43" spans="1:11" ht="18" customHeight="1" x14ac:dyDescent="0.35">
      <c r="A43" s="733" t="s">
        <v>90</v>
      </c>
      <c r="B43" s="670" t="s">
        <v>10</v>
      </c>
      <c r="C43" s="642"/>
      <c r="D43" s="642"/>
      <c r="E43" s="742"/>
      <c r="F43" s="646"/>
      <c r="G43" s="646"/>
      <c r="H43" s="647">
        <v>148174</v>
      </c>
      <c r="I43" s="673">
        <v>0</v>
      </c>
      <c r="J43" s="647"/>
      <c r="K43" s="648">
        <f t="shared" si="3"/>
        <v>148174</v>
      </c>
    </row>
    <row r="44" spans="1:11" ht="18" customHeight="1" x14ac:dyDescent="0.35">
      <c r="A44" s="733" t="s">
        <v>91</v>
      </c>
      <c r="B44" s="1351"/>
      <c r="C44" s="1352"/>
      <c r="D44" s="1353"/>
      <c r="E44" s="742"/>
      <c r="F44" s="677"/>
      <c r="G44" s="677"/>
      <c r="H44" s="677"/>
      <c r="I44" s="678">
        <v>0</v>
      </c>
      <c r="J44" s="677"/>
      <c r="K44" s="679">
        <f t="shared" si="3"/>
        <v>0</v>
      </c>
    </row>
    <row r="45" spans="1:11" ht="18" customHeight="1" x14ac:dyDescent="0.35">
      <c r="A45" s="733" t="s">
        <v>139</v>
      </c>
      <c r="B45" s="1351"/>
      <c r="C45" s="1352"/>
      <c r="D45" s="1353"/>
      <c r="E45" s="742"/>
      <c r="F45" s="646"/>
      <c r="G45" s="646"/>
      <c r="H45" s="647"/>
      <c r="I45" s="673">
        <v>0</v>
      </c>
      <c r="J45" s="647"/>
      <c r="K45" s="648">
        <f t="shared" si="3"/>
        <v>0</v>
      </c>
    </row>
    <row r="46" spans="1:11" ht="18" customHeight="1" x14ac:dyDescent="0.35">
      <c r="A46" s="733" t="s">
        <v>140</v>
      </c>
      <c r="B46" s="1351"/>
      <c r="C46" s="1352"/>
      <c r="D46" s="1353"/>
      <c r="E46" s="742"/>
      <c r="F46" s="646"/>
      <c r="G46" s="646"/>
      <c r="H46" s="647"/>
      <c r="I46" s="673">
        <v>0</v>
      </c>
      <c r="J46" s="647"/>
      <c r="K46" s="648">
        <f t="shared" si="3"/>
        <v>0</v>
      </c>
    </row>
    <row r="47" spans="1:11" ht="18" customHeight="1" x14ac:dyDescent="0.35">
      <c r="A47" s="733" t="s">
        <v>141</v>
      </c>
      <c r="B47" s="1351"/>
      <c r="C47" s="1352"/>
      <c r="D47" s="1353"/>
      <c r="E47" s="742"/>
      <c r="F47" s="646"/>
      <c r="G47" s="646"/>
      <c r="H47" s="647"/>
      <c r="I47" s="673">
        <v>0</v>
      </c>
      <c r="J47" s="647"/>
      <c r="K47" s="648">
        <f t="shared" si="3"/>
        <v>0</v>
      </c>
    </row>
    <row r="49" spans="1:11" ht="18" customHeight="1" x14ac:dyDescent="0.35">
      <c r="A49" s="639" t="s">
        <v>142</v>
      </c>
      <c r="B49" s="636" t="s">
        <v>143</v>
      </c>
      <c r="C49" s="742"/>
      <c r="D49" s="742"/>
      <c r="E49" s="636" t="s">
        <v>7</v>
      </c>
      <c r="F49" s="654">
        <f t="shared" ref="F49:K49" si="4">SUM(F40:F47)</f>
        <v>574.79999999999995</v>
      </c>
      <c r="G49" s="654">
        <f t="shared" si="4"/>
        <v>105</v>
      </c>
      <c r="H49" s="648">
        <f t="shared" si="4"/>
        <v>179518</v>
      </c>
      <c r="I49" s="648">
        <f t="shared" si="4"/>
        <v>19032</v>
      </c>
      <c r="J49" s="648">
        <f t="shared" si="4"/>
        <v>0</v>
      </c>
      <c r="K49" s="648">
        <f t="shared" si="4"/>
        <v>198550</v>
      </c>
    </row>
    <row r="50" spans="1:11" ht="18" customHeight="1" thickBot="1" x14ac:dyDescent="0.4">
      <c r="A50" s="742"/>
      <c r="B50" s="742"/>
      <c r="C50" s="742"/>
      <c r="D50" s="742"/>
      <c r="E50" s="742"/>
      <c r="F50" s="742"/>
      <c r="G50" s="655"/>
      <c r="H50" s="655"/>
      <c r="I50" s="655"/>
      <c r="J50" s="655"/>
      <c r="K50" s="655"/>
    </row>
    <row r="51" spans="1:11" ht="42.75" customHeight="1" x14ac:dyDescent="0.35">
      <c r="A51" s="742"/>
      <c r="B51" s="742"/>
      <c r="C51" s="742"/>
      <c r="D51" s="742"/>
      <c r="E51" s="742"/>
      <c r="F51" s="641" t="s">
        <v>9</v>
      </c>
      <c r="G51" s="641" t="s">
        <v>37</v>
      </c>
      <c r="H51" s="641" t="s">
        <v>29</v>
      </c>
      <c r="I51" s="641" t="s">
        <v>30</v>
      </c>
      <c r="J51" s="641" t="s">
        <v>33</v>
      </c>
      <c r="K51" s="641" t="s">
        <v>34</v>
      </c>
    </row>
    <row r="52" spans="1:11" ht="18" customHeight="1" x14ac:dyDescent="0.35">
      <c r="A52" s="639" t="s">
        <v>92</v>
      </c>
      <c r="B52" s="1358" t="s">
        <v>38</v>
      </c>
      <c r="C52" s="1358"/>
      <c r="D52" s="742"/>
      <c r="E52" s="742"/>
      <c r="F52" s="742"/>
      <c r="G52" s="742"/>
      <c r="H52" s="742"/>
      <c r="I52" s="742"/>
      <c r="J52" s="742"/>
      <c r="K52" s="742"/>
    </row>
    <row r="53" spans="1:11" ht="18" customHeight="1" x14ac:dyDescent="0.35">
      <c r="A53" s="733" t="s">
        <v>51</v>
      </c>
      <c r="B53" s="1354" t="s">
        <v>781</v>
      </c>
      <c r="C53" s="1355"/>
      <c r="D53" s="1356"/>
      <c r="E53" s="742"/>
      <c r="F53" s="646"/>
      <c r="G53" s="646"/>
      <c r="H53" s="647">
        <v>2305526</v>
      </c>
      <c r="I53" s="673">
        <v>0</v>
      </c>
      <c r="J53" s="647"/>
      <c r="K53" s="648">
        <f t="shared" ref="K53:K62" si="5">(H53+I53)-J53</f>
        <v>2305526</v>
      </c>
    </row>
    <row r="54" spans="1:11" ht="18" customHeight="1" x14ac:dyDescent="0.35">
      <c r="A54" s="733" t="s">
        <v>93</v>
      </c>
      <c r="B54" s="912"/>
      <c r="C54" s="913"/>
      <c r="D54" s="914"/>
      <c r="E54" s="742"/>
      <c r="F54" s="646"/>
      <c r="G54" s="646"/>
      <c r="H54" s="647"/>
      <c r="I54" s="673">
        <v>0</v>
      </c>
      <c r="J54" s="647"/>
      <c r="K54" s="648">
        <f t="shared" si="5"/>
        <v>0</v>
      </c>
    </row>
    <row r="55" spans="1:11" ht="18" customHeight="1" x14ac:dyDescent="0.35">
      <c r="A55" s="733" t="s">
        <v>94</v>
      </c>
      <c r="B55" s="1354" t="s">
        <v>782</v>
      </c>
      <c r="C55" s="1355"/>
      <c r="D55" s="1356"/>
      <c r="E55" s="742"/>
      <c r="F55" s="646"/>
      <c r="G55" s="646"/>
      <c r="H55" s="647">
        <v>2113627</v>
      </c>
      <c r="I55" s="673">
        <v>0</v>
      </c>
      <c r="J55" s="647">
        <v>405994</v>
      </c>
      <c r="K55" s="648">
        <f t="shared" si="5"/>
        <v>1707633</v>
      </c>
    </row>
    <row r="56" spans="1:11" ht="18" customHeight="1" x14ac:dyDescent="0.35">
      <c r="A56" s="733" t="s">
        <v>95</v>
      </c>
      <c r="B56" s="1354"/>
      <c r="C56" s="1355"/>
      <c r="D56" s="1356"/>
      <c r="E56" s="742"/>
      <c r="F56" s="646"/>
      <c r="G56" s="646"/>
      <c r="H56" s="647"/>
      <c r="I56" s="673">
        <v>0</v>
      </c>
      <c r="J56" s="647"/>
      <c r="K56" s="648">
        <f t="shared" si="5"/>
        <v>0</v>
      </c>
    </row>
    <row r="57" spans="1:11" ht="18" customHeight="1" x14ac:dyDescent="0.35">
      <c r="A57" s="733" t="s">
        <v>96</v>
      </c>
      <c r="B57" s="1354" t="s">
        <v>783</v>
      </c>
      <c r="C57" s="1355"/>
      <c r="D57" s="1356"/>
      <c r="E57" s="742"/>
      <c r="F57" s="646"/>
      <c r="G57" s="646"/>
      <c r="H57" s="647">
        <v>1580666</v>
      </c>
      <c r="I57" s="673">
        <v>0</v>
      </c>
      <c r="J57" s="647">
        <v>3253</v>
      </c>
      <c r="K57" s="648">
        <f t="shared" si="5"/>
        <v>1577413</v>
      </c>
    </row>
    <row r="58" spans="1:11" ht="18" customHeight="1" x14ac:dyDescent="0.35">
      <c r="A58" s="733" t="s">
        <v>97</v>
      </c>
      <c r="B58" s="912"/>
      <c r="C58" s="913"/>
      <c r="D58" s="914"/>
      <c r="E58" s="742"/>
      <c r="F58" s="646"/>
      <c r="G58" s="646"/>
      <c r="H58" s="647"/>
      <c r="I58" s="673">
        <v>0</v>
      </c>
      <c r="J58" s="647"/>
      <c r="K58" s="648">
        <f t="shared" si="5"/>
        <v>0</v>
      </c>
    </row>
    <row r="59" spans="1:11" ht="18" customHeight="1" x14ac:dyDescent="0.35">
      <c r="A59" s="733" t="s">
        <v>98</v>
      </c>
      <c r="B59" s="1354"/>
      <c r="C59" s="1355"/>
      <c r="D59" s="1356"/>
      <c r="E59" s="742"/>
      <c r="F59" s="646"/>
      <c r="G59" s="646"/>
      <c r="H59" s="647"/>
      <c r="I59" s="673">
        <v>0</v>
      </c>
      <c r="J59" s="647"/>
      <c r="K59" s="648">
        <f t="shared" si="5"/>
        <v>0</v>
      </c>
    </row>
    <row r="60" spans="1:11" ht="18" customHeight="1" x14ac:dyDescent="0.35">
      <c r="A60" s="733" t="s">
        <v>99</v>
      </c>
      <c r="B60" s="912" t="s">
        <v>784</v>
      </c>
      <c r="C60" s="913"/>
      <c r="D60" s="914"/>
      <c r="E60" s="742"/>
      <c r="F60" s="646"/>
      <c r="G60" s="646"/>
      <c r="H60" s="647">
        <v>550888</v>
      </c>
      <c r="I60" s="673">
        <v>0</v>
      </c>
      <c r="J60" s="647"/>
      <c r="K60" s="648">
        <f t="shared" si="5"/>
        <v>550888</v>
      </c>
    </row>
    <row r="61" spans="1:11" ht="18" customHeight="1" x14ac:dyDescent="0.35">
      <c r="A61" s="733" t="s">
        <v>100</v>
      </c>
      <c r="B61" s="912"/>
      <c r="C61" s="913"/>
      <c r="D61" s="914"/>
      <c r="E61" s="742"/>
      <c r="F61" s="646"/>
      <c r="G61" s="646"/>
      <c r="H61" s="647"/>
      <c r="I61" s="673">
        <v>0</v>
      </c>
      <c r="J61" s="647"/>
      <c r="K61" s="648">
        <f t="shared" si="5"/>
        <v>0</v>
      </c>
    </row>
    <row r="62" spans="1:11" ht="18" customHeight="1" x14ac:dyDescent="0.35">
      <c r="A62" s="733" t="s">
        <v>101</v>
      </c>
      <c r="B62" s="1354" t="s">
        <v>785</v>
      </c>
      <c r="C62" s="1355"/>
      <c r="D62" s="1356"/>
      <c r="E62" s="742"/>
      <c r="F62" s="646">
        <v>38.5</v>
      </c>
      <c r="G62" s="646">
        <v>450</v>
      </c>
      <c r="H62" s="647">
        <v>4644227</v>
      </c>
      <c r="I62" s="673">
        <v>0</v>
      </c>
      <c r="J62" s="647">
        <v>2495890</v>
      </c>
      <c r="K62" s="648">
        <f t="shared" si="5"/>
        <v>2148337</v>
      </c>
    </row>
    <row r="63" spans="1:11" ht="18" customHeight="1" x14ac:dyDescent="0.35">
      <c r="A63" s="733"/>
      <c r="B63" s="742"/>
      <c r="C63" s="742"/>
      <c r="D63" s="742"/>
      <c r="E63" s="742"/>
      <c r="F63" s="742"/>
      <c r="G63" s="742"/>
      <c r="H63" s="742"/>
      <c r="I63" s="669"/>
      <c r="J63" s="742"/>
      <c r="K63" s="742"/>
    </row>
    <row r="64" spans="1:11" ht="18" customHeight="1" x14ac:dyDescent="0.35">
      <c r="A64" s="733" t="s">
        <v>144</v>
      </c>
      <c r="B64" s="636" t="s">
        <v>145</v>
      </c>
      <c r="C64" s="742"/>
      <c r="D64" s="742"/>
      <c r="E64" s="636" t="s">
        <v>7</v>
      </c>
      <c r="F64" s="650">
        <f t="shared" ref="F64:K64" si="6">SUM(F53:F62)</f>
        <v>38.5</v>
      </c>
      <c r="G64" s="650">
        <f t="shared" si="6"/>
        <v>450</v>
      </c>
      <c r="H64" s="648">
        <f t="shared" si="6"/>
        <v>11194934</v>
      </c>
      <c r="I64" s="648">
        <f t="shared" si="6"/>
        <v>0</v>
      </c>
      <c r="J64" s="648">
        <f t="shared" si="6"/>
        <v>2905137</v>
      </c>
      <c r="K64" s="648">
        <f t="shared" si="6"/>
        <v>8289797</v>
      </c>
    </row>
    <row r="65" spans="1:11" ht="18" customHeight="1" x14ac:dyDescent="0.35">
      <c r="A65" s="742"/>
      <c r="B65" s="742"/>
      <c r="C65" s="742"/>
      <c r="D65" s="742"/>
      <c r="E65" s="742"/>
      <c r="F65" s="671"/>
      <c r="G65" s="671"/>
      <c r="H65" s="671"/>
      <c r="I65" s="671"/>
      <c r="J65" s="671"/>
      <c r="K65" s="671"/>
    </row>
    <row r="66" spans="1:11" ht="42.75" customHeight="1" x14ac:dyDescent="0.35">
      <c r="A66" s="742"/>
      <c r="B66" s="742"/>
      <c r="C66" s="742"/>
      <c r="D66" s="742"/>
      <c r="E66" s="742"/>
      <c r="F66" s="680" t="s">
        <v>9</v>
      </c>
      <c r="G66" s="680" t="s">
        <v>37</v>
      </c>
      <c r="H66" s="680" t="s">
        <v>29</v>
      </c>
      <c r="I66" s="680" t="s">
        <v>30</v>
      </c>
      <c r="J66" s="680" t="s">
        <v>33</v>
      </c>
      <c r="K66" s="680" t="s">
        <v>34</v>
      </c>
    </row>
    <row r="67" spans="1:11" ht="18" customHeight="1" x14ac:dyDescent="0.35">
      <c r="A67" s="639" t="s">
        <v>102</v>
      </c>
      <c r="B67" s="636" t="s">
        <v>12</v>
      </c>
      <c r="C67" s="742"/>
      <c r="D67" s="742"/>
      <c r="E67" s="742"/>
      <c r="F67" s="681"/>
      <c r="G67" s="681"/>
      <c r="H67" s="681"/>
      <c r="I67" s="682"/>
      <c r="J67" s="681"/>
      <c r="K67" s="683"/>
    </row>
    <row r="68" spans="1:11" ht="18" customHeight="1" x14ac:dyDescent="0.35">
      <c r="A68" s="733" t="s">
        <v>103</v>
      </c>
      <c r="B68" s="742" t="s">
        <v>52</v>
      </c>
      <c r="C68" s="742"/>
      <c r="D68" s="742"/>
      <c r="E68" s="742"/>
      <c r="F68" s="674"/>
      <c r="G68" s="674"/>
      <c r="H68" s="674"/>
      <c r="I68" s="673">
        <v>0</v>
      </c>
      <c r="J68" s="674"/>
      <c r="K68" s="648">
        <f>(H68+I68)-J68</f>
        <v>0</v>
      </c>
    </row>
    <row r="69" spans="1:11" ht="18" customHeight="1" x14ac:dyDescent="0.35">
      <c r="A69" s="733" t="s">
        <v>104</v>
      </c>
      <c r="B69" s="635" t="s">
        <v>53</v>
      </c>
      <c r="C69" s="742"/>
      <c r="D69" s="742"/>
      <c r="E69" s="742"/>
      <c r="F69" s="674"/>
      <c r="G69" s="674"/>
      <c r="H69" s="674"/>
      <c r="I69" s="673">
        <v>0</v>
      </c>
      <c r="J69" s="674"/>
      <c r="K69" s="648">
        <f>(H69+I69)-J69</f>
        <v>0</v>
      </c>
    </row>
    <row r="70" spans="1:11" ht="18" customHeight="1" x14ac:dyDescent="0.35">
      <c r="A70" s="733" t="s">
        <v>178</v>
      </c>
      <c r="B70" s="912"/>
      <c r="C70" s="913"/>
      <c r="D70" s="914"/>
      <c r="E70" s="636"/>
      <c r="F70" s="658"/>
      <c r="G70" s="658"/>
      <c r="H70" s="659"/>
      <c r="I70" s="673">
        <v>0</v>
      </c>
      <c r="J70" s="659"/>
      <c r="K70" s="648">
        <f>(H70+I70)-J70</f>
        <v>0</v>
      </c>
    </row>
    <row r="71" spans="1:11" ht="18" customHeight="1" x14ac:dyDescent="0.35">
      <c r="A71" s="733" t="s">
        <v>179</v>
      </c>
      <c r="B71" s="912"/>
      <c r="C71" s="913"/>
      <c r="D71" s="914"/>
      <c r="E71" s="636"/>
      <c r="F71" s="658"/>
      <c r="G71" s="658"/>
      <c r="H71" s="659"/>
      <c r="I71" s="673">
        <v>0</v>
      </c>
      <c r="J71" s="659"/>
      <c r="K71" s="648">
        <f>(H71+I71)-J71</f>
        <v>0</v>
      </c>
    </row>
    <row r="72" spans="1:11" ht="18" customHeight="1" x14ac:dyDescent="0.35">
      <c r="A72" s="733" t="s">
        <v>180</v>
      </c>
      <c r="B72" s="930"/>
      <c r="C72" s="929"/>
      <c r="D72" s="657"/>
      <c r="E72" s="636"/>
      <c r="F72" s="646"/>
      <c r="G72" s="646"/>
      <c r="H72" s="647"/>
      <c r="I72" s="673">
        <v>0</v>
      </c>
      <c r="J72" s="647"/>
      <c r="K72" s="648">
        <f>(H72+I72)-J72</f>
        <v>0</v>
      </c>
    </row>
    <row r="73" spans="1:11" ht="18" customHeight="1" x14ac:dyDescent="0.35">
      <c r="A73" s="733"/>
      <c r="B73" s="635"/>
      <c r="C73" s="742"/>
      <c r="D73" s="742"/>
      <c r="E73" s="636"/>
      <c r="F73" s="684"/>
      <c r="G73" s="684"/>
      <c r="H73" s="685"/>
      <c r="I73" s="682"/>
      <c r="J73" s="685"/>
      <c r="K73" s="683"/>
    </row>
    <row r="74" spans="1:11" ht="18" customHeight="1" x14ac:dyDescent="0.35">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5">
      <c r="A75" s="742"/>
      <c r="B75" s="742"/>
      <c r="C75" s="742"/>
      <c r="D75" s="742"/>
      <c r="E75" s="742"/>
      <c r="F75" s="641" t="s">
        <v>9</v>
      </c>
      <c r="G75" s="641" t="s">
        <v>37</v>
      </c>
      <c r="H75" s="641" t="s">
        <v>29</v>
      </c>
      <c r="I75" s="641" t="s">
        <v>30</v>
      </c>
      <c r="J75" s="641" t="s">
        <v>33</v>
      </c>
      <c r="K75" s="641" t="s">
        <v>34</v>
      </c>
    </row>
    <row r="76" spans="1:11" ht="18" customHeight="1" x14ac:dyDescent="0.35">
      <c r="A76" s="639" t="s">
        <v>105</v>
      </c>
      <c r="B76" s="636" t="s">
        <v>106</v>
      </c>
      <c r="C76" s="742"/>
      <c r="D76" s="742"/>
      <c r="E76" s="742"/>
      <c r="F76" s="742"/>
      <c r="G76" s="742"/>
      <c r="H76" s="742"/>
      <c r="I76" s="742"/>
      <c r="J76" s="742"/>
      <c r="K76" s="742"/>
    </row>
    <row r="77" spans="1:11" ht="18" customHeight="1" x14ac:dyDescent="0.35">
      <c r="A77" s="733" t="s">
        <v>107</v>
      </c>
      <c r="B77" s="635" t="s">
        <v>54</v>
      </c>
      <c r="C77" s="742"/>
      <c r="D77" s="742"/>
      <c r="E77" s="742"/>
      <c r="F77" s="646"/>
      <c r="G77" s="646"/>
      <c r="H77" s="647">
        <v>29415</v>
      </c>
      <c r="I77" s="673">
        <v>0</v>
      </c>
      <c r="J77" s="647"/>
      <c r="K77" s="648">
        <f>(H77+I77)-J77</f>
        <v>29415</v>
      </c>
    </row>
    <row r="78" spans="1:11" ht="18" customHeight="1" x14ac:dyDescent="0.35">
      <c r="A78" s="733" t="s">
        <v>108</v>
      </c>
      <c r="B78" s="635" t="s">
        <v>55</v>
      </c>
      <c r="C78" s="742"/>
      <c r="D78" s="742"/>
      <c r="E78" s="742"/>
      <c r="F78" s="646"/>
      <c r="G78" s="646"/>
      <c r="H78" s="647">
        <v>16500</v>
      </c>
      <c r="I78" s="673">
        <v>0</v>
      </c>
      <c r="J78" s="647"/>
      <c r="K78" s="648">
        <f>(H78+I78)-J78</f>
        <v>16500</v>
      </c>
    </row>
    <row r="79" spans="1:11" ht="18" customHeight="1" x14ac:dyDescent="0.35">
      <c r="A79" s="733" t="s">
        <v>109</v>
      </c>
      <c r="B79" s="635" t="s">
        <v>13</v>
      </c>
      <c r="C79" s="742"/>
      <c r="D79" s="742"/>
      <c r="E79" s="742"/>
      <c r="F79" s="646">
        <v>129.5</v>
      </c>
      <c r="G79" s="646">
        <v>329</v>
      </c>
      <c r="H79" s="647">
        <v>600719</v>
      </c>
      <c r="I79" s="673">
        <v>21573</v>
      </c>
      <c r="J79" s="647">
        <v>528315</v>
      </c>
      <c r="K79" s="648">
        <f>(H79+I79)-J79</f>
        <v>93977</v>
      </c>
    </row>
    <row r="80" spans="1:11" ht="18" customHeight="1" x14ac:dyDescent="0.35">
      <c r="A80" s="733" t="s">
        <v>110</v>
      </c>
      <c r="B80" s="635" t="s">
        <v>56</v>
      </c>
      <c r="C80" s="742"/>
      <c r="D80" s="742"/>
      <c r="E80" s="742"/>
      <c r="F80" s="646"/>
      <c r="G80" s="646"/>
      <c r="H80" s="647"/>
      <c r="I80" s="673">
        <v>0</v>
      </c>
      <c r="J80" s="647"/>
      <c r="K80" s="648">
        <f>(H80+I80)-J80</f>
        <v>0</v>
      </c>
    </row>
    <row r="81" spans="1:11" ht="18" customHeight="1" x14ac:dyDescent="0.35">
      <c r="A81" s="733"/>
      <c r="B81" s="742"/>
      <c r="C81" s="742"/>
      <c r="D81" s="742"/>
      <c r="E81" s="742"/>
      <c r="F81" s="742"/>
      <c r="G81" s="742"/>
      <c r="H81" s="742"/>
      <c r="I81" s="742"/>
      <c r="J81" s="742"/>
      <c r="K81" s="663"/>
    </row>
    <row r="82" spans="1:11" ht="18" customHeight="1" x14ac:dyDescent="0.35">
      <c r="A82" s="733" t="s">
        <v>148</v>
      </c>
      <c r="B82" s="636" t="s">
        <v>149</v>
      </c>
      <c r="C82" s="742"/>
      <c r="D82" s="742"/>
      <c r="E82" s="636" t="s">
        <v>7</v>
      </c>
      <c r="F82" s="653">
        <f t="shared" ref="F82:K82" si="8">SUM(F77:F80)</f>
        <v>129.5</v>
      </c>
      <c r="G82" s="653">
        <f t="shared" si="8"/>
        <v>329</v>
      </c>
      <c r="H82" s="649">
        <f t="shared" si="8"/>
        <v>646634</v>
      </c>
      <c r="I82" s="649">
        <f t="shared" si="8"/>
        <v>21573</v>
      </c>
      <c r="J82" s="649">
        <f t="shared" si="8"/>
        <v>528315</v>
      </c>
      <c r="K82" s="649">
        <f t="shared" si="8"/>
        <v>139892</v>
      </c>
    </row>
    <row r="83" spans="1:11" ht="18" customHeight="1" thickBot="1" x14ac:dyDescent="0.4">
      <c r="A83" s="733"/>
      <c r="B83" s="742"/>
      <c r="C83" s="742"/>
      <c r="D83" s="742"/>
      <c r="E83" s="742"/>
      <c r="F83" s="655"/>
      <c r="G83" s="655"/>
      <c r="H83" s="655"/>
      <c r="I83" s="655"/>
      <c r="J83" s="655"/>
      <c r="K83" s="655"/>
    </row>
    <row r="84" spans="1:11" ht="42.75" customHeight="1" x14ac:dyDescent="0.35">
      <c r="A84" s="742"/>
      <c r="B84" s="742"/>
      <c r="C84" s="742"/>
      <c r="D84" s="742"/>
      <c r="E84" s="742"/>
      <c r="F84" s="641" t="s">
        <v>9</v>
      </c>
      <c r="G84" s="641" t="s">
        <v>37</v>
      </c>
      <c r="H84" s="641" t="s">
        <v>29</v>
      </c>
      <c r="I84" s="641" t="s">
        <v>30</v>
      </c>
      <c r="J84" s="641" t="s">
        <v>33</v>
      </c>
      <c r="K84" s="641" t="s">
        <v>34</v>
      </c>
    </row>
    <row r="85" spans="1:11" ht="18" customHeight="1" x14ac:dyDescent="0.35">
      <c r="A85" s="639" t="s">
        <v>111</v>
      </c>
      <c r="B85" s="636" t="s">
        <v>57</v>
      </c>
      <c r="C85" s="742"/>
      <c r="D85" s="742"/>
      <c r="E85" s="742"/>
      <c r="F85" s="742"/>
      <c r="G85" s="742"/>
      <c r="H85" s="742"/>
      <c r="I85" s="742"/>
      <c r="J85" s="742"/>
      <c r="K85" s="742"/>
    </row>
    <row r="86" spans="1:11" ht="18" customHeight="1" x14ac:dyDescent="0.35">
      <c r="A86" s="733" t="s">
        <v>112</v>
      </c>
      <c r="B86" s="635" t="s">
        <v>113</v>
      </c>
      <c r="C86" s="742"/>
      <c r="D86" s="742"/>
      <c r="E86" s="742"/>
      <c r="F86" s="646"/>
      <c r="G86" s="646"/>
      <c r="H86" s="647">
        <v>1396063</v>
      </c>
      <c r="I86" s="673">
        <v>20673</v>
      </c>
      <c r="J86" s="647"/>
      <c r="K86" s="648">
        <f t="shared" ref="K86:K96" si="9">(H86+I86)-J86</f>
        <v>1416736</v>
      </c>
    </row>
    <row r="87" spans="1:11" ht="18" customHeight="1" x14ac:dyDescent="0.35">
      <c r="A87" s="733" t="s">
        <v>114</v>
      </c>
      <c r="B87" s="635" t="s">
        <v>14</v>
      </c>
      <c r="C87" s="742"/>
      <c r="D87" s="742"/>
      <c r="E87" s="742"/>
      <c r="F87" s="646"/>
      <c r="G87" s="646"/>
      <c r="H87" s="647">
        <v>716836</v>
      </c>
      <c r="I87" s="673">
        <v>46319</v>
      </c>
      <c r="J87" s="647"/>
      <c r="K87" s="648">
        <f t="shared" si="9"/>
        <v>763155</v>
      </c>
    </row>
    <row r="88" spans="1:11" ht="18" customHeight="1" x14ac:dyDescent="0.35">
      <c r="A88" s="733" t="s">
        <v>115</v>
      </c>
      <c r="B88" s="635" t="s">
        <v>116</v>
      </c>
      <c r="C88" s="742"/>
      <c r="D88" s="742"/>
      <c r="E88" s="742"/>
      <c r="F88" s="646"/>
      <c r="G88" s="646"/>
      <c r="H88" s="647"/>
      <c r="I88" s="673">
        <f t="shared" ref="I88:I96" si="10">H88*F$114</f>
        <v>0</v>
      </c>
      <c r="J88" s="647"/>
      <c r="K88" s="648">
        <f t="shared" si="9"/>
        <v>0</v>
      </c>
    </row>
    <row r="89" spans="1:11" ht="18" customHeight="1" x14ac:dyDescent="0.35">
      <c r="A89" s="733" t="s">
        <v>117</v>
      </c>
      <c r="B89" s="635" t="s">
        <v>58</v>
      </c>
      <c r="C89" s="742"/>
      <c r="D89" s="742"/>
      <c r="E89" s="742"/>
      <c r="F89" s="646"/>
      <c r="G89" s="646"/>
      <c r="H89" s="647"/>
      <c r="I89" s="673">
        <f t="shared" si="10"/>
        <v>0</v>
      </c>
      <c r="J89" s="647"/>
      <c r="K89" s="648">
        <f t="shared" si="9"/>
        <v>0</v>
      </c>
    </row>
    <row r="90" spans="1:11" ht="18" customHeight="1" x14ac:dyDescent="0.35">
      <c r="A90" s="733" t="s">
        <v>118</v>
      </c>
      <c r="B90" s="1359" t="s">
        <v>59</v>
      </c>
      <c r="C90" s="1359"/>
      <c r="D90" s="742"/>
      <c r="E90" s="742"/>
      <c r="F90" s="646">
        <v>20</v>
      </c>
      <c r="G90" s="646"/>
      <c r="H90" s="647">
        <v>1711</v>
      </c>
      <c r="I90" s="673"/>
      <c r="J90" s="647"/>
      <c r="K90" s="648">
        <f t="shared" si="9"/>
        <v>1711</v>
      </c>
    </row>
    <row r="91" spans="1:11" ht="18" customHeight="1" x14ac:dyDescent="0.35">
      <c r="A91" s="733" t="s">
        <v>119</v>
      </c>
      <c r="B91" s="635" t="s">
        <v>60</v>
      </c>
      <c r="C91" s="742"/>
      <c r="D91" s="742"/>
      <c r="E91" s="742"/>
      <c r="F91" s="646"/>
      <c r="G91" s="646"/>
      <c r="H91" s="647"/>
      <c r="I91" s="673">
        <f t="shared" si="10"/>
        <v>0</v>
      </c>
      <c r="J91" s="647"/>
      <c r="K91" s="648">
        <f t="shared" si="9"/>
        <v>0</v>
      </c>
    </row>
    <row r="92" spans="1:11" ht="18" customHeight="1" x14ac:dyDescent="0.35">
      <c r="A92" s="733" t="s">
        <v>120</v>
      </c>
      <c r="B92" s="635" t="s">
        <v>121</v>
      </c>
      <c r="C92" s="742"/>
      <c r="D92" s="742"/>
      <c r="E92" s="742"/>
      <c r="F92" s="661">
        <v>181</v>
      </c>
      <c r="G92" s="661">
        <v>1278</v>
      </c>
      <c r="H92" s="662">
        <v>33811</v>
      </c>
      <c r="I92" s="673">
        <v>19077</v>
      </c>
      <c r="J92" s="662"/>
      <c r="K92" s="648">
        <f t="shared" si="9"/>
        <v>52888</v>
      </c>
    </row>
    <row r="93" spans="1:11" ht="18" customHeight="1" x14ac:dyDescent="0.35">
      <c r="A93" s="733" t="s">
        <v>122</v>
      </c>
      <c r="B93" s="635" t="s">
        <v>123</v>
      </c>
      <c r="C93" s="742"/>
      <c r="D93" s="742"/>
      <c r="E93" s="742"/>
      <c r="F93" s="646">
        <v>38243</v>
      </c>
      <c r="G93" s="646">
        <v>396</v>
      </c>
      <c r="H93" s="647">
        <v>304852</v>
      </c>
      <c r="I93" s="673">
        <v>188367</v>
      </c>
      <c r="J93" s="647"/>
      <c r="K93" s="648">
        <f t="shared" si="9"/>
        <v>493219</v>
      </c>
    </row>
    <row r="94" spans="1:11" ht="18" customHeight="1" x14ac:dyDescent="0.35">
      <c r="A94" s="733" t="s">
        <v>124</v>
      </c>
      <c r="B94" s="1354"/>
      <c r="C94" s="1355"/>
      <c r="D94" s="1356"/>
      <c r="E94" s="742"/>
      <c r="F94" s="646"/>
      <c r="G94" s="646"/>
      <c r="H94" s="647"/>
      <c r="I94" s="673">
        <f t="shared" si="10"/>
        <v>0</v>
      </c>
      <c r="J94" s="647"/>
      <c r="K94" s="648">
        <f t="shared" si="9"/>
        <v>0</v>
      </c>
    </row>
    <row r="95" spans="1:11" ht="18" customHeight="1" x14ac:dyDescent="0.35">
      <c r="A95" s="733" t="s">
        <v>125</v>
      </c>
      <c r="B95" s="1354"/>
      <c r="C95" s="1355"/>
      <c r="D95" s="1356"/>
      <c r="E95" s="742"/>
      <c r="F95" s="646"/>
      <c r="G95" s="646"/>
      <c r="H95" s="647"/>
      <c r="I95" s="673">
        <f t="shared" si="10"/>
        <v>0</v>
      </c>
      <c r="J95" s="647"/>
      <c r="K95" s="648">
        <f t="shared" si="9"/>
        <v>0</v>
      </c>
    </row>
    <row r="96" spans="1:11" ht="18" customHeight="1" x14ac:dyDescent="0.35">
      <c r="A96" s="733" t="s">
        <v>126</v>
      </c>
      <c r="B96" s="1354"/>
      <c r="C96" s="1355"/>
      <c r="D96" s="1356"/>
      <c r="E96" s="742"/>
      <c r="F96" s="646"/>
      <c r="G96" s="646"/>
      <c r="H96" s="647"/>
      <c r="I96" s="673">
        <f t="shared" si="10"/>
        <v>0</v>
      </c>
      <c r="J96" s="647"/>
      <c r="K96" s="648">
        <f t="shared" si="9"/>
        <v>0</v>
      </c>
    </row>
    <row r="97" spans="1:11" ht="18" customHeight="1" x14ac:dyDescent="0.35">
      <c r="A97" s="733"/>
      <c r="B97" s="635"/>
      <c r="C97" s="742"/>
      <c r="D97" s="742"/>
      <c r="E97" s="742"/>
      <c r="F97" s="742"/>
      <c r="G97" s="742"/>
      <c r="H97" s="742"/>
      <c r="I97" s="742"/>
      <c r="J97" s="742"/>
      <c r="K97" s="742"/>
    </row>
    <row r="98" spans="1:11" ht="18" customHeight="1" x14ac:dyDescent="0.35">
      <c r="A98" s="639" t="s">
        <v>150</v>
      </c>
      <c r="B98" s="636" t="s">
        <v>151</v>
      </c>
      <c r="C98" s="742"/>
      <c r="D98" s="742"/>
      <c r="E98" s="636" t="s">
        <v>7</v>
      </c>
      <c r="F98" s="650">
        <f t="shared" ref="F98:K98" si="11">SUM(F86:F96)</f>
        <v>38444</v>
      </c>
      <c r="G98" s="650">
        <f t="shared" si="11"/>
        <v>1674</v>
      </c>
      <c r="H98" s="650">
        <f t="shared" si="11"/>
        <v>2453273</v>
      </c>
      <c r="I98" s="650">
        <f t="shared" si="11"/>
        <v>274436</v>
      </c>
      <c r="J98" s="650">
        <f t="shared" si="11"/>
        <v>0</v>
      </c>
      <c r="K98" s="650">
        <f t="shared" si="11"/>
        <v>2727709</v>
      </c>
    </row>
    <row r="99" spans="1:11" ht="18" customHeight="1" thickBot="1" x14ac:dyDescent="0.4">
      <c r="A99" s="742"/>
      <c r="B99" s="636"/>
      <c r="C99" s="742"/>
      <c r="D99" s="742"/>
      <c r="E99" s="742"/>
      <c r="F99" s="655"/>
      <c r="G99" s="655"/>
      <c r="H99" s="655"/>
      <c r="I99" s="655"/>
      <c r="J99" s="655"/>
      <c r="K99" s="655"/>
    </row>
    <row r="100" spans="1:11" ht="42.75" customHeight="1" x14ac:dyDescent="0.35">
      <c r="A100" s="742"/>
      <c r="B100" s="742"/>
      <c r="C100" s="742"/>
      <c r="D100" s="742"/>
      <c r="E100" s="742"/>
      <c r="F100" s="641" t="s">
        <v>9</v>
      </c>
      <c r="G100" s="641" t="s">
        <v>37</v>
      </c>
      <c r="H100" s="641" t="s">
        <v>29</v>
      </c>
      <c r="I100" s="641" t="s">
        <v>30</v>
      </c>
      <c r="J100" s="641" t="s">
        <v>33</v>
      </c>
      <c r="K100" s="641" t="s">
        <v>34</v>
      </c>
    </row>
    <row r="101" spans="1:11" ht="18" customHeight="1" x14ac:dyDescent="0.35">
      <c r="A101" s="639" t="s">
        <v>130</v>
      </c>
      <c r="B101" s="636" t="s">
        <v>63</v>
      </c>
      <c r="C101" s="742"/>
      <c r="D101" s="742"/>
      <c r="E101" s="742"/>
      <c r="F101" s="742"/>
      <c r="G101" s="742"/>
      <c r="H101" s="742"/>
      <c r="I101" s="742"/>
      <c r="J101" s="742"/>
      <c r="K101" s="742"/>
    </row>
    <row r="102" spans="1:11" ht="18" customHeight="1" x14ac:dyDescent="0.35">
      <c r="A102" s="733" t="s">
        <v>131</v>
      </c>
      <c r="B102" s="635" t="s">
        <v>152</v>
      </c>
      <c r="C102" s="742"/>
      <c r="D102" s="742"/>
      <c r="E102" s="742"/>
      <c r="F102" s="646">
        <v>4480</v>
      </c>
      <c r="G102" s="646"/>
      <c r="H102" s="647">
        <v>250001</v>
      </c>
      <c r="I102" s="673">
        <v>155000</v>
      </c>
      <c r="J102" s="647"/>
      <c r="K102" s="648">
        <f>(H102+I102)-J102</f>
        <v>405001</v>
      </c>
    </row>
    <row r="103" spans="1:11" ht="18" customHeight="1" x14ac:dyDescent="0.35">
      <c r="A103" s="733" t="s">
        <v>132</v>
      </c>
      <c r="B103" s="1357" t="s">
        <v>62</v>
      </c>
      <c r="C103" s="1357"/>
      <c r="D103" s="742"/>
      <c r="E103" s="742"/>
      <c r="F103" s="646"/>
      <c r="G103" s="646"/>
      <c r="H103" s="647"/>
      <c r="I103" s="673">
        <f>H103*F$114</f>
        <v>0</v>
      </c>
      <c r="J103" s="647"/>
      <c r="K103" s="648">
        <f>(H103+I103)-J103</f>
        <v>0</v>
      </c>
    </row>
    <row r="104" spans="1:11" ht="18" customHeight="1" x14ac:dyDescent="0.35">
      <c r="A104" s="733" t="s">
        <v>128</v>
      </c>
      <c r="B104" s="1354"/>
      <c r="C104" s="1355"/>
      <c r="D104" s="1356"/>
      <c r="E104" s="742"/>
      <c r="F104" s="646"/>
      <c r="G104" s="646"/>
      <c r="H104" s="647"/>
      <c r="I104" s="673">
        <f>H104*F$114</f>
        <v>0</v>
      </c>
      <c r="J104" s="647"/>
      <c r="K104" s="648">
        <f>(H104+I104)-J104</f>
        <v>0</v>
      </c>
    </row>
    <row r="105" spans="1:11" ht="18" customHeight="1" x14ac:dyDescent="0.35">
      <c r="A105" s="733" t="s">
        <v>127</v>
      </c>
      <c r="B105" s="1354"/>
      <c r="C105" s="1355"/>
      <c r="D105" s="1356"/>
      <c r="E105" s="742"/>
      <c r="F105" s="646"/>
      <c r="G105" s="646"/>
      <c r="H105" s="647"/>
      <c r="I105" s="673">
        <f>H105*F$114</f>
        <v>0</v>
      </c>
      <c r="J105" s="647"/>
      <c r="K105" s="648">
        <f>(H105+I105)-J105</f>
        <v>0</v>
      </c>
    </row>
    <row r="106" spans="1:11" ht="18" customHeight="1" x14ac:dyDescent="0.35">
      <c r="A106" s="733" t="s">
        <v>129</v>
      </c>
      <c r="B106" s="1354"/>
      <c r="C106" s="1355"/>
      <c r="D106" s="1356"/>
      <c r="E106" s="742"/>
      <c r="F106" s="646"/>
      <c r="G106" s="646"/>
      <c r="H106" s="647"/>
      <c r="I106" s="673">
        <f>H106*F$114</f>
        <v>0</v>
      </c>
      <c r="J106" s="647"/>
      <c r="K106" s="648">
        <f>(H106+I106)-J106</f>
        <v>0</v>
      </c>
    </row>
    <row r="107" spans="1:11" ht="18" customHeight="1" x14ac:dyDescent="0.35">
      <c r="A107" s="742"/>
      <c r="B107" s="636"/>
      <c r="C107" s="742"/>
      <c r="D107" s="742"/>
      <c r="E107" s="742"/>
      <c r="F107" s="742"/>
      <c r="G107" s="742"/>
      <c r="H107" s="742"/>
      <c r="I107" s="742"/>
      <c r="J107" s="742"/>
      <c r="K107" s="742"/>
    </row>
    <row r="108" spans="1:11" s="101" customFormat="1" ht="18" customHeight="1" x14ac:dyDescent="0.35">
      <c r="A108" s="639" t="s">
        <v>153</v>
      </c>
      <c r="B108" s="686" t="s">
        <v>154</v>
      </c>
      <c r="C108" s="742"/>
      <c r="D108" s="742"/>
      <c r="E108" s="636" t="s">
        <v>7</v>
      </c>
      <c r="F108" s="650">
        <f t="shared" ref="F108:K108" si="12">SUM(F102:F106)</f>
        <v>4480</v>
      </c>
      <c r="G108" s="650">
        <f t="shared" si="12"/>
        <v>0</v>
      </c>
      <c r="H108" s="648">
        <f t="shared" si="12"/>
        <v>250001</v>
      </c>
      <c r="I108" s="648">
        <f t="shared" si="12"/>
        <v>155000</v>
      </c>
      <c r="J108" s="648">
        <f t="shared" si="12"/>
        <v>0</v>
      </c>
      <c r="K108" s="648">
        <f t="shared" si="12"/>
        <v>405001</v>
      </c>
    </row>
    <row r="109" spans="1:11" s="101" customFormat="1" ht="18" customHeight="1" thickBot="1" x14ac:dyDescent="0.4">
      <c r="A109" s="643"/>
      <c r="B109" s="644"/>
      <c r="C109" s="645"/>
      <c r="D109" s="645"/>
      <c r="E109" s="645"/>
      <c r="F109" s="655"/>
      <c r="G109" s="655"/>
      <c r="H109" s="655"/>
      <c r="I109" s="655"/>
      <c r="J109" s="655"/>
      <c r="K109" s="655"/>
    </row>
    <row r="110" spans="1:11" s="101" customFormat="1" ht="18" customHeight="1" x14ac:dyDescent="0.35">
      <c r="A110" s="639" t="s">
        <v>156</v>
      </c>
      <c r="B110" s="636" t="s">
        <v>39</v>
      </c>
      <c r="C110" s="742"/>
      <c r="D110" s="742"/>
      <c r="E110" s="742"/>
      <c r="F110" s="742"/>
      <c r="G110" s="742"/>
      <c r="H110" s="742"/>
      <c r="I110" s="742"/>
      <c r="J110" s="742"/>
      <c r="K110" s="742"/>
    </row>
    <row r="111" spans="1:11" ht="18" customHeight="1" x14ac:dyDescent="0.35">
      <c r="A111" s="639" t="s">
        <v>155</v>
      </c>
      <c r="B111" s="636" t="s">
        <v>164</v>
      </c>
      <c r="C111" s="742"/>
      <c r="D111" s="742"/>
      <c r="E111" s="636" t="s">
        <v>7</v>
      </c>
      <c r="F111" s="647">
        <v>2458649</v>
      </c>
      <c r="G111" s="742"/>
      <c r="H111" s="742"/>
      <c r="I111" s="742"/>
      <c r="J111" s="742"/>
      <c r="K111" s="742"/>
    </row>
    <row r="112" spans="1:11" ht="18" customHeight="1" x14ac:dyDescent="0.35">
      <c r="A112" s="742"/>
      <c r="B112" s="636"/>
      <c r="C112" s="742"/>
      <c r="D112" s="742"/>
      <c r="E112" s="636"/>
      <c r="F112" s="734"/>
      <c r="G112" s="742"/>
      <c r="H112" s="742"/>
      <c r="I112" s="742"/>
      <c r="J112" s="742"/>
      <c r="K112" s="742"/>
    </row>
    <row r="113" spans="1:6" ht="14.5" x14ac:dyDescent="0.35">
      <c r="A113" s="639"/>
      <c r="B113" s="636" t="s">
        <v>15</v>
      </c>
      <c r="C113" s="742"/>
      <c r="D113" s="742"/>
      <c r="E113" s="742"/>
      <c r="F113" s="742"/>
    </row>
    <row r="114" spans="1:6" ht="14.5" x14ac:dyDescent="0.35">
      <c r="A114" s="733" t="s">
        <v>171</v>
      </c>
      <c r="B114" s="635" t="s">
        <v>35</v>
      </c>
      <c r="C114" s="742"/>
      <c r="D114" s="742"/>
      <c r="E114" s="742"/>
      <c r="F114" s="656">
        <v>0.62019999999999997</v>
      </c>
    </row>
    <row r="115" spans="1:6" ht="14.5" x14ac:dyDescent="0.35">
      <c r="A115" s="733"/>
      <c r="B115" s="636"/>
      <c r="C115" s="742"/>
      <c r="D115" s="742"/>
      <c r="E115" s="742"/>
      <c r="F115" s="742"/>
    </row>
    <row r="116" spans="1:6" ht="14.5" x14ac:dyDescent="0.35">
      <c r="A116" s="733" t="s">
        <v>170</v>
      </c>
      <c r="B116" s="636" t="s">
        <v>16</v>
      </c>
      <c r="C116" s="742"/>
      <c r="D116" s="742"/>
      <c r="E116" s="742"/>
      <c r="F116" s="742"/>
    </row>
    <row r="117" spans="1:6" ht="14.5" x14ac:dyDescent="0.35">
      <c r="A117" s="733" t="s">
        <v>172</v>
      </c>
      <c r="B117" s="635" t="s">
        <v>17</v>
      </c>
      <c r="C117" s="742"/>
      <c r="D117" s="742"/>
      <c r="E117" s="742"/>
      <c r="F117" s="647">
        <v>169288567</v>
      </c>
    </row>
    <row r="118" spans="1:6" ht="14.5" x14ac:dyDescent="0.35">
      <c r="A118" s="733" t="s">
        <v>173</v>
      </c>
      <c r="B118" s="742" t="s">
        <v>18</v>
      </c>
      <c r="C118" s="742"/>
      <c r="D118" s="742"/>
      <c r="E118" s="742"/>
      <c r="F118" s="647">
        <v>3620978</v>
      </c>
    </row>
    <row r="119" spans="1:6" ht="14.5" x14ac:dyDescent="0.35">
      <c r="A119" s="733" t="s">
        <v>174</v>
      </c>
      <c r="B119" s="636" t="s">
        <v>19</v>
      </c>
      <c r="C119" s="742"/>
      <c r="D119" s="742"/>
      <c r="E119" s="742"/>
      <c r="F119" s="649">
        <f>SUM(F117:F118)</f>
        <v>172909545</v>
      </c>
    </row>
    <row r="120" spans="1:6" ht="14.5" x14ac:dyDescent="0.35">
      <c r="A120" s="733"/>
      <c r="B120" s="636"/>
      <c r="C120" s="742"/>
      <c r="D120" s="742"/>
      <c r="E120" s="742"/>
      <c r="F120" s="742"/>
    </row>
    <row r="121" spans="1:6" ht="14.5" x14ac:dyDescent="0.35">
      <c r="A121" s="733" t="s">
        <v>167</v>
      </c>
      <c r="B121" s="636" t="s">
        <v>36</v>
      </c>
      <c r="C121" s="742"/>
      <c r="D121" s="742"/>
      <c r="E121" s="742"/>
      <c r="F121" s="647">
        <v>168757516</v>
      </c>
    </row>
    <row r="122" spans="1:6" ht="14.5" x14ac:dyDescent="0.35">
      <c r="A122" s="733"/>
      <c r="B122" s="742"/>
      <c r="C122" s="742"/>
      <c r="D122" s="742"/>
      <c r="E122" s="742"/>
      <c r="F122" s="742"/>
    </row>
    <row r="123" spans="1:6" ht="14.5" x14ac:dyDescent="0.35">
      <c r="A123" s="733" t="s">
        <v>175</v>
      </c>
      <c r="B123" s="636" t="s">
        <v>20</v>
      </c>
      <c r="C123" s="742"/>
      <c r="D123" s="742"/>
      <c r="E123" s="742"/>
      <c r="F123" s="647">
        <f>F119-F121</f>
        <v>4152029</v>
      </c>
    </row>
    <row r="124" spans="1:6" ht="14.5" x14ac:dyDescent="0.35">
      <c r="A124" s="733"/>
      <c r="B124" s="742"/>
      <c r="C124" s="742"/>
      <c r="D124" s="742"/>
      <c r="E124" s="742"/>
      <c r="F124" s="742"/>
    </row>
    <row r="125" spans="1:6" ht="14.5" x14ac:dyDescent="0.35">
      <c r="A125" s="733" t="s">
        <v>176</v>
      </c>
      <c r="B125" s="636" t="s">
        <v>21</v>
      </c>
      <c r="C125" s="742"/>
      <c r="D125" s="742"/>
      <c r="E125" s="742"/>
      <c r="F125" s="647">
        <v>212865</v>
      </c>
    </row>
    <row r="126" spans="1:6" ht="14.5" x14ac:dyDescent="0.35">
      <c r="A126" s="733"/>
      <c r="B126" s="742"/>
      <c r="C126" s="742"/>
      <c r="D126" s="742"/>
      <c r="E126" s="742"/>
      <c r="F126" s="742"/>
    </row>
    <row r="127" spans="1:6" ht="14.5" x14ac:dyDescent="0.35">
      <c r="A127" s="733" t="s">
        <v>177</v>
      </c>
      <c r="B127" s="636" t="s">
        <v>22</v>
      </c>
      <c r="C127" s="742"/>
      <c r="D127" s="742"/>
      <c r="E127" s="742"/>
      <c r="F127" s="647">
        <v>4364894</v>
      </c>
    </row>
    <row r="128" spans="1:6" ht="14.5" x14ac:dyDescent="0.35">
      <c r="A128" s="733"/>
      <c r="B128" s="742"/>
      <c r="C128" s="742"/>
      <c r="D128" s="742"/>
      <c r="E128" s="742"/>
      <c r="F128" s="742"/>
    </row>
    <row r="129" spans="1:11" ht="42.75" customHeight="1" x14ac:dyDescent="0.35">
      <c r="A129" s="742"/>
      <c r="B129" s="742"/>
      <c r="C129" s="742"/>
      <c r="D129" s="742"/>
      <c r="E129" s="742"/>
      <c r="F129" s="641" t="s">
        <v>9</v>
      </c>
      <c r="G129" s="641" t="s">
        <v>37</v>
      </c>
      <c r="H129" s="641" t="s">
        <v>29</v>
      </c>
      <c r="I129" s="641" t="s">
        <v>30</v>
      </c>
      <c r="J129" s="641" t="s">
        <v>33</v>
      </c>
      <c r="K129" s="641" t="s">
        <v>34</v>
      </c>
    </row>
    <row r="130" spans="1:11" ht="18" customHeight="1" x14ac:dyDescent="0.35">
      <c r="A130" s="639" t="s">
        <v>157</v>
      </c>
      <c r="B130" s="636" t="s">
        <v>23</v>
      </c>
      <c r="C130" s="742"/>
      <c r="D130" s="742"/>
      <c r="E130" s="742"/>
      <c r="F130" s="742"/>
      <c r="G130" s="742"/>
      <c r="H130" s="742"/>
      <c r="I130" s="742"/>
      <c r="J130" s="742"/>
      <c r="K130" s="742"/>
    </row>
    <row r="131" spans="1:11" ht="18" customHeight="1" x14ac:dyDescent="0.35">
      <c r="A131" s="733" t="s">
        <v>158</v>
      </c>
      <c r="B131" s="742" t="s">
        <v>24</v>
      </c>
      <c r="C131" s="742"/>
      <c r="D131" s="742"/>
      <c r="E131" s="742"/>
      <c r="F131" s="646"/>
      <c r="G131" s="646"/>
      <c r="H131" s="647"/>
      <c r="I131" s="673">
        <v>0</v>
      </c>
      <c r="J131" s="647"/>
      <c r="K131" s="648">
        <f>(H131+I131)-J131</f>
        <v>0</v>
      </c>
    </row>
    <row r="132" spans="1:11" ht="18" customHeight="1" x14ac:dyDescent="0.35">
      <c r="A132" s="733" t="s">
        <v>159</v>
      </c>
      <c r="B132" s="742" t="s">
        <v>25</v>
      </c>
      <c r="C132" s="742"/>
      <c r="D132" s="742"/>
      <c r="E132" s="742"/>
      <c r="F132" s="646"/>
      <c r="G132" s="646"/>
      <c r="H132" s="647"/>
      <c r="I132" s="673">
        <v>0</v>
      </c>
      <c r="J132" s="647"/>
      <c r="K132" s="648">
        <f>(H132+I132)-J132</f>
        <v>0</v>
      </c>
    </row>
    <row r="133" spans="1:11" ht="18" customHeight="1" x14ac:dyDescent="0.35">
      <c r="A133" s="733" t="s">
        <v>160</v>
      </c>
      <c r="B133" s="1351"/>
      <c r="C133" s="1352"/>
      <c r="D133" s="1353"/>
      <c r="E133" s="742"/>
      <c r="F133" s="646"/>
      <c r="G133" s="646"/>
      <c r="H133" s="647"/>
      <c r="I133" s="673">
        <v>0</v>
      </c>
      <c r="J133" s="647"/>
      <c r="K133" s="648">
        <f>(H133+I133)-J133</f>
        <v>0</v>
      </c>
    </row>
    <row r="134" spans="1:11" ht="18" customHeight="1" x14ac:dyDescent="0.35">
      <c r="A134" s="733" t="s">
        <v>161</v>
      </c>
      <c r="B134" s="1351"/>
      <c r="C134" s="1352"/>
      <c r="D134" s="1353"/>
      <c r="E134" s="742"/>
      <c r="F134" s="646"/>
      <c r="G134" s="646"/>
      <c r="H134" s="647"/>
      <c r="I134" s="673">
        <v>0</v>
      </c>
      <c r="J134" s="647"/>
      <c r="K134" s="648">
        <f>(H134+I134)-J134</f>
        <v>0</v>
      </c>
    </row>
    <row r="135" spans="1:11" ht="18" customHeight="1" x14ac:dyDescent="0.35">
      <c r="A135" s="733" t="s">
        <v>162</v>
      </c>
      <c r="B135" s="1351"/>
      <c r="C135" s="1352"/>
      <c r="D135" s="1353"/>
      <c r="E135" s="742"/>
      <c r="F135" s="646"/>
      <c r="G135" s="646"/>
      <c r="H135" s="647"/>
      <c r="I135" s="673">
        <v>0</v>
      </c>
      <c r="J135" s="647"/>
      <c r="K135" s="648">
        <f>(H135+I135)-J135</f>
        <v>0</v>
      </c>
    </row>
    <row r="136" spans="1:11" ht="18" customHeight="1" x14ac:dyDescent="0.35">
      <c r="A136" s="639"/>
      <c r="B136" s="742"/>
      <c r="C136" s="742"/>
      <c r="D136" s="742"/>
      <c r="E136" s="742"/>
      <c r="F136" s="742"/>
      <c r="G136" s="742"/>
      <c r="H136" s="742"/>
      <c r="I136" s="742"/>
      <c r="J136" s="742"/>
      <c r="K136" s="742"/>
    </row>
    <row r="137" spans="1:11" ht="18" customHeight="1" x14ac:dyDescent="0.35">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35">
      <c r="A138" s="742"/>
      <c r="B138" s="742"/>
      <c r="C138" s="742"/>
      <c r="D138" s="742"/>
      <c r="E138" s="742"/>
      <c r="F138" s="742"/>
      <c r="G138" s="742"/>
      <c r="H138" s="742"/>
      <c r="I138" s="742"/>
      <c r="J138" s="742"/>
      <c r="K138" s="742"/>
    </row>
    <row r="139" spans="1:11" ht="42.75" customHeight="1" x14ac:dyDescent="0.35">
      <c r="A139" s="742"/>
      <c r="B139" s="742"/>
      <c r="C139" s="742"/>
      <c r="D139" s="742"/>
      <c r="E139" s="742"/>
      <c r="F139" s="641" t="s">
        <v>9</v>
      </c>
      <c r="G139" s="641" t="s">
        <v>37</v>
      </c>
      <c r="H139" s="641" t="s">
        <v>29</v>
      </c>
      <c r="I139" s="641" t="s">
        <v>30</v>
      </c>
      <c r="J139" s="641" t="s">
        <v>33</v>
      </c>
      <c r="K139" s="641" t="s">
        <v>34</v>
      </c>
    </row>
    <row r="140" spans="1:11" ht="18" customHeight="1" x14ac:dyDescent="0.35">
      <c r="A140" s="639" t="s">
        <v>166</v>
      </c>
      <c r="B140" s="636" t="s">
        <v>26</v>
      </c>
      <c r="C140" s="742"/>
      <c r="D140" s="742"/>
      <c r="E140" s="742"/>
      <c r="F140" s="742"/>
      <c r="G140" s="742"/>
      <c r="H140" s="742"/>
      <c r="I140" s="742"/>
      <c r="J140" s="742"/>
      <c r="K140" s="742"/>
    </row>
    <row r="141" spans="1:11" ht="18" customHeight="1" x14ac:dyDescent="0.35">
      <c r="A141" s="733" t="s">
        <v>137</v>
      </c>
      <c r="B141" s="636" t="s">
        <v>64</v>
      </c>
      <c r="C141" s="742"/>
      <c r="D141" s="742"/>
      <c r="E141" s="742"/>
      <c r="F141" s="664">
        <f t="shared" ref="F141:K141" si="14">F36</f>
        <v>10722.6</v>
      </c>
      <c r="G141" s="664">
        <f t="shared" si="14"/>
        <v>15100</v>
      </c>
      <c r="H141" s="664">
        <f t="shared" si="14"/>
        <v>612041</v>
      </c>
      <c r="I141" s="664">
        <f t="shared" si="14"/>
        <v>225051</v>
      </c>
      <c r="J141" s="664">
        <f t="shared" si="14"/>
        <v>19042</v>
      </c>
      <c r="K141" s="664">
        <f t="shared" si="14"/>
        <v>818050</v>
      </c>
    </row>
    <row r="142" spans="1:11" ht="18" customHeight="1" x14ac:dyDescent="0.35">
      <c r="A142" s="733" t="s">
        <v>142</v>
      </c>
      <c r="B142" s="636" t="s">
        <v>65</v>
      </c>
      <c r="C142" s="742"/>
      <c r="D142" s="742"/>
      <c r="E142" s="742"/>
      <c r="F142" s="664">
        <f t="shared" ref="F142:K142" si="15">F49</f>
        <v>574.79999999999995</v>
      </c>
      <c r="G142" s="664">
        <f t="shared" si="15"/>
        <v>105</v>
      </c>
      <c r="H142" s="664">
        <f t="shared" si="15"/>
        <v>179518</v>
      </c>
      <c r="I142" s="664">
        <f t="shared" si="15"/>
        <v>19032</v>
      </c>
      <c r="J142" s="664">
        <f t="shared" si="15"/>
        <v>0</v>
      </c>
      <c r="K142" s="664">
        <f t="shared" si="15"/>
        <v>198550</v>
      </c>
    </row>
    <row r="143" spans="1:11" ht="18" customHeight="1" x14ac:dyDescent="0.35">
      <c r="A143" s="733" t="s">
        <v>144</v>
      </c>
      <c r="B143" s="636" t="s">
        <v>66</v>
      </c>
      <c r="C143" s="742"/>
      <c r="D143" s="742"/>
      <c r="E143" s="742"/>
      <c r="F143" s="664">
        <f t="shared" ref="F143:K143" si="16">F64</f>
        <v>38.5</v>
      </c>
      <c r="G143" s="664">
        <f t="shared" si="16"/>
        <v>450</v>
      </c>
      <c r="H143" s="664">
        <f t="shared" si="16"/>
        <v>11194934</v>
      </c>
      <c r="I143" s="664">
        <f t="shared" si="16"/>
        <v>0</v>
      </c>
      <c r="J143" s="664">
        <f t="shared" si="16"/>
        <v>2905137</v>
      </c>
      <c r="K143" s="664">
        <f t="shared" si="16"/>
        <v>8289797</v>
      </c>
    </row>
    <row r="144" spans="1:11" ht="18" customHeight="1" x14ac:dyDescent="0.35">
      <c r="A144" s="733"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5">
      <c r="A145" s="733" t="s">
        <v>148</v>
      </c>
      <c r="B145" s="636" t="s">
        <v>68</v>
      </c>
      <c r="C145" s="742"/>
      <c r="D145" s="742"/>
      <c r="E145" s="742"/>
      <c r="F145" s="664">
        <f t="shared" ref="F145:K145" si="18">F82</f>
        <v>129.5</v>
      </c>
      <c r="G145" s="664">
        <f t="shared" si="18"/>
        <v>329</v>
      </c>
      <c r="H145" s="664">
        <f t="shared" si="18"/>
        <v>646634</v>
      </c>
      <c r="I145" s="664">
        <f t="shared" si="18"/>
        <v>21573</v>
      </c>
      <c r="J145" s="664">
        <f t="shared" si="18"/>
        <v>528315</v>
      </c>
      <c r="K145" s="664">
        <f t="shared" si="18"/>
        <v>139892</v>
      </c>
    </row>
    <row r="146" spans="1:11" ht="18" customHeight="1" x14ac:dyDescent="0.35">
      <c r="A146" s="733" t="s">
        <v>150</v>
      </c>
      <c r="B146" s="636" t="s">
        <v>69</v>
      </c>
      <c r="C146" s="742"/>
      <c r="D146" s="742"/>
      <c r="E146" s="742"/>
      <c r="F146" s="664">
        <f t="shared" ref="F146:K146" si="19">F98</f>
        <v>38444</v>
      </c>
      <c r="G146" s="664">
        <f t="shared" si="19"/>
        <v>1674</v>
      </c>
      <c r="H146" s="664">
        <f t="shared" si="19"/>
        <v>2453273</v>
      </c>
      <c r="I146" s="664">
        <f t="shared" si="19"/>
        <v>274436</v>
      </c>
      <c r="J146" s="664">
        <f t="shared" si="19"/>
        <v>0</v>
      </c>
      <c r="K146" s="664">
        <f t="shared" si="19"/>
        <v>2727709</v>
      </c>
    </row>
    <row r="147" spans="1:11" ht="18" customHeight="1" x14ac:dyDescent="0.35">
      <c r="A147" s="733" t="s">
        <v>153</v>
      </c>
      <c r="B147" s="636" t="s">
        <v>61</v>
      </c>
      <c r="C147" s="742"/>
      <c r="D147" s="742"/>
      <c r="E147" s="742"/>
      <c r="F147" s="650">
        <f t="shared" ref="F147:K147" si="20">F108</f>
        <v>4480</v>
      </c>
      <c r="G147" s="650">
        <f t="shared" si="20"/>
        <v>0</v>
      </c>
      <c r="H147" s="650">
        <f t="shared" si="20"/>
        <v>250001</v>
      </c>
      <c r="I147" s="650">
        <f t="shared" si="20"/>
        <v>155000</v>
      </c>
      <c r="J147" s="650">
        <f t="shared" si="20"/>
        <v>0</v>
      </c>
      <c r="K147" s="650">
        <f t="shared" si="20"/>
        <v>405001</v>
      </c>
    </row>
    <row r="148" spans="1:11" ht="18" customHeight="1" x14ac:dyDescent="0.35">
      <c r="A148" s="733" t="s">
        <v>155</v>
      </c>
      <c r="B148" s="636" t="s">
        <v>70</v>
      </c>
      <c r="C148" s="742"/>
      <c r="D148" s="742"/>
      <c r="E148" s="742"/>
      <c r="F148" s="665" t="s">
        <v>73</v>
      </c>
      <c r="G148" s="665" t="s">
        <v>73</v>
      </c>
      <c r="H148" s="666" t="s">
        <v>73</v>
      </c>
      <c r="I148" s="666" t="s">
        <v>73</v>
      </c>
      <c r="J148" s="666" t="s">
        <v>73</v>
      </c>
      <c r="K148" s="660">
        <f>F111</f>
        <v>2458649</v>
      </c>
    </row>
    <row r="149" spans="1:11" ht="18" customHeight="1" x14ac:dyDescent="0.35">
      <c r="A149" s="733"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5">
      <c r="A150" s="733" t="s">
        <v>185</v>
      </c>
      <c r="B150" s="636" t="s">
        <v>186</v>
      </c>
      <c r="C150" s="742"/>
      <c r="D150" s="742"/>
      <c r="E150" s="742"/>
      <c r="F150" s="665" t="s">
        <v>73</v>
      </c>
      <c r="G150" s="665" t="s">
        <v>73</v>
      </c>
      <c r="H150" s="650">
        <f>H18</f>
        <v>3976832</v>
      </c>
      <c r="I150" s="650">
        <f>I18</f>
        <v>0</v>
      </c>
      <c r="J150" s="650">
        <f>J18</f>
        <v>3361208</v>
      </c>
      <c r="K150" s="650">
        <f>K18</f>
        <v>615624</v>
      </c>
    </row>
    <row r="151" spans="1:11" ht="18" customHeight="1" x14ac:dyDescent="0.35">
      <c r="A151" s="742"/>
      <c r="B151" s="636"/>
      <c r="C151" s="742"/>
      <c r="D151" s="742"/>
      <c r="E151" s="742"/>
      <c r="F151" s="671"/>
      <c r="G151" s="671"/>
      <c r="H151" s="671"/>
      <c r="I151" s="671"/>
      <c r="J151" s="671"/>
      <c r="K151" s="671"/>
    </row>
    <row r="152" spans="1:11" ht="18" customHeight="1" x14ac:dyDescent="0.35">
      <c r="A152" s="639" t="s">
        <v>165</v>
      </c>
      <c r="B152" s="636" t="s">
        <v>26</v>
      </c>
      <c r="C152" s="742"/>
      <c r="D152" s="742"/>
      <c r="E152" s="742"/>
      <c r="F152" s="672">
        <f t="shared" ref="F152:K152" si="22">SUM(F141:F150)</f>
        <v>54389.4</v>
      </c>
      <c r="G152" s="672">
        <f t="shared" si="22"/>
        <v>17658</v>
      </c>
      <c r="H152" s="672">
        <f t="shared" si="22"/>
        <v>19313233</v>
      </c>
      <c r="I152" s="672">
        <f t="shared" si="22"/>
        <v>695092</v>
      </c>
      <c r="J152" s="672">
        <f t="shared" si="22"/>
        <v>6813702</v>
      </c>
      <c r="K152" s="672">
        <f t="shared" si="22"/>
        <v>15653272</v>
      </c>
    </row>
    <row r="154" spans="1:11" ht="18" customHeight="1" x14ac:dyDescent="0.35">
      <c r="A154" s="639" t="s">
        <v>168</v>
      </c>
      <c r="B154" s="636" t="s">
        <v>28</v>
      </c>
      <c r="C154" s="742"/>
      <c r="D154" s="742"/>
      <c r="E154" s="742"/>
      <c r="F154" s="687">
        <f>K152/F121</f>
        <v>9.275599908687919E-2</v>
      </c>
      <c r="G154" s="742"/>
      <c r="H154" s="742"/>
      <c r="I154" s="742"/>
      <c r="J154" s="742"/>
      <c r="K154" s="742"/>
    </row>
    <row r="155" spans="1:11" ht="18" customHeight="1" x14ac:dyDescent="0.35">
      <c r="A155" s="639" t="s">
        <v>169</v>
      </c>
      <c r="B155" s="636" t="s">
        <v>72</v>
      </c>
      <c r="C155" s="742"/>
      <c r="D155" s="742"/>
      <c r="E155" s="742"/>
      <c r="F155" s="687">
        <f>K152/F127</f>
        <v>3.5861746012617948</v>
      </c>
      <c r="G155" s="636"/>
      <c r="H155" s="742"/>
      <c r="I155" s="742"/>
      <c r="J155" s="742"/>
      <c r="K155" s="742"/>
    </row>
    <row r="156" spans="1:11" ht="18" customHeight="1" x14ac:dyDescent="0.35">
      <c r="A156" s="398"/>
      <c r="B156" s="398"/>
      <c r="C156" s="398"/>
      <c r="D156" s="398"/>
      <c r="E156" s="398"/>
      <c r="F156" s="398"/>
      <c r="G156" s="399"/>
      <c r="H156" s="398"/>
      <c r="I156" s="398"/>
      <c r="J156" s="398"/>
      <c r="K156" s="398"/>
    </row>
  </sheetData>
  <sheetProtection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pageMargins left="0.7" right="0.7" top="0.75" bottom="0.75" header="0.3" footer="0.3"/>
  <pageSetup scale="40" orientation="landscape" r:id="rId1"/>
  <headerFooter>
    <oddFooter>&amp;L&amp;Z&amp;F&amp;A&amp;R&amp;P of &amp;N</oddFooter>
  </headerFooter>
  <rowBreaks count="2" manualBreakCount="2">
    <brk id="65"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S131"/>
  <sheetViews>
    <sheetView zoomScale="80" zoomScaleNormal="80" zoomScaleSheetLayoutView="70" workbookViewId="0">
      <selection activeCell="R17" sqref="R17"/>
    </sheetView>
  </sheetViews>
  <sheetFormatPr defaultColWidth="9.26953125" defaultRowHeight="14.5" x14ac:dyDescent="0.35"/>
  <cols>
    <col min="1" max="1" width="23" style="760" customWidth="1"/>
    <col min="2" max="2" width="17.7265625" style="760" bestFit="1" customWidth="1"/>
    <col min="3" max="3" width="18.54296875" style="760" customWidth="1"/>
    <col min="4" max="4" width="17.54296875" style="760" customWidth="1"/>
    <col min="5" max="5" width="22.26953125" style="760" customWidth="1"/>
    <col min="6" max="17" width="9.26953125" style="760"/>
    <col min="18" max="18" width="27" style="760" customWidth="1"/>
    <col min="19" max="16384" width="9.26953125" style="760"/>
  </cols>
  <sheetData>
    <row r="1" spans="1:19" x14ac:dyDescent="0.35">
      <c r="A1" s="802" t="s">
        <v>528</v>
      </c>
      <c r="B1" s="7"/>
      <c r="C1" s="7"/>
      <c r="D1" s="7"/>
      <c r="E1" s="7"/>
      <c r="F1" s="7"/>
      <c r="G1" s="7"/>
      <c r="H1" s="7"/>
      <c r="I1" s="7"/>
      <c r="J1" s="7"/>
      <c r="K1" s="7"/>
      <c r="L1" s="7"/>
      <c r="M1" s="7"/>
      <c r="N1" s="7"/>
      <c r="O1" s="7"/>
    </row>
    <row r="2" spans="1:19" ht="43.5" x14ac:dyDescent="0.35">
      <c r="A2" s="803" t="s">
        <v>229</v>
      </c>
      <c r="B2" s="803" t="s">
        <v>214</v>
      </c>
      <c r="C2" s="803" t="s">
        <v>216</v>
      </c>
      <c r="D2" s="7"/>
      <c r="E2" s="7"/>
      <c r="F2" s="7"/>
      <c r="G2" s="7"/>
      <c r="H2" s="7"/>
      <c r="I2" s="7"/>
      <c r="J2" s="7"/>
      <c r="K2" s="7"/>
      <c r="L2" s="7"/>
      <c r="M2" s="7"/>
      <c r="N2" s="7"/>
      <c r="O2" s="7"/>
    </row>
    <row r="3" spans="1:19" ht="41.25" customHeight="1" x14ac:dyDescent="0.35">
      <c r="A3" s="804" t="s">
        <v>906</v>
      </c>
      <c r="B3" s="805">
        <f>'CB Table 1'!E12</f>
        <v>0.18396710722355783</v>
      </c>
      <c r="C3" s="805">
        <f>'CB Table 1'!G12</f>
        <v>-2.246523931886223E-2</v>
      </c>
      <c r="D3" s="7"/>
      <c r="E3" s="7"/>
      <c r="F3" s="7"/>
      <c r="G3" s="7"/>
      <c r="H3" s="7"/>
      <c r="I3" s="7"/>
      <c r="J3" s="7"/>
      <c r="K3" s="7"/>
      <c r="L3" s="7"/>
      <c r="M3" s="7"/>
      <c r="N3" s="7"/>
      <c r="O3" s="7"/>
      <c r="Q3" s="765"/>
      <c r="R3" s="766"/>
      <c r="S3" s="764"/>
    </row>
    <row r="4" spans="1:19" ht="26" x14ac:dyDescent="0.35">
      <c r="A4" s="804" t="s">
        <v>219</v>
      </c>
      <c r="B4" s="805">
        <f>'CB Table 1'!$E$6</f>
        <v>0.34026684715356365</v>
      </c>
      <c r="C4" s="805">
        <f>'CB Table 1'!$G$6</f>
        <v>0.59341820099648035</v>
      </c>
      <c r="D4" s="7"/>
      <c r="E4" s="7"/>
      <c r="F4" s="7"/>
      <c r="G4" s="7"/>
      <c r="H4" s="7"/>
      <c r="I4" s="7"/>
      <c r="J4" s="7"/>
      <c r="K4" s="7"/>
      <c r="L4" s="7"/>
      <c r="M4" s="7"/>
      <c r="N4" s="7"/>
      <c r="O4" s="7"/>
      <c r="Q4" s="765"/>
      <c r="R4" s="766"/>
      <c r="S4" s="764"/>
    </row>
    <row r="5" spans="1:19" ht="26" x14ac:dyDescent="0.35">
      <c r="A5" s="804" t="s">
        <v>218</v>
      </c>
      <c r="B5" s="805">
        <f>'CB Table 1'!$E$5</f>
        <v>0.31057134619355858</v>
      </c>
      <c r="C5" s="805">
        <f>'CB Table 1'!$G$5</f>
        <v>0.14095096851849545</v>
      </c>
      <c r="D5" s="7"/>
      <c r="E5" s="7"/>
      <c r="F5" s="7"/>
      <c r="G5" s="7"/>
      <c r="H5" s="7"/>
      <c r="I5" s="7"/>
      <c r="J5" s="7"/>
      <c r="K5" s="7"/>
      <c r="L5" s="7"/>
      <c r="M5" s="7"/>
      <c r="N5" s="7"/>
      <c r="O5" s="7"/>
      <c r="Q5" s="765"/>
      <c r="R5" s="766"/>
      <c r="S5" s="764"/>
    </row>
    <row r="6" spans="1:19" ht="27" customHeight="1" x14ac:dyDescent="0.35">
      <c r="A6" s="804" t="s">
        <v>64</v>
      </c>
      <c r="B6" s="805">
        <f>'CB Table 1'!E4</f>
        <v>7.5161019299441204E-2</v>
      </c>
      <c r="C6" s="805">
        <f>'CB Table 1'!G4</f>
        <v>0.13107923158205045</v>
      </c>
      <c r="D6" s="7"/>
      <c r="E6" s="7"/>
      <c r="F6" s="7"/>
      <c r="G6" s="7"/>
      <c r="H6" s="7"/>
      <c r="I6" s="7"/>
      <c r="J6" s="7"/>
      <c r="K6" s="7"/>
      <c r="L6" s="7"/>
      <c r="M6" s="7"/>
      <c r="N6" s="7"/>
      <c r="O6" s="7"/>
      <c r="Q6" s="765"/>
      <c r="R6" s="766"/>
      <c r="S6" s="764"/>
    </row>
    <row r="7" spans="1:19" ht="26" x14ac:dyDescent="0.35">
      <c r="A7" s="804" t="s">
        <v>217</v>
      </c>
      <c r="B7" s="805">
        <f>'CB Table 1'!E3</f>
        <v>4.5246487817076179E-2</v>
      </c>
      <c r="C7" s="805">
        <f>'CB Table 1'!G3</f>
        <v>7.8908919944530961E-2</v>
      </c>
      <c r="D7" s="7"/>
      <c r="E7" s="7"/>
      <c r="F7" s="7"/>
      <c r="G7" s="7"/>
      <c r="H7" s="7"/>
      <c r="I7" s="7"/>
      <c r="J7" s="7"/>
      <c r="K7" s="7"/>
      <c r="L7" s="7"/>
      <c r="M7" s="7"/>
      <c r="N7" s="7"/>
      <c r="O7" s="7"/>
      <c r="Q7" s="765"/>
      <c r="R7" s="766"/>
      <c r="S7" s="764"/>
    </row>
    <row r="8" spans="1:19" x14ac:dyDescent="0.35">
      <c r="A8" s="804" t="s">
        <v>25</v>
      </c>
      <c r="B8" s="805">
        <f>'CB Table 1'!$E$9</f>
        <v>1.8629419015831192E-2</v>
      </c>
      <c r="C8" s="805">
        <f>'CB Table 1'!$G$9</f>
        <v>3.2489313638583747E-2</v>
      </c>
      <c r="D8" s="7"/>
      <c r="E8" s="7"/>
      <c r="F8" s="7"/>
      <c r="G8" s="7"/>
      <c r="H8" s="7"/>
      <c r="I8" s="7"/>
      <c r="J8" s="7"/>
      <c r="K8" s="7"/>
      <c r="L8" s="7"/>
      <c r="M8" s="7"/>
      <c r="N8" s="7"/>
      <c r="O8" s="7"/>
      <c r="Q8" s="765"/>
      <c r="R8" s="766"/>
      <c r="S8" s="764"/>
    </row>
    <row r="9" spans="1:19" ht="27.75" customHeight="1" x14ac:dyDescent="0.35">
      <c r="A9" s="804" t="s">
        <v>68</v>
      </c>
      <c r="B9" s="805">
        <f>'CB Table 1'!$E$8</f>
        <v>9.9534125434958889E-3</v>
      </c>
      <c r="C9" s="805">
        <f>'CB Table 1'!$G$8</f>
        <v>1.7358541435191568E-2</v>
      </c>
      <c r="D9" s="7"/>
      <c r="E9" s="7"/>
      <c r="F9" s="7"/>
      <c r="G9" s="7"/>
      <c r="H9" s="7"/>
      <c r="I9" s="7"/>
      <c r="J9" s="7"/>
      <c r="K9" s="7"/>
      <c r="L9" s="7"/>
      <c r="M9" s="7"/>
      <c r="N9" s="7"/>
      <c r="O9" s="7"/>
      <c r="Q9" s="765"/>
      <c r="R9" s="766"/>
      <c r="S9" s="764"/>
    </row>
    <row r="10" spans="1:19" ht="22.5" customHeight="1" x14ac:dyDescent="0.35">
      <c r="A10" s="804" t="s">
        <v>67</v>
      </c>
      <c r="B10" s="805">
        <f>'CB Table 1'!$E$7</f>
        <v>5.8874560614210697E-3</v>
      </c>
      <c r="C10" s="805">
        <f>'CB Table 1'!$G$7</f>
        <v>1.0267599131800179E-2</v>
      </c>
      <c r="D10" s="7"/>
      <c r="E10" s="7"/>
      <c r="F10" s="7"/>
      <c r="G10" s="7"/>
      <c r="H10" s="7"/>
      <c r="I10" s="7"/>
      <c r="J10" s="7"/>
      <c r="K10" s="7"/>
      <c r="L10" s="7"/>
      <c r="M10" s="7"/>
      <c r="N10" s="7"/>
      <c r="O10" s="7"/>
      <c r="Q10" s="765"/>
      <c r="R10" s="766"/>
      <c r="S10" s="764"/>
    </row>
    <row r="11" spans="1:19" ht="26" x14ac:dyDescent="0.35">
      <c r="A11" s="804" t="s">
        <v>61</v>
      </c>
      <c r="B11" s="805">
        <f>'CB Table 1'!$E$10</f>
        <v>9.1589130418612899E-3</v>
      </c>
      <c r="C11" s="805">
        <f>'CB Table 1'!$G$10</f>
        <v>1.5972951070168946E-2</v>
      </c>
      <c r="D11" s="7"/>
      <c r="E11" s="7"/>
      <c r="F11" s="7"/>
      <c r="G11" s="7"/>
      <c r="H11" s="7"/>
      <c r="I11" s="7"/>
      <c r="J11" s="7"/>
      <c r="K11" s="7"/>
      <c r="L11" s="7"/>
      <c r="M11" s="7"/>
      <c r="N11" s="7"/>
      <c r="O11" s="7"/>
      <c r="Q11" s="765"/>
      <c r="R11" s="766"/>
      <c r="S11" s="764"/>
    </row>
    <row r="12" spans="1:19" x14ac:dyDescent="0.35">
      <c r="A12" s="7"/>
      <c r="B12" s="806">
        <f>SUM(B3:B11)</f>
        <v>0.99884200834980696</v>
      </c>
      <c r="C12" s="806">
        <f>SUM(C3:C11)</f>
        <v>0.99798048699843944</v>
      </c>
      <c r="D12" s="7"/>
      <c r="E12" s="7"/>
      <c r="F12" s="7"/>
      <c r="G12" s="7"/>
      <c r="H12" s="7"/>
      <c r="I12" s="7"/>
      <c r="J12" s="7"/>
      <c r="K12" s="7"/>
      <c r="L12" s="7"/>
      <c r="M12" s="7"/>
      <c r="N12" s="7"/>
      <c r="O12" s="7"/>
    </row>
    <row r="13" spans="1:19" x14ac:dyDescent="0.35">
      <c r="A13" s="93" t="s">
        <v>521</v>
      </c>
      <c r="B13" s="7"/>
      <c r="C13" s="7"/>
      <c r="D13" s="7"/>
      <c r="E13" s="7"/>
      <c r="F13" s="7"/>
      <c r="G13" s="7"/>
      <c r="H13" s="7"/>
      <c r="I13" s="7"/>
      <c r="J13" s="7"/>
      <c r="K13" s="7"/>
      <c r="L13" s="7"/>
      <c r="M13" s="7"/>
      <c r="N13" s="7"/>
      <c r="O13" s="7"/>
    </row>
    <row r="14" spans="1:19" x14ac:dyDescent="0.35">
      <c r="A14" s="7"/>
      <c r="B14" s="7"/>
      <c r="C14" s="7"/>
      <c r="D14" s="7"/>
      <c r="E14" s="7"/>
      <c r="F14" s="7"/>
      <c r="G14" s="7"/>
      <c r="H14" s="7"/>
      <c r="I14" s="7"/>
      <c r="J14" s="7"/>
      <c r="K14" s="7"/>
      <c r="L14" s="7"/>
      <c r="M14" s="7"/>
      <c r="N14" s="7"/>
      <c r="O14" s="7"/>
    </row>
    <row r="15" spans="1:19" x14ac:dyDescent="0.35">
      <c r="A15" s="7"/>
      <c r="B15" s="7"/>
      <c r="C15" s="7"/>
      <c r="D15" s="7"/>
      <c r="E15" s="7"/>
      <c r="F15" s="7"/>
      <c r="G15" s="7"/>
      <c r="H15" s="7"/>
      <c r="I15" s="7"/>
      <c r="J15" s="7"/>
      <c r="K15" s="7"/>
      <c r="L15" s="7"/>
      <c r="M15" s="7"/>
      <c r="N15" s="7"/>
      <c r="O15" s="7"/>
    </row>
    <row r="16" spans="1:19" x14ac:dyDescent="0.35">
      <c r="A16" s="7"/>
      <c r="B16" s="7"/>
      <c r="C16" s="7"/>
      <c r="D16" s="7"/>
      <c r="E16" s="7"/>
      <c r="F16" s="7"/>
      <c r="G16" s="7"/>
      <c r="H16" s="7"/>
      <c r="I16" s="7"/>
      <c r="J16" s="7"/>
      <c r="K16" s="7"/>
      <c r="L16" s="7"/>
      <c r="M16" s="7"/>
      <c r="N16" s="7"/>
      <c r="O16" s="7"/>
    </row>
    <row r="17" spans="1:15" x14ac:dyDescent="0.35">
      <c r="A17" s="7"/>
      <c r="B17" s="7"/>
      <c r="C17" s="7"/>
      <c r="D17" s="7"/>
      <c r="E17" s="7"/>
      <c r="F17" s="7"/>
      <c r="G17" s="7"/>
      <c r="H17" s="7"/>
      <c r="I17" s="7"/>
      <c r="J17" s="7"/>
      <c r="K17" s="7"/>
      <c r="L17" s="7"/>
      <c r="M17" s="7"/>
      <c r="N17" s="7"/>
      <c r="O17" s="7"/>
    </row>
    <row r="18" spans="1:15" x14ac:dyDescent="0.35">
      <c r="A18" s="7"/>
      <c r="B18" s="7"/>
      <c r="C18" s="7"/>
      <c r="D18" s="7"/>
      <c r="E18" s="7"/>
      <c r="F18" s="7"/>
      <c r="G18" s="7"/>
      <c r="H18" s="7"/>
      <c r="I18" s="7"/>
      <c r="J18" s="7"/>
      <c r="K18" s="7"/>
      <c r="L18" s="7"/>
      <c r="M18" s="7"/>
      <c r="N18" s="7"/>
      <c r="O18" s="7"/>
    </row>
    <row r="19" spans="1:15" ht="18.5" x14ac:dyDescent="0.45">
      <c r="A19" s="807" t="s">
        <v>886</v>
      </c>
      <c r="B19" s="7"/>
      <c r="C19" s="7"/>
      <c r="D19" s="7"/>
      <c r="E19" s="7"/>
      <c r="F19" s="7"/>
      <c r="G19" s="7"/>
      <c r="H19" s="7"/>
      <c r="I19" s="7"/>
      <c r="J19" s="7"/>
      <c r="K19" s="7"/>
      <c r="L19" s="7"/>
      <c r="M19" s="7"/>
      <c r="N19" s="7"/>
      <c r="O19" s="7"/>
    </row>
    <row r="20" spans="1:15" x14ac:dyDescent="0.35">
      <c r="A20" s="7"/>
      <c r="B20" s="7"/>
      <c r="C20" s="7"/>
      <c r="D20" s="7"/>
      <c r="E20" s="7"/>
      <c r="F20" s="7"/>
      <c r="G20" s="7"/>
      <c r="H20" s="7"/>
      <c r="I20" s="7"/>
      <c r="J20" s="7"/>
      <c r="K20" s="7"/>
      <c r="L20" s="7"/>
      <c r="M20" s="7"/>
      <c r="N20" s="7"/>
      <c r="O20" s="7"/>
    </row>
    <row r="21" spans="1:15" x14ac:dyDescent="0.35">
      <c r="A21" s="808" t="s">
        <v>222</v>
      </c>
      <c r="B21" s="808" t="s">
        <v>70</v>
      </c>
      <c r="C21" s="808" t="s">
        <v>209</v>
      </c>
      <c r="D21" s="808" t="s">
        <v>228</v>
      </c>
      <c r="E21" s="809" t="s">
        <v>519</v>
      </c>
      <c r="F21" s="7"/>
      <c r="G21" s="7"/>
      <c r="H21" s="7"/>
      <c r="I21" s="7"/>
      <c r="J21" s="7"/>
      <c r="K21" s="7"/>
      <c r="L21" s="7"/>
      <c r="M21" s="7"/>
      <c r="N21" s="7"/>
      <c r="O21" s="7"/>
    </row>
    <row r="22" spans="1:15" x14ac:dyDescent="0.35">
      <c r="A22" s="7">
        <v>2008</v>
      </c>
      <c r="B22" s="810">
        <f t="shared" ref="B22:D30" si="0">+B32/1000000</f>
        <v>256.01314300000001</v>
      </c>
      <c r="C22" s="810">
        <f t="shared" si="0"/>
        <v>179.09372200000001</v>
      </c>
      <c r="D22" s="810">
        <f>+D32/1000000</f>
        <v>10.019409</v>
      </c>
      <c r="E22" s="810">
        <f t="shared" ref="E22:E41" si="1">SUM(B22:D22)</f>
        <v>445.12627400000002</v>
      </c>
      <c r="F22" s="7"/>
      <c r="G22" s="7"/>
      <c r="H22" s="7"/>
      <c r="I22" s="7"/>
      <c r="J22" s="7"/>
      <c r="K22" s="7"/>
      <c r="L22" s="7"/>
      <c r="M22" s="7"/>
      <c r="N22" s="7"/>
      <c r="O22" s="7"/>
    </row>
    <row r="23" spans="1:15" x14ac:dyDescent="0.35">
      <c r="A23" s="7">
        <v>2009</v>
      </c>
      <c r="B23" s="810">
        <f t="shared" si="0"/>
        <v>269.06009499999999</v>
      </c>
      <c r="C23" s="810">
        <f t="shared" si="0"/>
        <v>213.57390000000001</v>
      </c>
      <c r="D23" s="810">
        <f t="shared" si="0"/>
        <v>10.641292999999999</v>
      </c>
      <c r="E23" s="810">
        <f t="shared" si="1"/>
        <v>493.27528800000005</v>
      </c>
      <c r="F23" s="7"/>
      <c r="G23" s="7"/>
      <c r="H23" s="7"/>
      <c r="I23" s="7"/>
      <c r="J23" s="7"/>
      <c r="K23" s="7"/>
      <c r="L23" s="7"/>
      <c r="M23" s="7"/>
      <c r="N23" s="7"/>
      <c r="O23" s="7"/>
    </row>
    <row r="24" spans="1:15" x14ac:dyDescent="0.35">
      <c r="A24" s="7">
        <v>2010</v>
      </c>
      <c r="B24" s="810">
        <f t="shared" si="0"/>
        <v>312.049419</v>
      </c>
      <c r="C24" s="810">
        <f t="shared" si="0"/>
        <v>211.86369999999999</v>
      </c>
      <c r="D24" s="810">
        <f t="shared" si="0"/>
        <v>11.676030000000001</v>
      </c>
      <c r="E24" s="810">
        <f t="shared" si="1"/>
        <v>535.58914900000002</v>
      </c>
      <c r="F24" s="7"/>
      <c r="G24" s="7"/>
      <c r="H24" s="7"/>
      <c r="I24" s="7"/>
      <c r="J24" s="7"/>
      <c r="K24" s="7"/>
      <c r="L24" s="7"/>
      <c r="M24" s="7"/>
      <c r="N24" s="7"/>
      <c r="O24" s="7"/>
    </row>
    <row r="25" spans="1:15" x14ac:dyDescent="0.35">
      <c r="A25" s="7">
        <v>2011</v>
      </c>
      <c r="B25" s="810">
        <f t="shared" si="0"/>
        <v>374.89863100000002</v>
      </c>
      <c r="C25" s="810">
        <f t="shared" si="0"/>
        <v>235.386426</v>
      </c>
      <c r="D25" s="810">
        <f t="shared" si="0"/>
        <v>12.317156000000001</v>
      </c>
      <c r="E25" s="810">
        <f t="shared" si="1"/>
        <v>622.60221300000001</v>
      </c>
      <c r="F25" s="7"/>
      <c r="G25" s="7"/>
      <c r="H25" s="7"/>
      <c r="I25" s="7"/>
      <c r="J25" s="7"/>
      <c r="K25" s="7"/>
      <c r="L25" s="7"/>
      <c r="M25" s="7"/>
      <c r="N25" s="7"/>
      <c r="O25" s="7"/>
    </row>
    <row r="26" spans="1:15" x14ac:dyDescent="0.35">
      <c r="A26" s="7">
        <v>2012</v>
      </c>
      <c r="B26" s="810">
        <f t="shared" si="0"/>
        <v>442.00888400000002</v>
      </c>
      <c r="C26" s="810">
        <f t="shared" si="0"/>
        <v>272.34654399999999</v>
      </c>
      <c r="D26" s="810">
        <f t="shared" si="0"/>
        <v>12.259686</v>
      </c>
      <c r="E26" s="810">
        <f t="shared" si="1"/>
        <v>726.61511400000006</v>
      </c>
      <c r="F26" s="7"/>
      <c r="G26" s="7"/>
      <c r="H26" s="7"/>
      <c r="I26" s="7"/>
      <c r="J26" s="7"/>
      <c r="K26" s="7"/>
      <c r="L26" s="7"/>
      <c r="M26" s="7"/>
      <c r="N26" s="7"/>
      <c r="O26" s="7"/>
    </row>
    <row r="27" spans="1:15" x14ac:dyDescent="0.35">
      <c r="A27" s="7">
        <v>2013</v>
      </c>
      <c r="B27" s="810">
        <f t="shared" si="0"/>
        <v>462.590418</v>
      </c>
      <c r="C27" s="810">
        <f t="shared" si="0"/>
        <v>316.213911</v>
      </c>
      <c r="D27" s="810">
        <f t="shared" si="0"/>
        <v>13.303674000000001</v>
      </c>
      <c r="E27" s="810">
        <f t="shared" si="1"/>
        <v>792.10800300000005</v>
      </c>
      <c r="F27" s="7"/>
      <c r="G27" s="7"/>
      <c r="H27" s="7"/>
      <c r="I27" s="7"/>
      <c r="J27" s="7"/>
      <c r="K27" s="7"/>
      <c r="L27" s="7"/>
      <c r="M27" s="7"/>
      <c r="N27" s="7"/>
      <c r="O27" s="7"/>
    </row>
    <row r="28" spans="1:15" x14ac:dyDescent="0.35">
      <c r="A28" s="7">
        <v>2014</v>
      </c>
      <c r="B28" s="810">
        <f>+B38/1000000</f>
        <v>463.908838</v>
      </c>
      <c r="C28" s="810">
        <f t="shared" si="0"/>
        <v>294.40706</v>
      </c>
      <c r="D28" s="810">
        <f t="shared" si="0"/>
        <v>15.140921000000001</v>
      </c>
      <c r="E28" s="810">
        <f t="shared" si="1"/>
        <v>773.45681900000011</v>
      </c>
      <c r="F28" s="7"/>
      <c r="G28" s="7"/>
      <c r="H28" s="7"/>
      <c r="I28" s="7"/>
      <c r="J28" s="7"/>
      <c r="K28" s="7"/>
      <c r="L28" s="7"/>
      <c r="M28" s="7"/>
      <c r="N28" s="7"/>
      <c r="O28" s="7"/>
    </row>
    <row r="29" spans="1:15" x14ac:dyDescent="0.35">
      <c r="A29" s="7">
        <v>2015</v>
      </c>
      <c r="B29" s="810">
        <f>+B39/1000000</f>
        <v>428.14220477171256</v>
      </c>
      <c r="C29" s="810">
        <f t="shared" si="0"/>
        <v>302.62216699999999</v>
      </c>
      <c r="D29" s="810">
        <f t="shared" si="0"/>
        <v>15.335908928590001</v>
      </c>
      <c r="E29" s="810">
        <f t="shared" ref="E29:E30" si="2">SUM(B29:D29)</f>
        <v>746.10028070030262</v>
      </c>
      <c r="F29" s="7"/>
      <c r="G29" s="7"/>
      <c r="H29" s="7"/>
      <c r="I29" s="7"/>
      <c r="J29" s="7"/>
      <c r="K29" s="7"/>
      <c r="L29" s="7"/>
      <c r="M29" s="7"/>
      <c r="N29" s="7"/>
      <c r="O29" s="7"/>
    </row>
    <row r="30" spans="1:15" x14ac:dyDescent="0.35">
      <c r="A30" s="7">
        <v>2016</v>
      </c>
      <c r="B30" s="810">
        <f>+B40/1000000</f>
        <v>343.87975935278638</v>
      </c>
      <c r="C30" s="810">
        <f t="shared" si="0"/>
        <v>336.45116132896806</v>
      </c>
      <c r="D30" s="810">
        <f t="shared" si="0"/>
        <v>15.674793067800005</v>
      </c>
      <c r="E30" s="810">
        <f t="shared" si="2"/>
        <v>696.00571374955439</v>
      </c>
      <c r="F30" s="7"/>
      <c r="G30" s="7"/>
      <c r="H30" s="7"/>
      <c r="I30" s="7"/>
      <c r="J30" s="7"/>
      <c r="K30" s="7"/>
      <c r="L30" s="7"/>
      <c r="M30" s="7"/>
      <c r="N30" s="7"/>
      <c r="O30" s="7"/>
    </row>
    <row r="31" spans="1:15" x14ac:dyDescent="0.35">
      <c r="A31" s="7">
        <v>2017</v>
      </c>
      <c r="B31" s="810">
        <f>+B41/1000000</f>
        <v>307.57910008206181</v>
      </c>
      <c r="C31" s="810">
        <f>+C41/1000000</f>
        <v>342.76940079291001</v>
      </c>
      <c r="D31" s="810">
        <f>+D41/1000000</f>
        <v>16.218248404930002</v>
      </c>
      <c r="E31" s="810">
        <f>SUM(B31:D31)</f>
        <v>666.56674927990184</v>
      </c>
      <c r="F31" s="7"/>
      <c r="G31" s="7"/>
      <c r="H31" s="7"/>
      <c r="I31" s="7"/>
      <c r="J31" s="7"/>
      <c r="K31" s="7"/>
      <c r="L31" s="7"/>
      <c r="M31" s="7"/>
      <c r="N31" s="7"/>
      <c r="O31" s="7"/>
    </row>
    <row r="32" spans="1:15" x14ac:dyDescent="0.35">
      <c r="A32" s="811">
        <v>2008</v>
      </c>
      <c r="B32" s="812">
        <v>256013143</v>
      </c>
      <c r="C32" s="812">
        <v>179093722</v>
      </c>
      <c r="D32" s="812">
        <v>10019409</v>
      </c>
      <c r="E32" s="812">
        <f t="shared" si="1"/>
        <v>445126274</v>
      </c>
      <c r="F32" s="7"/>
      <c r="G32" s="7"/>
      <c r="H32" s="7"/>
      <c r="I32" s="7"/>
      <c r="J32" s="7"/>
      <c r="K32" s="7"/>
      <c r="L32" s="7"/>
      <c r="M32" s="7"/>
      <c r="N32" s="7"/>
      <c r="O32" s="7"/>
    </row>
    <row r="33" spans="1:15" x14ac:dyDescent="0.35">
      <c r="A33" s="7">
        <v>2009</v>
      </c>
      <c r="B33" s="810">
        <v>269060095</v>
      </c>
      <c r="C33" s="810">
        <v>213573900</v>
      </c>
      <c r="D33" s="810">
        <v>10641293</v>
      </c>
      <c r="E33" s="810">
        <f t="shared" si="1"/>
        <v>493275288</v>
      </c>
      <c r="F33" s="7"/>
      <c r="G33" s="7"/>
      <c r="H33" s="7"/>
      <c r="I33" s="7"/>
      <c r="J33" s="7"/>
      <c r="K33" s="7"/>
      <c r="L33" s="7"/>
      <c r="M33" s="7"/>
      <c r="N33" s="7"/>
      <c r="O33" s="7"/>
    </row>
    <row r="34" spans="1:15" x14ac:dyDescent="0.35">
      <c r="A34" s="7">
        <v>2010</v>
      </c>
      <c r="B34" s="810">
        <v>312049419</v>
      </c>
      <c r="C34" s="810">
        <v>211863700</v>
      </c>
      <c r="D34" s="810">
        <v>11676030</v>
      </c>
      <c r="E34" s="810">
        <f t="shared" si="1"/>
        <v>535589149</v>
      </c>
      <c r="F34" s="7"/>
      <c r="G34" s="7"/>
      <c r="H34" s="7"/>
      <c r="I34" s="7"/>
      <c r="J34" s="7"/>
      <c r="K34" s="7"/>
      <c r="L34" s="7"/>
      <c r="M34" s="7"/>
      <c r="N34" s="7"/>
      <c r="O34" s="7"/>
    </row>
    <row r="35" spans="1:15" x14ac:dyDescent="0.35">
      <c r="A35" s="7">
        <v>2011</v>
      </c>
      <c r="B35" s="810">
        <v>374898631</v>
      </c>
      <c r="C35" s="810">
        <v>235386426</v>
      </c>
      <c r="D35" s="810">
        <v>12317156</v>
      </c>
      <c r="E35" s="810">
        <f t="shared" si="1"/>
        <v>622602213</v>
      </c>
      <c r="F35" s="7"/>
      <c r="G35" s="7"/>
      <c r="H35" s="7"/>
      <c r="I35" s="7"/>
      <c r="J35" s="7"/>
      <c r="K35" s="7"/>
      <c r="L35" s="7"/>
      <c r="M35" s="7"/>
      <c r="N35" s="7"/>
      <c r="O35" s="7"/>
    </row>
    <row r="36" spans="1:15" x14ac:dyDescent="0.35">
      <c r="A36" s="7">
        <v>2012</v>
      </c>
      <c r="B36" s="810">
        <v>442008884</v>
      </c>
      <c r="C36" s="810">
        <v>272346544</v>
      </c>
      <c r="D36" s="810">
        <v>12259686</v>
      </c>
      <c r="E36" s="810">
        <f t="shared" si="1"/>
        <v>726615114</v>
      </c>
      <c r="F36" s="7"/>
      <c r="G36" s="7"/>
      <c r="H36" s="7"/>
      <c r="I36" s="7"/>
      <c r="J36" s="7"/>
      <c r="K36" s="7"/>
      <c r="L36" s="7"/>
      <c r="M36" s="7"/>
      <c r="N36" s="7"/>
      <c r="O36" s="7"/>
    </row>
    <row r="37" spans="1:15" x14ac:dyDescent="0.35">
      <c r="A37" s="7">
        <v>2013</v>
      </c>
      <c r="B37" s="810">
        <v>462590418</v>
      </c>
      <c r="C37" s="810">
        <v>316213911</v>
      </c>
      <c r="D37" s="810">
        <v>13303674</v>
      </c>
      <c r="E37" s="810">
        <f t="shared" si="1"/>
        <v>792108003</v>
      </c>
      <c r="F37" s="7"/>
      <c r="G37" s="7"/>
      <c r="H37" s="7"/>
      <c r="I37" s="7"/>
      <c r="J37" s="7"/>
      <c r="K37" s="7"/>
      <c r="L37" s="7"/>
      <c r="M37" s="7"/>
      <c r="N37" s="7"/>
      <c r="O37" s="7"/>
    </row>
    <row r="38" spans="1:15" x14ac:dyDescent="0.35">
      <c r="A38" s="7">
        <v>2014</v>
      </c>
      <c r="B38" s="810">
        <v>463908838</v>
      </c>
      <c r="C38" s="810">
        <v>294407060</v>
      </c>
      <c r="D38" s="810">
        <v>15140921</v>
      </c>
      <c r="E38" s="810">
        <f t="shared" si="1"/>
        <v>773456819</v>
      </c>
      <c r="F38" s="7"/>
      <c r="G38" s="7"/>
      <c r="H38" s="7"/>
      <c r="I38" s="7"/>
      <c r="J38" s="7"/>
      <c r="K38" s="7"/>
      <c r="L38" s="7"/>
      <c r="M38" s="7"/>
      <c r="N38" s="7"/>
      <c r="O38" s="7"/>
    </row>
    <row r="39" spans="1:15" x14ac:dyDescent="0.35">
      <c r="A39" s="7">
        <v>2015</v>
      </c>
      <c r="B39" s="810">
        <v>428142204.77171254</v>
      </c>
      <c r="C39" s="810">
        <v>302622167</v>
      </c>
      <c r="D39" s="810">
        <v>15335908.928590002</v>
      </c>
      <c r="E39" s="810">
        <f t="shared" ref="E39:E40" si="3">SUM(B39:D39)</f>
        <v>746100280.7003026</v>
      </c>
      <c r="F39" s="7"/>
      <c r="G39" s="7"/>
      <c r="H39" s="7"/>
      <c r="I39" s="7"/>
      <c r="J39" s="7"/>
      <c r="K39" s="7"/>
      <c r="L39" s="7"/>
      <c r="M39" s="7"/>
      <c r="N39" s="7"/>
      <c r="O39" s="7"/>
    </row>
    <row r="40" spans="1:15" x14ac:dyDescent="0.35">
      <c r="A40" s="7">
        <v>2016</v>
      </c>
      <c r="B40" s="810">
        <v>343879759.35278636</v>
      </c>
      <c r="C40" s="810">
        <v>336451161.32896805</v>
      </c>
      <c r="D40" s="810">
        <v>15674793.067800004</v>
      </c>
      <c r="E40" s="810">
        <f t="shared" si="3"/>
        <v>696005713.7495544</v>
      </c>
      <c r="F40" s="7"/>
      <c r="G40" s="7"/>
      <c r="H40" s="7"/>
      <c r="I40" s="7"/>
      <c r="J40" s="7"/>
      <c r="K40" s="7"/>
      <c r="L40" s="7"/>
      <c r="M40" s="7"/>
      <c r="N40" s="7"/>
      <c r="O40" s="7"/>
    </row>
    <row r="41" spans="1:15" x14ac:dyDescent="0.35">
      <c r="A41" s="7">
        <v>2017</v>
      </c>
      <c r="B41" s="810">
        <f>'Rate Support-Attachment I'!E55</f>
        <v>307579100.08206183</v>
      </c>
      <c r="C41" s="810">
        <f>'Rate Support-Attachment I'!C55</f>
        <v>342769400.79290998</v>
      </c>
      <c r="D41" s="810">
        <f>'Rate Support-Attachment I'!D55</f>
        <v>16218248.404930003</v>
      </c>
      <c r="E41" s="810">
        <f t="shared" si="1"/>
        <v>666566749.27990186</v>
      </c>
      <c r="F41" s="7"/>
      <c r="G41" s="7"/>
      <c r="H41" s="7"/>
      <c r="I41" s="7"/>
      <c r="J41" s="7"/>
      <c r="K41" s="7"/>
      <c r="L41" s="7"/>
      <c r="M41" s="7"/>
      <c r="N41" s="7"/>
      <c r="O41" s="7"/>
    </row>
    <row r="42" spans="1:15" x14ac:dyDescent="0.35">
      <c r="A42" s="7"/>
      <c r="B42" s="7"/>
      <c r="C42" s="7"/>
      <c r="D42" s="7"/>
      <c r="E42" s="7"/>
      <c r="F42" s="7"/>
      <c r="G42" s="7"/>
      <c r="H42" s="7"/>
      <c r="I42" s="7"/>
      <c r="J42" s="7"/>
      <c r="K42" s="7"/>
      <c r="L42" s="7"/>
      <c r="M42" s="7"/>
      <c r="N42" s="7"/>
      <c r="O42" s="7"/>
    </row>
    <row r="43" spans="1:15" x14ac:dyDescent="0.35">
      <c r="A43" s="1247" t="s">
        <v>887</v>
      </c>
      <c r="B43" s="7"/>
      <c r="C43" s="7"/>
      <c r="D43" s="7"/>
      <c r="E43" s="7"/>
      <c r="F43" s="7"/>
      <c r="G43" s="7"/>
      <c r="H43" s="7"/>
      <c r="I43" s="7"/>
      <c r="J43" s="7"/>
      <c r="K43" s="7"/>
      <c r="L43" s="7"/>
      <c r="M43" s="7"/>
      <c r="N43" s="7"/>
      <c r="O43" s="7"/>
    </row>
    <row r="44" spans="1:15" ht="29" x14ac:dyDescent="0.35">
      <c r="A44" s="813" t="s">
        <v>222</v>
      </c>
      <c r="B44" s="814" t="s">
        <v>227</v>
      </c>
      <c r="C44" s="814" t="s">
        <v>226</v>
      </c>
      <c r="D44" s="7"/>
      <c r="E44" s="7"/>
      <c r="F44" s="7"/>
      <c r="G44" s="7"/>
      <c r="H44" s="7"/>
      <c r="I44" s="7"/>
      <c r="J44" s="7"/>
      <c r="K44" s="7"/>
      <c r="L44" s="7"/>
      <c r="M44" s="7"/>
      <c r="N44" s="7"/>
      <c r="O44" s="7"/>
    </row>
    <row r="45" spans="1:15" x14ac:dyDescent="0.35">
      <c r="A45" s="7">
        <v>2008</v>
      </c>
      <c r="B45" s="810">
        <f t="shared" ref="B45:C53" si="4">+C58</f>
        <v>861.08739786232854</v>
      </c>
      <c r="C45" s="810">
        <f t="shared" si="4"/>
        <v>415.96112386232852</v>
      </c>
      <c r="D45" s="7"/>
      <c r="E45" s="7"/>
      <c r="F45" s="7"/>
      <c r="G45" s="7"/>
      <c r="H45" s="7"/>
      <c r="I45" s="7"/>
      <c r="J45" s="7"/>
      <c r="K45" s="7"/>
      <c r="L45" s="7"/>
      <c r="M45" s="7"/>
      <c r="N45" s="7"/>
      <c r="O45" s="7"/>
    </row>
    <row r="46" spans="1:15" x14ac:dyDescent="0.35">
      <c r="A46" s="7">
        <v>2009</v>
      </c>
      <c r="B46" s="810">
        <f t="shared" si="4"/>
        <v>946.2381640606277</v>
      </c>
      <c r="C46" s="810">
        <f t="shared" si="4"/>
        <v>452.96287606062765</v>
      </c>
      <c r="D46" s="7"/>
      <c r="E46" s="7"/>
      <c r="F46" s="7"/>
      <c r="G46" s="7"/>
      <c r="H46" s="7"/>
      <c r="I46" s="7"/>
      <c r="J46" s="7"/>
      <c r="K46" s="7"/>
      <c r="L46" s="7"/>
      <c r="M46" s="7"/>
      <c r="N46" s="7"/>
      <c r="O46" s="7"/>
    </row>
    <row r="47" spans="1:15" x14ac:dyDescent="0.35">
      <c r="A47" s="7">
        <v>2010</v>
      </c>
      <c r="B47" s="810">
        <f t="shared" si="4"/>
        <v>1051.0517503757258</v>
      </c>
      <c r="C47" s="810">
        <f t="shared" si="4"/>
        <v>515.46260137572574</v>
      </c>
      <c r="D47" s="831"/>
      <c r="E47" s="7"/>
      <c r="F47" s="7"/>
      <c r="G47" s="7"/>
      <c r="H47" s="7"/>
      <c r="I47" s="7"/>
      <c r="J47" s="7"/>
      <c r="K47" s="7"/>
      <c r="L47" s="7"/>
      <c r="M47" s="7"/>
      <c r="N47" s="7"/>
      <c r="O47" s="7"/>
    </row>
    <row r="48" spans="1:15" x14ac:dyDescent="0.35">
      <c r="A48" s="7">
        <v>2011</v>
      </c>
      <c r="B48" s="810">
        <f t="shared" si="4"/>
        <v>1203.0176928095927</v>
      </c>
      <c r="C48" s="810">
        <f t="shared" si="4"/>
        <v>580.41547980959274</v>
      </c>
      <c r="D48" s="7"/>
      <c r="E48" s="7"/>
      <c r="F48" s="7"/>
      <c r="G48" s="7"/>
      <c r="H48" s="7"/>
      <c r="I48" s="7"/>
      <c r="J48" s="7"/>
      <c r="K48" s="7"/>
      <c r="L48" s="7"/>
      <c r="M48" s="7"/>
      <c r="N48" s="7"/>
      <c r="O48" s="7"/>
    </row>
    <row r="49" spans="1:15" x14ac:dyDescent="0.35">
      <c r="A49" s="7">
        <v>2012</v>
      </c>
      <c r="B49" s="810">
        <f t="shared" si="4"/>
        <v>1378.3019303951344</v>
      </c>
      <c r="C49" s="810">
        <f t="shared" si="4"/>
        <v>651.68681639513431</v>
      </c>
      <c r="D49" s="7"/>
      <c r="E49" s="7"/>
      <c r="F49" s="7"/>
      <c r="G49" s="7"/>
      <c r="H49" s="7"/>
      <c r="I49" s="7"/>
      <c r="J49" s="7"/>
      <c r="K49" s="7"/>
      <c r="L49" s="7"/>
      <c r="M49" s="7"/>
      <c r="N49" s="7"/>
      <c r="O49" s="7"/>
    </row>
    <row r="50" spans="1:15" x14ac:dyDescent="0.35">
      <c r="A50" s="7">
        <v>2013</v>
      </c>
      <c r="B50" s="810">
        <f t="shared" si="4"/>
        <v>1505.554321846221</v>
      </c>
      <c r="C50" s="810">
        <f t="shared" si="4"/>
        <v>713.44631884622095</v>
      </c>
      <c r="D50" s="7"/>
      <c r="E50" s="7"/>
      <c r="F50" s="7"/>
      <c r="G50" s="7"/>
      <c r="H50" s="7"/>
      <c r="I50" s="7"/>
      <c r="J50" s="7"/>
      <c r="K50" s="7"/>
      <c r="L50" s="7"/>
      <c r="M50" s="7"/>
      <c r="N50" s="7"/>
      <c r="O50" s="7"/>
    </row>
    <row r="51" spans="1:15" x14ac:dyDescent="0.35">
      <c r="A51" s="7">
        <v>2014</v>
      </c>
      <c r="B51" s="810">
        <f t="shared" si="4"/>
        <v>1498.125311</v>
      </c>
      <c r="C51" s="810">
        <f t="shared" si="4"/>
        <v>724.6684919999999</v>
      </c>
      <c r="D51" s="7"/>
      <c r="E51" s="7"/>
      <c r="F51" s="7"/>
      <c r="G51" s="7"/>
      <c r="H51" s="7"/>
      <c r="I51" s="7"/>
      <c r="J51" s="7"/>
      <c r="K51" s="7"/>
      <c r="L51" s="7"/>
      <c r="M51" s="7"/>
      <c r="N51" s="7"/>
      <c r="O51" s="7"/>
    </row>
    <row r="52" spans="1:15" x14ac:dyDescent="0.35">
      <c r="A52" s="7">
        <v>2015</v>
      </c>
      <c r="B52" s="810">
        <f t="shared" si="4"/>
        <v>1477.3026560000001</v>
      </c>
      <c r="C52" s="810">
        <f t="shared" si="4"/>
        <v>731.20237529969745</v>
      </c>
      <c r="D52" s="7"/>
      <c r="E52" s="7"/>
      <c r="F52" s="7"/>
      <c r="G52" s="7"/>
      <c r="H52" s="7"/>
      <c r="I52" s="7"/>
      <c r="J52" s="7"/>
      <c r="K52" s="7"/>
      <c r="L52" s="7"/>
      <c r="M52" s="7"/>
      <c r="N52" s="7"/>
      <c r="O52" s="7"/>
    </row>
    <row r="53" spans="1:15" x14ac:dyDescent="0.35">
      <c r="A53" s="7">
        <v>2016</v>
      </c>
      <c r="B53" s="810">
        <f t="shared" si="4"/>
        <v>1523.6728668289177</v>
      </c>
      <c r="C53" s="810">
        <f t="shared" si="4"/>
        <v>827.66715307936329</v>
      </c>
      <c r="D53" s="7"/>
      <c r="E53" s="7"/>
      <c r="F53" s="7"/>
      <c r="G53" s="7"/>
      <c r="H53" s="7"/>
      <c r="I53" s="7"/>
      <c r="J53" s="7"/>
      <c r="K53" s="7"/>
      <c r="L53" s="7"/>
      <c r="M53" s="7"/>
      <c r="N53" s="7"/>
      <c r="O53" s="7"/>
    </row>
    <row r="54" spans="1:15" x14ac:dyDescent="0.35">
      <c r="A54" s="7">
        <v>2017</v>
      </c>
      <c r="B54" s="810">
        <f t="shared" ref="B54" si="5">+C67</f>
        <v>1562.51521254511</v>
      </c>
      <c r="C54" s="810">
        <f t="shared" ref="C54" si="6">+D67</f>
        <v>895.94846326520815</v>
      </c>
      <c r="D54" s="7"/>
      <c r="E54" s="7"/>
      <c r="F54" s="7"/>
      <c r="G54" s="7"/>
      <c r="H54" s="7"/>
      <c r="I54" s="7"/>
      <c r="J54" s="7"/>
      <c r="K54" s="7"/>
      <c r="L54" s="7"/>
      <c r="M54" s="7"/>
      <c r="N54" s="7"/>
      <c r="O54" s="7"/>
    </row>
    <row r="55" spans="1:15" x14ac:dyDescent="0.35">
      <c r="A55" s="7"/>
      <c r="B55" s="7"/>
      <c r="C55" s="7"/>
      <c r="D55" s="7"/>
      <c r="E55" s="7"/>
      <c r="F55" s="7"/>
      <c r="G55" s="7"/>
      <c r="H55" s="7"/>
      <c r="I55" s="7"/>
      <c r="J55" s="7"/>
      <c r="K55" s="7"/>
      <c r="L55" s="7"/>
      <c r="M55" s="7"/>
      <c r="N55" s="7"/>
      <c r="O55" s="7"/>
    </row>
    <row r="56" spans="1:15" x14ac:dyDescent="0.35">
      <c r="A56" s="7"/>
      <c r="B56" s="7"/>
      <c r="C56" s="7"/>
      <c r="D56" s="7"/>
      <c r="E56" s="7"/>
      <c r="F56" s="7"/>
      <c r="G56" s="7"/>
      <c r="H56" s="7"/>
      <c r="I56" s="7"/>
      <c r="J56" s="7"/>
      <c r="K56" s="7"/>
      <c r="L56" s="7"/>
      <c r="M56" s="7"/>
      <c r="N56" s="7"/>
      <c r="O56" s="7"/>
    </row>
    <row r="57" spans="1:15" ht="29" x14ac:dyDescent="0.35">
      <c r="A57" s="813" t="s">
        <v>222</v>
      </c>
      <c r="B57" s="814" t="s">
        <v>225</v>
      </c>
      <c r="C57" s="814" t="s">
        <v>223</v>
      </c>
      <c r="D57" s="815" t="s">
        <v>523</v>
      </c>
      <c r="E57" s="7"/>
      <c r="F57" s="7"/>
      <c r="G57" s="7"/>
      <c r="H57" s="7"/>
      <c r="I57" s="7"/>
      <c r="J57" s="7"/>
      <c r="K57" s="7"/>
      <c r="L57" s="7"/>
      <c r="M57" s="7"/>
      <c r="N57" s="7"/>
      <c r="O57" s="7"/>
    </row>
    <row r="58" spans="1:15" x14ac:dyDescent="0.35">
      <c r="A58" s="7">
        <v>2008</v>
      </c>
      <c r="B58" s="810">
        <f t="shared" ref="B58:B64" si="7">+B82/1000000</f>
        <v>11920.248871512998</v>
      </c>
      <c r="C58" s="810">
        <f t="shared" ref="C58:C64" si="8">+C82/1000000</f>
        <v>861.08739786232854</v>
      </c>
      <c r="D58" s="810">
        <f t="shared" ref="D58:D66" si="9">+C58-E22</f>
        <v>415.96112386232852</v>
      </c>
      <c r="E58" s="816"/>
      <c r="F58" s="7"/>
      <c r="G58" s="7"/>
      <c r="H58" s="7"/>
      <c r="I58" s="7"/>
      <c r="J58" s="7"/>
      <c r="K58" s="7"/>
      <c r="L58" s="7"/>
      <c r="M58" s="7"/>
      <c r="N58" s="7"/>
      <c r="O58" s="7"/>
    </row>
    <row r="59" spans="1:15" x14ac:dyDescent="0.35">
      <c r="A59" s="7">
        <v>2009</v>
      </c>
      <c r="B59" s="810">
        <f t="shared" si="7"/>
        <v>12442.727824140587</v>
      </c>
      <c r="C59" s="810">
        <f t="shared" si="8"/>
        <v>946.2381640606277</v>
      </c>
      <c r="D59" s="810">
        <f t="shared" si="9"/>
        <v>452.96287606062765</v>
      </c>
      <c r="E59" s="816"/>
      <c r="F59" s="7"/>
      <c r="G59" s="7"/>
      <c r="H59" s="7"/>
      <c r="I59" s="7"/>
      <c r="J59" s="7"/>
      <c r="K59" s="7"/>
      <c r="L59" s="7"/>
      <c r="M59" s="7"/>
      <c r="N59" s="7"/>
      <c r="O59" s="7"/>
    </row>
    <row r="60" spans="1:15" x14ac:dyDescent="0.35">
      <c r="A60" s="7">
        <v>2010</v>
      </c>
      <c r="B60" s="810">
        <f t="shared" si="7"/>
        <v>12647.785379358338</v>
      </c>
      <c r="C60" s="810">
        <f t="shared" si="8"/>
        <v>1051.0517503757258</v>
      </c>
      <c r="D60" s="810">
        <f t="shared" si="9"/>
        <v>515.46260137572574</v>
      </c>
      <c r="E60" s="816"/>
      <c r="F60" s="7"/>
      <c r="G60" s="7"/>
      <c r="H60" s="7"/>
      <c r="I60" s="7"/>
      <c r="J60" s="7"/>
      <c r="K60" s="7"/>
      <c r="L60" s="7"/>
      <c r="M60" s="7"/>
      <c r="N60" s="7"/>
      <c r="O60" s="7"/>
    </row>
    <row r="61" spans="1:15" x14ac:dyDescent="0.35">
      <c r="A61" s="7">
        <v>2011</v>
      </c>
      <c r="B61" s="810">
        <f t="shared" si="7"/>
        <v>13039.588671793743</v>
      </c>
      <c r="C61" s="810">
        <f t="shared" si="8"/>
        <v>1203.0176928095927</v>
      </c>
      <c r="D61" s="810">
        <f t="shared" si="9"/>
        <v>580.41547980959274</v>
      </c>
      <c r="E61" s="816"/>
      <c r="F61" s="7"/>
      <c r="G61" s="7"/>
      <c r="H61" s="7"/>
      <c r="I61" s="7"/>
      <c r="J61" s="7"/>
      <c r="K61" s="7"/>
      <c r="L61" s="7"/>
      <c r="M61" s="7"/>
      <c r="N61" s="7"/>
      <c r="O61" s="7"/>
    </row>
    <row r="62" spans="1:15" x14ac:dyDescent="0.35">
      <c r="A62" s="7">
        <v>2012</v>
      </c>
      <c r="B62" s="810">
        <f t="shared" si="7"/>
        <v>13532.154004168002</v>
      </c>
      <c r="C62" s="810">
        <f t="shared" si="8"/>
        <v>1378.3019303951344</v>
      </c>
      <c r="D62" s="810">
        <f t="shared" si="9"/>
        <v>651.68681639513431</v>
      </c>
      <c r="E62" s="816"/>
      <c r="F62" s="7"/>
      <c r="G62" s="7"/>
      <c r="H62" s="7"/>
      <c r="I62" s="7"/>
      <c r="J62" s="7"/>
      <c r="K62" s="7"/>
      <c r="L62" s="7"/>
      <c r="M62" s="7"/>
      <c r="N62" s="7"/>
      <c r="O62" s="7"/>
    </row>
    <row r="63" spans="1:15" x14ac:dyDescent="0.35">
      <c r="A63" s="7">
        <v>2013</v>
      </c>
      <c r="B63" s="810">
        <f t="shared" si="7"/>
        <v>13625.073340212002</v>
      </c>
      <c r="C63" s="810">
        <f t="shared" si="8"/>
        <v>1505.554321846221</v>
      </c>
      <c r="D63" s="810">
        <f t="shared" si="9"/>
        <v>713.44631884622095</v>
      </c>
      <c r="E63" s="816"/>
      <c r="F63" s="7"/>
      <c r="G63" s="7"/>
      <c r="H63" s="7"/>
      <c r="I63" s="7"/>
      <c r="J63" s="7"/>
      <c r="K63" s="7"/>
      <c r="L63" s="7"/>
      <c r="M63" s="7"/>
      <c r="N63" s="7"/>
      <c r="O63" s="7"/>
    </row>
    <row r="64" spans="1:15" x14ac:dyDescent="0.35">
      <c r="A64" s="7">
        <v>2014</v>
      </c>
      <c r="B64" s="810">
        <f t="shared" si="7"/>
        <v>14105.52369</v>
      </c>
      <c r="C64" s="810">
        <f t="shared" si="8"/>
        <v>1498.125311</v>
      </c>
      <c r="D64" s="810">
        <f t="shared" si="9"/>
        <v>724.6684919999999</v>
      </c>
      <c r="E64" s="816"/>
      <c r="F64" s="816"/>
      <c r="G64" s="7"/>
      <c r="H64" s="7"/>
      <c r="I64" s="7"/>
      <c r="J64" s="7"/>
      <c r="K64" s="7"/>
      <c r="L64" s="7"/>
      <c r="M64" s="7"/>
      <c r="N64" s="7"/>
      <c r="O64" s="7"/>
    </row>
    <row r="65" spans="1:15" x14ac:dyDescent="0.35">
      <c r="A65" s="7">
        <v>2015</v>
      </c>
      <c r="B65" s="810">
        <f t="shared" ref="B65:C67" si="10">+B89/1000000</f>
        <v>14693.452601719999</v>
      </c>
      <c r="C65" s="810">
        <f t="shared" si="10"/>
        <v>1477.3026560000001</v>
      </c>
      <c r="D65" s="810">
        <f t="shared" si="9"/>
        <v>731.20237529969745</v>
      </c>
      <c r="E65" s="816"/>
      <c r="F65" s="7"/>
      <c r="G65" s="7"/>
      <c r="H65" s="7"/>
      <c r="I65" s="7"/>
      <c r="J65" s="7"/>
      <c r="K65" s="7"/>
      <c r="L65" s="7"/>
      <c r="M65" s="7"/>
      <c r="N65" s="7"/>
      <c r="O65" s="7"/>
    </row>
    <row r="66" spans="1:15" x14ac:dyDescent="0.35">
      <c r="A66" s="7">
        <v>2016</v>
      </c>
      <c r="B66" s="810">
        <f t="shared" si="10"/>
        <v>16329.405720936335</v>
      </c>
      <c r="C66" s="810">
        <f t="shared" si="10"/>
        <v>1523.6728668289177</v>
      </c>
      <c r="D66" s="810">
        <f t="shared" si="9"/>
        <v>827.66715307936329</v>
      </c>
      <c r="E66" s="816"/>
      <c r="F66" s="7"/>
      <c r="G66" s="7"/>
      <c r="H66" s="7"/>
      <c r="I66" s="7"/>
      <c r="J66" s="7"/>
      <c r="K66" s="7"/>
      <c r="L66" s="7"/>
      <c r="M66" s="7"/>
      <c r="N66" s="7"/>
      <c r="O66" s="7"/>
    </row>
    <row r="67" spans="1:15" x14ac:dyDescent="0.35">
      <c r="A67" s="7">
        <v>2017</v>
      </c>
      <c r="B67" s="810">
        <f t="shared" si="10"/>
        <v>15834.408260351</v>
      </c>
      <c r="C67" s="810">
        <f t="shared" si="10"/>
        <v>1562.51521254511</v>
      </c>
      <c r="D67" s="810">
        <f t="shared" ref="D67" si="11">+C67-E31</f>
        <v>895.94846326520815</v>
      </c>
      <c r="E67" s="816"/>
      <c r="F67" s="7"/>
      <c r="G67" s="7"/>
      <c r="H67" s="7"/>
      <c r="I67" s="7"/>
      <c r="J67" s="7"/>
      <c r="K67" s="7"/>
      <c r="L67" s="7"/>
      <c r="M67" s="7"/>
      <c r="N67" s="7"/>
      <c r="O67" s="7"/>
    </row>
    <row r="68" spans="1:15" x14ac:dyDescent="0.35">
      <c r="A68" s="7"/>
      <c r="B68" s="7"/>
      <c r="C68" s="7"/>
      <c r="D68" s="7"/>
      <c r="E68" s="7"/>
      <c r="F68" s="7"/>
      <c r="G68" s="7"/>
      <c r="H68" s="7"/>
      <c r="I68" s="7"/>
      <c r="J68" s="7"/>
      <c r="K68" s="7"/>
      <c r="L68" s="7"/>
      <c r="M68" s="7"/>
      <c r="N68" s="7"/>
      <c r="O68" s="7"/>
    </row>
    <row r="69" spans="1:15" ht="43.5" x14ac:dyDescent="0.35">
      <c r="A69" s="813" t="s">
        <v>222</v>
      </c>
      <c r="B69" s="814" t="s">
        <v>221</v>
      </c>
      <c r="C69" s="827" t="s">
        <v>699</v>
      </c>
      <c r="D69" s="7"/>
      <c r="E69" s="7"/>
      <c r="F69" s="7"/>
      <c r="G69" s="7"/>
      <c r="H69" s="7"/>
      <c r="I69" s="7"/>
      <c r="J69" s="7"/>
      <c r="K69" s="7"/>
      <c r="L69" s="7"/>
      <c r="M69" s="7"/>
      <c r="N69" s="7"/>
      <c r="O69" s="7"/>
    </row>
    <row r="70" spans="1:15" x14ac:dyDescent="0.35">
      <c r="A70" s="7">
        <v>2008</v>
      </c>
      <c r="B70" s="816">
        <f t="shared" ref="B70:B78" si="12">+C58/B58</f>
        <v>7.2237367452969423E-2</v>
      </c>
      <c r="C70" s="817">
        <f t="shared" ref="C70:C78" si="13">D58/B58</f>
        <v>3.4895338876388064E-2</v>
      </c>
      <c r="D70" s="7"/>
      <c r="E70" s="7"/>
      <c r="F70" s="7"/>
      <c r="G70" s="7"/>
      <c r="H70" s="7"/>
      <c r="I70" s="7"/>
      <c r="J70" s="7"/>
      <c r="K70" s="7"/>
      <c r="L70" s="7"/>
      <c r="M70" s="7"/>
      <c r="N70" s="7"/>
      <c r="O70" s="7"/>
    </row>
    <row r="71" spans="1:15" x14ac:dyDescent="0.35">
      <c r="A71" s="7">
        <v>2009</v>
      </c>
      <c r="B71" s="816">
        <f t="shared" si="12"/>
        <v>7.6047485522008823E-2</v>
      </c>
      <c r="C71" s="817">
        <f t="shared" si="13"/>
        <v>3.6403824182493001E-2</v>
      </c>
      <c r="D71" s="7"/>
      <c r="E71" s="7"/>
      <c r="F71" s="7"/>
      <c r="G71" s="7"/>
      <c r="H71" s="7"/>
      <c r="I71" s="7"/>
      <c r="J71" s="7"/>
      <c r="K71" s="7"/>
      <c r="L71" s="7"/>
      <c r="M71" s="7"/>
      <c r="N71" s="7"/>
      <c r="O71" s="7"/>
    </row>
    <row r="72" spans="1:15" x14ac:dyDescent="0.35">
      <c r="A72" s="7">
        <v>2010</v>
      </c>
      <c r="B72" s="816">
        <f t="shared" si="12"/>
        <v>8.3101643398462613E-2</v>
      </c>
      <c r="C72" s="817">
        <f t="shared" si="13"/>
        <v>4.0755166688468646E-2</v>
      </c>
      <c r="D72" s="7"/>
      <c r="E72" s="7"/>
      <c r="F72" s="7"/>
      <c r="G72" s="7"/>
      <c r="H72" s="7"/>
      <c r="I72" s="7"/>
      <c r="J72" s="7"/>
      <c r="K72" s="7"/>
      <c r="L72" s="7"/>
      <c r="M72" s="7"/>
      <c r="N72" s="7"/>
      <c r="O72" s="7"/>
    </row>
    <row r="73" spans="1:15" x14ac:dyDescent="0.35">
      <c r="A73" s="7">
        <v>2011</v>
      </c>
      <c r="B73" s="816">
        <f t="shared" si="12"/>
        <v>9.2258868211991238E-2</v>
      </c>
      <c r="C73" s="817">
        <f t="shared" si="13"/>
        <v>4.4511793617010624E-2</v>
      </c>
      <c r="D73" s="7"/>
      <c r="E73" s="7"/>
      <c r="F73" s="7"/>
      <c r="G73" s="7"/>
      <c r="H73" s="7"/>
      <c r="I73" s="7"/>
      <c r="J73" s="7"/>
      <c r="K73" s="7"/>
      <c r="L73" s="7"/>
      <c r="M73" s="7"/>
      <c r="N73" s="7"/>
      <c r="O73" s="7"/>
    </row>
    <row r="74" spans="1:15" x14ac:dyDescent="0.35">
      <c r="A74" s="7">
        <v>2012</v>
      </c>
      <c r="B74" s="816">
        <f t="shared" si="12"/>
        <v>0.10185384603002651</v>
      </c>
      <c r="C74" s="817">
        <f t="shared" si="13"/>
        <v>4.8158394901093353E-2</v>
      </c>
      <c r="D74" s="7"/>
      <c r="E74" s="7"/>
      <c r="F74" s="7"/>
      <c r="G74" s="7"/>
      <c r="H74" s="7"/>
      <c r="I74" s="7"/>
      <c r="J74" s="7"/>
      <c r="K74" s="7"/>
      <c r="L74" s="7"/>
      <c r="M74" s="7"/>
      <c r="N74" s="7"/>
      <c r="O74" s="7"/>
    </row>
    <row r="75" spans="1:15" x14ac:dyDescent="0.35">
      <c r="A75" s="7">
        <v>2013</v>
      </c>
      <c r="B75" s="816">
        <f t="shared" si="12"/>
        <v>0.1104988049791147</v>
      </c>
      <c r="C75" s="817">
        <f t="shared" si="13"/>
        <v>5.2362750719338144E-2</v>
      </c>
      <c r="D75" s="7"/>
      <c r="E75" s="7"/>
      <c r="F75" s="7"/>
      <c r="G75" s="7"/>
      <c r="H75" s="7"/>
      <c r="I75" s="7"/>
      <c r="J75" s="7"/>
      <c r="K75" s="7"/>
      <c r="L75" s="7"/>
      <c r="M75" s="7"/>
      <c r="N75" s="7"/>
      <c r="O75" s="7"/>
    </row>
    <row r="76" spans="1:15" x14ac:dyDescent="0.35">
      <c r="A76" s="7">
        <v>2014</v>
      </c>
      <c r="B76" s="816">
        <f t="shared" si="12"/>
        <v>0.10620841479725308</v>
      </c>
      <c r="C76" s="817">
        <f t="shared" si="13"/>
        <v>5.1374802377152994E-2</v>
      </c>
      <c r="D76" s="7"/>
      <c r="E76" s="7"/>
      <c r="F76" s="7"/>
      <c r="G76" s="7"/>
      <c r="H76" s="7"/>
      <c r="I76" s="7"/>
      <c r="J76" s="7"/>
      <c r="K76" s="7"/>
      <c r="L76" s="7"/>
      <c r="M76" s="7"/>
      <c r="N76" s="7"/>
      <c r="O76" s="7"/>
    </row>
    <row r="77" spans="1:15" x14ac:dyDescent="0.35">
      <c r="A77" s="7">
        <v>2015</v>
      </c>
      <c r="B77" s="816">
        <f t="shared" si="12"/>
        <v>0.10054156065587122</v>
      </c>
      <c r="C77" s="817">
        <f t="shared" si="13"/>
        <v>4.9763823052323575E-2</v>
      </c>
      <c r="D77" s="7"/>
      <c r="E77" s="7"/>
      <c r="F77" s="7"/>
      <c r="G77" s="7"/>
      <c r="H77" s="7"/>
      <c r="I77" s="7"/>
      <c r="J77" s="7"/>
      <c r="K77" s="7"/>
      <c r="L77" s="7"/>
      <c r="M77" s="7"/>
      <c r="N77" s="7"/>
      <c r="O77" s="7"/>
    </row>
    <row r="78" spans="1:15" x14ac:dyDescent="0.35">
      <c r="A78" s="7">
        <v>2016</v>
      </c>
      <c r="B78" s="816">
        <f t="shared" si="12"/>
        <v>9.3308531422878357E-2</v>
      </c>
      <c r="C78" s="817">
        <f t="shared" si="13"/>
        <v>5.0685687355920786E-2</v>
      </c>
      <c r="D78" s="7"/>
      <c r="E78" s="7"/>
      <c r="F78" s="7"/>
      <c r="G78" s="7"/>
      <c r="H78" s="7"/>
      <c r="I78" s="7"/>
      <c r="J78" s="7"/>
      <c r="K78" s="7"/>
      <c r="L78" s="7"/>
      <c r="M78" s="7"/>
      <c r="N78" s="7"/>
      <c r="O78" s="7"/>
    </row>
    <row r="79" spans="1:15" x14ac:dyDescent="0.35">
      <c r="A79" s="7">
        <v>2017</v>
      </c>
      <c r="B79" s="816">
        <f t="shared" ref="B79" si="14">+C67/B67</f>
        <v>9.8678472024598021E-2</v>
      </c>
      <c r="C79" s="817">
        <f t="shared" ref="C79" si="15">D67/B67</f>
        <v>5.6582377347730944E-2</v>
      </c>
      <c r="D79" s="7"/>
      <c r="E79" s="7"/>
      <c r="F79" s="7"/>
      <c r="G79" s="7"/>
      <c r="H79" s="7"/>
      <c r="I79" s="7"/>
      <c r="J79" s="7"/>
      <c r="K79" s="7"/>
      <c r="L79" s="7"/>
      <c r="M79" s="7"/>
      <c r="N79" s="7"/>
      <c r="O79" s="7"/>
    </row>
    <row r="80" spans="1:15" x14ac:dyDescent="0.35">
      <c r="A80" s="7"/>
      <c r="B80" s="7"/>
      <c r="C80" s="7"/>
      <c r="D80" s="7"/>
      <c r="E80" s="7"/>
      <c r="F80" s="7"/>
      <c r="G80" s="7"/>
      <c r="H80" s="7"/>
      <c r="I80" s="7"/>
      <c r="J80" s="7"/>
      <c r="K80" s="7"/>
      <c r="L80" s="7"/>
      <c r="M80" s="7"/>
      <c r="N80" s="7"/>
      <c r="O80" s="7"/>
    </row>
    <row r="81" spans="1:15" ht="29" x14ac:dyDescent="0.35">
      <c r="A81" s="818" t="s">
        <v>222</v>
      </c>
      <c r="B81" s="819" t="s">
        <v>520</v>
      </c>
      <c r="C81" s="1317" t="s">
        <v>907</v>
      </c>
      <c r="D81" s="7"/>
      <c r="E81" s="7"/>
      <c r="F81" s="7"/>
      <c r="G81" s="7"/>
      <c r="H81" s="7"/>
      <c r="I81" s="7"/>
      <c r="J81" s="7"/>
      <c r="K81" s="7"/>
      <c r="L81" s="7"/>
      <c r="M81" s="7"/>
      <c r="N81" s="7"/>
      <c r="O81" s="7"/>
    </row>
    <row r="82" spans="1:15" x14ac:dyDescent="0.35">
      <c r="A82" s="7">
        <v>2008</v>
      </c>
      <c r="B82" s="820">
        <v>11920248871.512999</v>
      </c>
      <c r="C82" s="820">
        <v>861087397.86232853</v>
      </c>
      <c r="D82" s="7"/>
      <c r="E82" s="7"/>
      <c r="F82" s="7"/>
      <c r="G82" s="7"/>
      <c r="H82" s="7"/>
      <c r="I82" s="7"/>
      <c r="J82" s="7"/>
      <c r="K82" s="7"/>
      <c r="L82" s="7"/>
      <c r="M82" s="7"/>
      <c r="N82" s="7"/>
      <c r="O82" s="7"/>
    </row>
    <row r="83" spans="1:15" x14ac:dyDescent="0.35">
      <c r="A83" s="7">
        <v>2009</v>
      </c>
      <c r="B83" s="820">
        <v>12442727824.140587</v>
      </c>
      <c r="C83" s="820">
        <v>946238164.0606277</v>
      </c>
      <c r="D83" s="7"/>
      <c r="E83" s="7"/>
      <c r="F83" s="7"/>
      <c r="G83" s="7"/>
      <c r="H83" s="7"/>
      <c r="I83" s="7"/>
      <c r="J83" s="7"/>
      <c r="K83" s="7"/>
      <c r="L83" s="7"/>
      <c r="M83" s="7"/>
      <c r="N83" s="7"/>
      <c r="O83" s="7"/>
    </row>
    <row r="84" spans="1:15" x14ac:dyDescent="0.35">
      <c r="A84" s="7">
        <v>2010</v>
      </c>
      <c r="B84" s="820">
        <v>12647785379.358337</v>
      </c>
      <c r="C84" s="820">
        <v>1051051750.3757259</v>
      </c>
      <c r="D84" s="7"/>
      <c r="E84" s="7"/>
      <c r="F84" s="7"/>
      <c r="G84" s="7"/>
      <c r="H84" s="7"/>
      <c r="I84" s="7"/>
      <c r="J84" s="7"/>
      <c r="K84" s="7"/>
      <c r="L84" s="7"/>
      <c r="M84" s="7"/>
      <c r="N84" s="7"/>
      <c r="O84" s="7"/>
    </row>
    <row r="85" spans="1:15" x14ac:dyDescent="0.35">
      <c r="A85" s="7">
        <v>2011</v>
      </c>
      <c r="B85" s="820">
        <v>13039588671.793743</v>
      </c>
      <c r="C85" s="820">
        <v>1203017692.8095927</v>
      </c>
      <c r="D85" s="7"/>
      <c r="E85" s="7"/>
      <c r="F85" s="7"/>
      <c r="G85" s="7"/>
      <c r="H85" s="7"/>
      <c r="I85" s="7"/>
      <c r="J85" s="7"/>
      <c r="K85" s="7"/>
      <c r="L85" s="7"/>
      <c r="M85" s="7"/>
      <c r="N85" s="7"/>
      <c r="O85" s="7"/>
    </row>
    <row r="86" spans="1:15" x14ac:dyDescent="0.35">
      <c r="A86" s="7">
        <v>2012</v>
      </c>
      <c r="B86" s="820">
        <v>13532154004.168001</v>
      </c>
      <c r="C86" s="820">
        <v>1378301930.3951344</v>
      </c>
      <c r="D86" s="7"/>
      <c r="E86" s="7"/>
      <c r="F86" s="7"/>
      <c r="G86" s="7"/>
      <c r="H86" s="7"/>
      <c r="I86" s="7"/>
      <c r="J86" s="7"/>
      <c r="K86" s="7"/>
      <c r="L86" s="7"/>
      <c r="M86" s="7"/>
      <c r="N86" s="7"/>
      <c r="O86" s="7"/>
    </row>
    <row r="87" spans="1:15" x14ac:dyDescent="0.35">
      <c r="A87" s="7">
        <v>2013</v>
      </c>
      <c r="B87" s="820">
        <v>13625073340.212002</v>
      </c>
      <c r="C87" s="820">
        <v>1505554321.846221</v>
      </c>
      <c r="D87" s="7"/>
      <c r="E87" s="7"/>
      <c r="F87" s="7"/>
      <c r="G87" s="7"/>
      <c r="H87" s="7"/>
      <c r="I87" s="7"/>
      <c r="J87" s="7"/>
      <c r="K87" s="7"/>
      <c r="L87" s="7"/>
      <c r="M87" s="7"/>
      <c r="N87" s="7"/>
      <c r="O87" s="7"/>
    </row>
    <row r="88" spans="1:15" x14ac:dyDescent="0.35">
      <c r="A88" s="7">
        <v>2014</v>
      </c>
      <c r="B88" s="820">
        <v>14105523690</v>
      </c>
      <c r="C88" s="820">
        <v>1498125311</v>
      </c>
      <c r="D88" s="7"/>
      <c r="E88" s="7"/>
      <c r="F88" s="7"/>
      <c r="G88" s="7"/>
      <c r="H88" s="7"/>
      <c r="I88" s="7"/>
      <c r="J88" s="7"/>
      <c r="K88" s="7"/>
      <c r="L88" s="7"/>
      <c r="M88" s="7"/>
      <c r="N88" s="7"/>
      <c r="O88" s="7"/>
    </row>
    <row r="89" spans="1:15" x14ac:dyDescent="0.35">
      <c r="A89">
        <v>2015</v>
      </c>
      <c r="B89" s="822">
        <v>14693452601.719999</v>
      </c>
      <c r="C89" s="852">
        <v>1477302656</v>
      </c>
      <c r="D89"/>
      <c r="E89"/>
      <c r="F89"/>
      <c r="G89"/>
      <c r="H89"/>
      <c r="I89"/>
      <c r="J89"/>
      <c r="K89"/>
      <c r="L89"/>
      <c r="M89"/>
      <c r="N89"/>
      <c r="O89"/>
    </row>
    <row r="90" spans="1:15" x14ac:dyDescent="0.35">
      <c r="A90" s="742">
        <v>2016</v>
      </c>
      <c r="B90" s="822">
        <v>16329405720.936335</v>
      </c>
      <c r="C90" s="852">
        <v>1523672866.8289177</v>
      </c>
      <c r="D90" s="742"/>
      <c r="E90" s="742"/>
      <c r="F90" s="742"/>
      <c r="G90" s="742"/>
      <c r="H90" s="742"/>
      <c r="I90" s="742"/>
      <c r="J90" s="742"/>
      <c r="K90" s="742"/>
      <c r="L90" s="742"/>
      <c r="M90" s="742"/>
      <c r="N90" s="742"/>
      <c r="O90" s="742"/>
    </row>
    <row r="91" spans="1:15" x14ac:dyDescent="0.35">
      <c r="A91">
        <v>2017</v>
      </c>
      <c r="B91" s="822">
        <f>'Attachment II-All Hospitals'!$E$55</f>
        <v>15834408260.351</v>
      </c>
      <c r="C91" s="822">
        <f>'Attachment II-All Hospitals'!F55</f>
        <v>1562515212.54511</v>
      </c>
      <c r="D91"/>
      <c r="E91"/>
      <c r="F91"/>
      <c r="G91"/>
      <c r="H91"/>
      <c r="I91"/>
      <c r="J91"/>
      <c r="K91"/>
      <c r="L91"/>
      <c r="M91"/>
      <c r="N91"/>
      <c r="O91"/>
    </row>
    <row r="93" spans="1:15" x14ac:dyDescent="0.35">
      <c r="C93" s="767"/>
    </row>
    <row r="94" spans="1:15" x14ac:dyDescent="0.35">
      <c r="B94" s="761"/>
      <c r="C94" s="767"/>
    </row>
    <row r="95" spans="1:15" x14ac:dyDescent="0.35">
      <c r="C95" s="767"/>
    </row>
    <row r="96" spans="1:15" x14ac:dyDescent="0.35">
      <c r="C96" s="768"/>
    </row>
    <row r="97" spans="1:5" x14ac:dyDescent="0.35">
      <c r="C97" s="769"/>
    </row>
    <row r="99" spans="1:5" x14ac:dyDescent="0.35">
      <c r="C99" s="767"/>
    </row>
    <row r="100" spans="1:5" x14ac:dyDescent="0.35">
      <c r="B100" s="761"/>
      <c r="C100" s="767"/>
    </row>
    <row r="102" spans="1:5" x14ac:dyDescent="0.35">
      <c r="C102" s="768"/>
    </row>
    <row r="103" spans="1:5" x14ac:dyDescent="0.35">
      <c r="C103" s="769"/>
    </row>
    <row r="107" spans="1:5" ht="18.5" x14ac:dyDescent="0.45">
      <c r="A107" s="770"/>
      <c r="B107" s="771"/>
      <c r="D107" s="772"/>
      <c r="E107" s="773"/>
    </row>
    <row r="108" spans="1:5" x14ac:dyDescent="0.35">
      <c r="B108" s="771"/>
      <c r="D108" s="774"/>
    </row>
    <row r="109" spans="1:5" x14ac:dyDescent="0.35">
      <c r="B109" s="771"/>
      <c r="D109" s="774"/>
      <c r="E109" s="774"/>
    </row>
    <row r="110" spans="1:5" x14ac:dyDescent="0.35">
      <c r="B110" s="771"/>
      <c r="D110" s="767"/>
      <c r="E110" s="767"/>
    </row>
    <row r="111" spans="1:5" ht="16" x14ac:dyDescent="0.5">
      <c r="B111" s="771"/>
      <c r="D111" s="775"/>
      <c r="E111" s="775"/>
    </row>
    <row r="112" spans="1:5" x14ac:dyDescent="0.35">
      <c r="A112" s="776"/>
      <c r="B112" s="777"/>
      <c r="C112" s="776"/>
      <c r="D112" s="778"/>
      <c r="E112" s="778"/>
    </row>
    <row r="113" spans="1:5" x14ac:dyDescent="0.35">
      <c r="B113" s="771"/>
      <c r="D113" s="774"/>
    </row>
    <row r="114" spans="1:5" x14ac:dyDescent="0.35">
      <c r="A114" s="779"/>
      <c r="D114" s="767"/>
    </row>
    <row r="115" spans="1:5" x14ac:dyDescent="0.35">
      <c r="A115" s="780"/>
      <c r="D115" s="767"/>
    </row>
    <row r="116" spans="1:5" x14ac:dyDescent="0.35">
      <c r="D116" s="767"/>
    </row>
    <row r="117" spans="1:5" x14ac:dyDescent="0.35">
      <c r="D117" s="767"/>
    </row>
    <row r="118" spans="1:5" x14ac:dyDescent="0.35">
      <c r="D118" s="767"/>
    </row>
    <row r="119" spans="1:5" ht="16" x14ac:dyDescent="0.5">
      <c r="D119" s="775"/>
    </row>
    <row r="120" spans="1:5" ht="16" x14ac:dyDescent="0.5">
      <c r="A120" s="776"/>
      <c r="B120" s="776"/>
      <c r="C120" s="776"/>
      <c r="D120" s="781"/>
      <c r="E120" s="782"/>
    </row>
    <row r="121" spans="1:5" x14ac:dyDescent="0.35">
      <c r="A121" s="776"/>
      <c r="B121" s="776"/>
      <c r="C121" s="776"/>
      <c r="D121" s="776"/>
      <c r="E121" s="783"/>
    </row>
    <row r="122" spans="1:5" ht="16" x14ac:dyDescent="0.5">
      <c r="D122" s="784"/>
      <c r="E122" s="785"/>
    </row>
    <row r="125" spans="1:5" ht="16" x14ac:dyDescent="0.5">
      <c r="D125" s="786"/>
      <c r="E125" s="782"/>
    </row>
    <row r="127" spans="1:5" ht="16" x14ac:dyDescent="0.5">
      <c r="D127" s="787"/>
      <c r="E127" s="787"/>
    </row>
    <row r="129" spans="1:5" ht="16" x14ac:dyDescent="0.5">
      <c r="D129" s="782"/>
      <c r="E129" s="782"/>
    </row>
    <row r="131" spans="1:5" ht="18.5" x14ac:dyDescent="0.45">
      <c r="A131" s="788"/>
      <c r="B131" s="788"/>
      <c r="C131" s="788"/>
      <c r="D131" s="789"/>
      <c r="E131" s="789"/>
    </row>
  </sheetData>
  <sortState ref="Q3:S12">
    <sortCondition descending="1" ref="Q3:Q12"/>
  </sortState>
  <pageMargins left="0.7" right="0.7" top="0.75" bottom="0.75" header="0.3" footer="0.3"/>
  <pageSetup scale="64" fitToHeight="0" orientation="landscape" horizontalDpi="1200" verticalDpi="1200" r:id="rId1"/>
  <rowBreaks count="1" manualBreakCount="1">
    <brk id="40" max="16383" man="1"/>
  </rowBreaks>
  <ignoredErrors>
    <ignoredError sqref="E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pageSetUpPr fitToPage="1"/>
  </sheetPr>
  <dimension ref="A1:M155"/>
  <sheetViews>
    <sheetView zoomScale="85" zoomScaleNormal="85" workbookViewId="0">
      <selection activeCell="A2" sqref="A2"/>
    </sheetView>
  </sheetViews>
  <sheetFormatPr defaultColWidth="9.26953125" defaultRowHeight="12.5" x14ac:dyDescent="0.25"/>
  <cols>
    <col min="1" max="1" width="6.7265625" style="110" customWidth="1"/>
    <col min="2" max="2" width="40.7265625" style="110" bestFit="1" customWidth="1"/>
    <col min="3" max="3" width="6.7265625" style="110" customWidth="1"/>
    <col min="4" max="4" width="6.26953125" style="110" customWidth="1"/>
    <col min="5" max="5" width="9.26953125" style="110" customWidth="1"/>
    <col min="6" max="6" width="19.26953125" style="110" bestFit="1" customWidth="1"/>
    <col min="7" max="11" width="19.26953125" style="110" customWidth="1"/>
    <col min="12" max="12" width="14.54296875" style="110" bestFit="1" customWidth="1"/>
    <col min="13" max="13" width="13.54296875" style="110" bestFit="1" customWidth="1"/>
    <col min="14" max="16384" width="9.26953125" style="110"/>
  </cols>
  <sheetData>
    <row r="1" spans="1:11" ht="13" x14ac:dyDescent="0.3">
      <c r="A1" s="740"/>
      <c r="B1" s="740"/>
      <c r="C1" s="401"/>
      <c r="D1" s="931"/>
      <c r="E1" s="401"/>
      <c r="F1" s="401"/>
      <c r="G1" s="401"/>
      <c r="H1" s="401"/>
      <c r="I1" s="401"/>
      <c r="J1" s="401"/>
      <c r="K1" s="401"/>
    </row>
    <row r="2" spans="1:11" ht="15.5" x14ac:dyDescent="0.35">
      <c r="A2" s="740"/>
      <c r="B2" s="740"/>
      <c r="C2" s="740"/>
      <c r="D2" s="1429" t="s">
        <v>730</v>
      </c>
      <c r="E2" s="1429"/>
      <c r="F2" s="1429"/>
      <c r="G2" s="1429"/>
      <c r="H2" s="1429"/>
      <c r="I2" s="740"/>
      <c r="J2" s="740"/>
      <c r="K2" s="740"/>
    </row>
    <row r="3" spans="1:11" ht="13" x14ac:dyDescent="0.3">
      <c r="A3" s="740"/>
      <c r="B3" s="690" t="s">
        <v>0</v>
      </c>
      <c r="C3" s="740"/>
      <c r="D3" s="740"/>
      <c r="E3" s="740"/>
      <c r="F3" s="740"/>
      <c r="G3" s="740"/>
      <c r="H3" s="740"/>
      <c r="I3" s="740"/>
      <c r="J3" s="740"/>
      <c r="K3" s="740"/>
    </row>
    <row r="5" spans="1:11" ht="13" x14ac:dyDescent="0.3">
      <c r="A5" s="740"/>
      <c r="B5" s="741" t="s">
        <v>40</v>
      </c>
      <c r="C5" s="1430" t="s">
        <v>254</v>
      </c>
      <c r="D5" s="1431"/>
      <c r="E5" s="1431"/>
      <c r="F5" s="1431"/>
      <c r="G5" s="1432"/>
      <c r="H5" s="740"/>
      <c r="I5" s="740"/>
      <c r="J5" s="740"/>
      <c r="K5" s="740"/>
    </row>
    <row r="6" spans="1:11" ht="13" x14ac:dyDescent="0.3">
      <c r="A6" s="740"/>
      <c r="B6" s="741" t="s">
        <v>3</v>
      </c>
      <c r="C6" s="1433" t="s">
        <v>349</v>
      </c>
      <c r="D6" s="1434"/>
      <c r="E6" s="1434"/>
      <c r="F6" s="1434"/>
      <c r="G6" s="1435"/>
      <c r="H6" s="740"/>
      <c r="I6" s="740"/>
      <c r="J6" s="740"/>
      <c r="K6" s="740"/>
    </row>
    <row r="7" spans="1:11" ht="13" x14ac:dyDescent="0.3">
      <c r="A7" s="740"/>
      <c r="B7" s="741" t="s">
        <v>4</v>
      </c>
      <c r="C7" s="1443">
        <v>3449</v>
      </c>
      <c r="D7" s="1444"/>
      <c r="E7" s="1444"/>
      <c r="F7" s="1444"/>
      <c r="G7" s="1445"/>
      <c r="H7" s="740"/>
      <c r="I7" s="740"/>
      <c r="J7" s="740"/>
      <c r="K7" s="740"/>
    </row>
    <row r="9" spans="1:11" ht="13" x14ac:dyDescent="0.3">
      <c r="A9" s="740"/>
      <c r="B9" s="741" t="s">
        <v>1</v>
      </c>
      <c r="C9" s="1546" t="s">
        <v>350</v>
      </c>
      <c r="D9" s="1547"/>
      <c r="E9" s="1547"/>
      <c r="F9" s="1547"/>
      <c r="G9" s="1548"/>
      <c r="H9" s="740"/>
      <c r="I9" s="740"/>
      <c r="J9" s="740"/>
      <c r="K9" s="740"/>
    </row>
    <row r="10" spans="1:11" ht="13" x14ac:dyDescent="0.3">
      <c r="A10" s="740"/>
      <c r="B10" s="741" t="s">
        <v>2</v>
      </c>
      <c r="C10" s="1426" t="s">
        <v>351</v>
      </c>
      <c r="D10" s="1427"/>
      <c r="E10" s="1427"/>
      <c r="F10" s="1427"/>
      <c r="G10" s="1428"/>
      <c r="H10" s="740"/>
      <c r="I10" s="740"/>
      <c r="J10" s="740"/>
      <c r="K10" s="740"/>
    </row>
    <row r="11" spans="1:11" ht="13" x14ac:dyDescent="0.3">
      <c r="A11" s="740"/>
      <c r="B11" s="741" t="s">
        <v>32</v>
      </c>
      <c r="C11" s="1430" t="s">
        <v>352</v>
      </c>
      <c r="D11" s="1431"/>
      <c r="E11" s="1431"/>
      <c r="F11" s="1431"/>
      <c r="G11" s="1432"/>
      <c r="H11" s="740"/>
      <c r="I11" s="740"/>
      <c r="J11" s="740"/>
      <c r="K11" s="740"/>
    </row>
    <row r="12" spans="1:11" ht="13" x14ac:dyDescent="0.3">
      <c r="A12" s="740"/>
      <c r="B12" s="741"/>
      <c r="C12" s="741"/>
      <c r="D12" s="741"/>
      <c r="E12" s="741"/>
      <c r="F12" s="741"/>
      <c r="G12" s="741"/>
      <c r="H12" s="740"/>
      <c r="I12" s="740"/>
      <c r="J12" s="740"/>
      <c r="K12" s="740"/>
    </row>
    <row r="13" spans="1:11" x14ac:dyDescent="0.25">
      <c r="A13" s="740"/>
      <c r="B13" s="1417"/>
      <c r="C13" s="1417"/>
      <c r="D13" s="1417"/>
      <c r="E13" s="1417"/>
      <c r="F13" s="1417"/>
      <c r="G13" s="1417"/>
      <c r="H13" s="1417"/>
      <c r="I13" s="401"/>
      <c r="J13" s="740"/>
      <c r="K13" s="740"/>
    </row>
    <row r="14" spans="1:11" ht="13" x14ac:dyDescent="0.3">
      <c r="A14" s="740"/>
      <c r="B14" s="692"/>
      <c r="C14" s="740"/>
      <c r="D14" s="740"/>
      <c r="E14" s="740"/>
      <c r="F14" s="740"/>
      <c r="G14" s="740"/>
      <c r="H14" s="740"/>
      <c r="I14" s="740"/>
      <c r="J14" s="740"/>
      <c r="K14" s="740"/>
    </row>
    <row r="15" spans="1:11" ht="13" x14ac:dyDescent="0.3">
      <c r="A15" s="740"/>
      <c r="B15" s="692"/>
      <c r="C15" s="740"/>
      <c r="D15" s="740"/>
      <c r="E15" s="740"/>
      <c r="F15" s="740"/>
      <c r="G15" s="740"/>
      <c r="H15" s="740"/>
      <c r="I15" s="740"/>
      <c r="J15" s="740"/>
      <c r="K15" s="740"/>
    </row>
    <row r="16" spans="1:11" ht="26" x14ac:dyDescent="0.3">
      <c r="A16" s="1545" t="s">
        <v>181</v>
      </c>
      <c r="B16" s="1545"/>
      <c r="C16" s="401"/>
      <c r="D16" s="401"/>
      <c r="E16" s="401"/>
      <c r="F16" s="693" t="s">
        <v>9</v>
      </c>
      <c r="G16" s="693" t="s">
        <v>37</v>
      </c>
      <c r="H16" s="693" t="s">
        <v>29</v>
      </c>
      <c r="I16" s="693" t="s">
        <v>30</v>
      </c>
      <c r="J16" s="693" t="s">
        <v>33</v>
      </c>
      <c r="K16" s="693" t="s">
        <v>34</v>
      </c>
    </row>
    <row r="17" spans="1:12" ht="13" x14ac:dyDescent="0.3">
      <c r="A17" s="691" t="s">
        <v>184</v>
      </c>
      <c r="B17" s="690" t="s">
        <v>182</v>
      </c>
      <c r="C17" s="740"/>
      <c r="D17" s="740"/>
      <c r="E17" s="740"/>
      <c r="F17" s="740"/>
      <c r="G17" s="740"/>
      <c r="H17" s="740"/>
      <c r="I17" s="740"/>
      <c r="J17" s="740"/>
      <c r="K17" s="740"/>
    </row>
    <row r="18" spans="1:12" ht="13" x14ac:dyDescent="0.3">
      <c r="A18" s="741" t="s">
        <v>185</v>
      </c>
      <c r="B18" s="689" t="s">
        <v>183</v>
      </c>
      <c r="C18" s="740"/>
      <c r="D18" s="740"/>
      <c r="E18" s="740"/>
      <c r="F18" s="698" t="s">
        <v>73</v>
      </c>
      <c r="G18" s="698" t="s">
        <v>73</v>
      </c>
      <c r="H18" s="699">
        <v>13875824.451688968</v>
      </c>
      <c r="I18" s="699">
        <v>0</v>
      </c>
      <c r="J18" s="699">
        <v>0</v>
      </c>
      <c r="K18" s="699">
        <f>(H18-+I18)-J18</f>
        <v>13875824.451688968</v>
      </c>
    </row>
    <row r="19" spans="1:12" ht="42.75" customHeight="1" x14ac:dyDescent="0.3">
      <c r="A19" s="1545" t="s">
        <v>8</v>
      </c>
      <c r="B19" s="1545"/>
      <c r="C19" s="401"/>
      <c r="D19" s="401"/>
      <c r="E19" s="401"/>
      <c r="F19" s="693" t="s">
        <v>9</v>
      </c>
      <c r="G19" s="693" t="s">
        <v>37</v>
      </c>
      <c r="H19" s="693" t="s">
        <v>29</v>
      </c>
      <c r="I19" s="693" t="s">
        <v>30</v>
      </c>
      <c r="J19" s="693" t="s">
        <v>33</v>
      </c>
      <c r="K19" s="693" t="s">
        <v>34</v>
      </c>
    </row>
    <row r="20" spans="1:12" ht="13" x14ac:dyDescent="0.3">
      <c r="A20" s="691" t="s">
        <v>74</v>
      </c>
      <c r="B20" s="690" t="s">
        <v>41</v>
      </c>
      <c r="C20" s="740"/>
      <c r="D20" s="740"/>
      <c r="E20" s="740"/>
      <c r="F20" s="740"/>
      <c r="G20" s="740"/>
      <c r="H20" s="740"/>
      <c r="I20" s="740"/>
      <c r="J20" s="740"/>
      <c r="K20" s="740"/>
    </row>
    <row r="21" spans="1:12" ht="13" x14ac:dyDescent="0.3">
      <c r="A21" s="741" t="s">
        <v>75</v>
      </c>
      <c r="B21" s="689" t="s">
        <v>42</v>
      </c>
      <c r="C21" s="740"/>
      <c r="D21" s="740"/>
      <c r="E21" s="740"/>
      <c r="F21" s="698">
        <v>14522.25</v>
      </c>
      <c r="G21" s="698">
        <v>347268</v>
      </c>
      <c r="H21" s="699">
        <v>2307352</v>
      </c>
      <c r="I21" s="699">
        <v>1303934</v>
      </c>
      <c r="J21" s="699">
        <v>620453</v>
      </c>
      <c r="K21" s="699">
        <f>(H21+I21)-J21</f>
        <v>2990833</v>
      </c>
      <c r="L21" s="1276"/>
    </row>
    <row r="22" spans="1:12" ht="13" x14ac:dyDescent="0.3">
      <c r="A22" s="741" t="s">
        <v>76</v>
      </c>
      <c r="B22" s="740" t="s">
        <v>6</v>
      </c>
      <c r="C22" s="740"/>
      <c r="D22" s="740"/>
      <c r="E22" s="740"/>
      <c r="F22" s="698">
        <v>215</v>
      </c>
      <c r="G22" s="698">
        <v>1532</v>
      </c>
      <c r="H22" s="699">
        <v>21282</v>
      </c>
      <c r="I22" s="699">
        <v>12045</v>
      </c>
      <c r="J22" s="699">
        <v>3600</v>
      </c>
      <c r="K22" s="699">
        <f t="shared" ref="K22:K34" si="0">(H22+I22)-J22</f>
        <v>29727</v>
      </c>
      <c r="L22" s="1276"/>
    </row>
    <row r="23" spans="1:12" ht="13" x14ac:dyDescent="0.3">
      <c r="A23" s="741" t="s">
        <v>77</v>
      </c>
      <c r="B23" s="740" t="s">
        <v>43</v>
      </c>
      <c r="C23" s="740"/>
      <c r="D23" s="740"/>
      <c r="E23" s="740"/>
      <c r="F23" s="698">
        <v>0</v>
      </c>
      <c r="G23" s="698">
        <v>0</v>
      </c>
      <c r="H23" s="699">
        <v>0</v>
      </c>
      <c r="I23" s="719">
        <v>0</v>
      </c>
      <c r="J23" s="699">
        <v>0</v>
      </c>
      <c r="K23" s="699">
        <f t="shared" si="0"/>
        <v>0</v>
      </c>
      <c r="L23" s="1276"/>
    </row>
    <row r="24" spans="1:12" ht="13" x14ac:dyDescent="0.3">
      <c r="A24" s="741" t="s">
        <v>78</v>
      </c>
      <c r="B24" s="740" t="s">
        <v>44</v>
      </c>
      <c r="C24" s="740"/>
      <c r="D24" s="740"/>
      <c r="E24" s="740"/>
      <c r="F24" s="698">
        <v>367.5</v>
      </c>
      <c r="G24" s="698">
        <v>3652</v>
      </c>
      <c r="H24" s="699">
        <v>15167</v>
      </c>
      <c r="I24" s="699">
        <v>8585</v>
      </c>
      <c r="J24" s="699">
        <v>0</v>
      </c>
      <c r="K24" s="699">
        <f t="shared" si="0"/>
        <v>23752</v>
      </c>
      <c r="L24" s="1276"/>
    </row>
    <row r="25" spans="1:12" ht="13" x14ac:dyDescent="0.3">
      <c r="A25" s="741" t="s">
        <v>79</v>
      </c>
      <c r="B25" s="740" t="s">
        <v>5</v>
      </c>
      <c r="C25" s="740"/>
      <c r="D25" s="740"/>
      <c r="E25" s="740"/>
      <c r="F25" s="698">
        <v>0</v>
      </c>
      <c r="G25" s="698">
        <v>0</v>
      </c>
      <c r="H25" s="699">
        <v>0</v>
      </c>
      <c r="I25" s="719">
        <v>0</v>
      </c>
      <c r="J25" s="699">
        <v>0</v>
      </c>
      <c r="K25" s="699">
        <f t="shared" si="0"/>
        <v>0</v>
      </c>
      <c r="L25" s="1276"/>
    </row>
    <row r="26" spans="1:12" ht="13" x14ac:dyDescent="0.3">
      <c r="A26" s="741" t="s">
        <v>80</v>
      </c>
      <c r="B26" s="740" t="s">
        <v>45</v>
      </c>
      <c r="C26" s="740"/>
      <c r="D26" s="740"/>
      <c r="E26" s="740"/>
      <c r="F26" s="698">
        <v>0</v>
      </c>
      <c r="G26" s="698">
        <v>0</v>
      </c>
      <c r="H26" s="699">
        <v>0</v>
      </c>
      <c r="I26" s="719">
        <v>0</v>
      </c>
      <c r="J26" s="699">
        <v>0</v>
      </c>
      <c r="K26" s="699">
        <f t="shared" si="0"/>
        <v>0</v>
      </c>
      <c r="L26" s="1276"/>
    </row>
    <row r="27" spans="1:12" ht="13" x14ac:dyDescent="0.3">
      <c r="A27" s="741" t="s">
        <v>81</v>
      </c>
      <c r="B27" s="740" t="s">
        <v>46</v>
      </c>
      <c r="C27" s="740"/>
      <c r="D27" s="740"/>
      <c r="E27" s="740"/>
      <c r="F27" s="698">
        <v>0</v>
      </c>
      <c r="G27" s="698">
        <v>0</v>
      </c>
      <c r="H27" s="699">
        <v>0</v>
      </c>
      <c r="I27" s="719">
        <v>0</v>
      </c>
      <c r="J27" s="699">
        <v>0</v>
      </c>
      <c r="K27" s="699">
        <f t="shared" si="0"/>
        <v>0</v>
      </c>
      <c r="L27" s="1276"/>
    </row>
    <row r="28" spans="1:12" ht="13" x14ac:dyDescent="0.3">
      <c r="A28" s="741" t="s">
        <v>82</v>
      </c>
      <c r="B28" s="740" t="s">
        <v>47</v>
      </c>
      <c r="C28" s="740"/>
      <c r="D28" s="740"/>
      <c r="E28" s="740"/>
      <c r="F28" s="698">
        <v>6240</v>
      </c>
      <c r="G28" s="698">
        <v>5088</v>
      </c>
      <c r="H28" s="699">
        <v>277213</v>
      </c>
      <c r="I28" s="699">
        <v>49344</v>
      </c>
      <c r="J28" s="699">
        <v>50000</v>
      </c>
      <c r="K28" s="699">
        <f t="shared" si="0"/>
        <v>276557</v>
      </c>
      <c r="L28" s="1276"/>
    </row>
    <row r="29" spans="1:12" ht="13" x14ac:dyDescent="0.3">
      <c r="A29" s="741" t="s">
        <v>83</v>
      </c>
      <c r="B29" s="740" t="s">
        <v>48</v>
      </c>
      <c r="C29" s="740"/>
      <c r="D29" s="740"/>
      <c r="E29" s="740"/>
      <c r="F29" s="698">
        <v>4834.25</v>
      </c>
      <c r="G29" s="698">
        <v>64769</v>
      </c>
      <c r="H29" s="699">
        <v>1856303</v>
      </c>
      <c r="I29" s="699">
        <v>249630</v>
      </c>
      <c r="J29" s="699">
        <v>0</v>
      </c>
      <c r="K29" s="699">
        <f t="shared" si="0"/>
        <v>2105933</v>
      </c>
      <c r="L29" s="1276"/>
    </row>
    <row r="30" spans="1:12" ht="13" x14ac:dyDescent="0.3">
      <c r="A30" s="741" t="s">
        <v>84</v>
      </c>
      <c r="B30" s="1449" t="s">
        <v>786</v>
      </c>
      <c r="C30" s="1450"/>
      <c r="D30" s="1451"/>
      <c r="E30" s="740"/>
      <c r="F30" s="698">
        <v>1553</v>
      </c>
      <c r="G30" s="698">
        <v>21645</v>
      </c>
      <c r="H30" s="699">
        <v>184863</v>
      </c>
      <c r="I30" s="699">
        <v>38976</v>
      </c>
      <c r="J30" s="699">
        <v>15748</v>
      </c>
      <c r="K30" s="699">
        <f t="shared" si="0"/>
        <v>208091</v>
      </c>
      <c r="L30" s="1276"/>
    </row>
    <row r="31" spans="1:12" ht="13" x14ac:dyDescent="0.3">
      <c r="A31" s="741" t="s">
        <v>133</v>
      </c>
      <c r="B31" s="1449"/>
      <c r="C31" s="1450"/>
      <c r="D31" s="1451"/>
      <c r="E31" s="740"/>
      <c r="F31" s="698"/>
      <c r="G31" s="698"/>
      <c r="H31" s="699"/>
      <c r="I31" s="719">
        <v>0</v>
      </c>
      <c r="J31" s="699">
        <v>0</v>
      </c>
      <c r="K31" s="699">
        <f t="shared" si="0"/>
        <v>0</v>
      </c>
      <c r="L31" s="1276"/>
    </row>
    <row r="32" spans="1:12" ht="13" x14ac:dyDescent="0.3">
      <c r="A32" s="741" t="s">
        <v>134</v>
      </c>
      <c r="B32" s="925"/>
      <c r="C32" s="926"/>
      <c r="D32" s="927"/>
      <c r="E32" s="740"/>
      <c r="F32" s="698"/>
      <c r="G32" s="451"/>
      <c r="H32" s="699"/>
      <c r="I32" s="719">
        <v>0</v>
      </c>
      <c r="J32" s="699">
        <v>0</v>
      </c>
      <c r="K32" s="699">
        <f t="shared" si="0"/>
        <v>0</v>
      </c>
      <c r="L32" s="1276"/>
    </row>
    <row r="33" spans="1:12" ht="13" x14ac:dyDescent="0.3">
      <c r="A33" s="741" t="s">
        <v>135</v>
      </c>
      <c r="B33" s="925"/>
      <c r="C33" s="926"/>
      <c r="D33" s="927"/>
      <c r="E33" s="740"/>
      <c r="F33" s="698"/>
      <c r="G33" s="451"/>
      <c r="H33" s="699"/>
      <c r="I33" s="719">
        <v>0</v>
      </c>
      <c r="J33" s="699">
        <v>0</v>
      </c>
      <c r="K33" s="699">
        <f t="shared" si="0"/>
        <v>0</v>
      </c>
      <c r="L33" s="1276"/>
    </row>
    <row r="34" spans="1:12" ht="13" x14ac:dyDescent="0.3">
      <c r="A34" s="741" t="s">
        <v>136</v>
      </c>
      <c r="B34" s="1449"/>
      <c r="C34" s="1450"/>
      <c r="D34" s="1451"/>
      <c r="E34" s="740"/>
      <c r="F34" s="698"/>
      <c r="G34" s="451"/>
      <c r="H34" s="699"/>
      <c r="I34" s="719">
        <v>0</v>
      </c>
      <c r="J34" s="699">
        <v>0</v>
      </c>
      <c r="K34" s="699">
        <f t="shared" si="0"/>
        <v>0</v>
      </c>
      <c r="L34" s="1276"/>
    </row>
    <row r="35" spans="1:12" x14ac:dyDescent="0.25">
      <c r="A35" s="740"/>
      <c r="B35" s="740"/>
      <c r="C35" s="740"/>
      <c r="D35" s="740"/>
      <c r="E35" s="740"/>
      <c r="F35" s="740"/>
      <c r="G35" s="740"/>
      <c r="H35" s="740"/>
      <c r="I35" s="740"/>
      <c r="J35" s="740"/>
      <c r="K35" s="714"/>
      <c r="L35" s="1276"/>
    </row>
    <row r="36" spans="1:12" ht="13" x14ac:dyDescent="0.3">
      <c r="A36" s="691" t="s">
        <v>137</v>
      </c>
      <c r="B36" s="690" t="s">
        <v>138</v>
      </c>
      <c r="C36" s="740"/>
      <c r="D36" s="740"/>
      <c r="E36" s="690" t="s">
        <v>7</v>
      </c>
      <c r="F36" s="702">
        <f>SUM(F21:F35)</f>
        <v>27732</v>
      </c>
      <c r="G36" s="702">
        <f t="shared" ref="G36:K36" si="1">SUM(G21:G35)</f>
        <v>443954</v>
      </c>
      <c r="H36" s="702">
        <f t="shared" si="1"/>
        <v>4662180</v>
      </c>
      <c r="I36" s="702">
        <f t="shared" si="1"/>
        <v>1662514</v>
      </c>
      <c r="J36" s="702">
        <f t="shared" si="1"/>
        <v>689801</v>
      </c>
      <c r="K36" s="702">
        <f t="shared" si="1"/>
        <v>5634893</v>
      </c>
      <c r="L36" s="1276"/>
    </row>
    <row r="37" spans="1:12" ht="13.5" thickBot="1" x14ac:dyDescent="0.35">
      <c r="A37" s="740"/>
      <c r="B37" s="690"/>
      <c r="C37" s="740"/>
      <c r="D37" s="740"/>
      <c r="E37" s="740"/>
      <c r="F37" s="453"/>
      <c r="G37" s="453"/>
      <c r="H37" s="402"/>
      <c r="I37" s="402"/>
      <c r="J37" s="402"/>
      <c r="K37" s="455"/>
      <c r="L37" s="1276"/>
    </row>
    <row r="38" spans="1:12" ht="26" x14ac:dyDescent="0.3">
      <c r="A38" s="740"/>
      <c r="B38" s="740"/>
      <c r="C38" s="740"/>
      <c r="D38" s="740"/>
      <c r="E38" s="740"/>
      <c r="F38" s="693" t="s">
        <v>9</v>
      </c>
      <c r="G38" s="693" t="s">
        <v>37</v>
      </c>
      <c r="H38" s="693" t="s">
        <v>29</v>
      </c>
      <c r="I38" s="693" t="s">
        <v>30</v>
      </c>
      <c r="J38" s="693" t="s">
        <v>33</v>
      </c>
      <c r="K38" s="693" t="s">
        <v>34</v>
      </c>
      <c r="L38" s="1276"/>
    </row>
    <row r="39" spans="1:12" ht="13" x14ac:dyDescent="0.3">
      <c r="A39" s="691" t="s">
        <v>86</v>
      </c>
      <c r="B39" s="690" t="s">
        <v>49</v>
      </c>
      <c r="C39" s="740"/>
      <c r="D39" s="740"/>
      <c r="E39" s="740"/>
      <c r="F39" s="740"/>
      <c r="G39" s="740"/>
      <c r="H39" s="740"/>
      <c r="I39" s="740"/>
      <c r="J39" s="740"/>
      <c r="K39" s="740"/>
      <c r="L39" s="1276"/>
    </row>
    <row r="40" spans="1:12" ht="13" x14ac:dyDescent="0.3">
      <c r="A40" s="741" t="s">
        <v>87</v>
      </c>
      <c r="B40" s="740" t="s">
        <v>31</v>
      </c>
      <c r="C40" s="740"/>
      <c r="D40" s="740"/>
      <c r="E40" s="740"/>
      <c r="F40" s="698">
        <v>91</v>
      </c>
      <c r="G40" s="698">
        <v>438</v>
      </c>
      <c r="H40" s="699">
        <v>23497966</v>
      </c>
      <c r="I40" s="699">
        <v>0</v>
      </c>
      <c r="J40" s="699">
        <v>2698</v>
      </c>
      <c r="K40" s="699">
        <f>(H40+I40)-J40</f>
        <v>23495268</v>
      </c>
      <c r="L40" s="1276"/>
    </row>
    <row r="41" spans="1:12" ht="13" x14ac:dyDescent="0.3">
      <c r="A41" s="741" t="s">
        <v>88</v>
      </c>
      <c r="B41" s="1425" t="s">
        <v>50</v>
      </c>
      <c r="C41" s="1425"/>
      <c r="D41" s="740"/>
      <c r="E41" s="740"/>
      <c r="F41" s="698">
        <v>43098.81</v>
      </c>
      <c r="G41" s="698">
        <v>765</v>
      </c>
      <c r="H41" s="699">
        <v>2924176</v>
      </c>
      <c r="I41" s="699">
        <v>0</v>
      </c>
      <c r="J41" s="699">
        <v>2998</v>
      </c>
      <c r="K41" s="699">
        <f t="shared" ref="K41:K43" si="2">(H41+I41)-J41</f>
        <v>2921178</v>
      </c>
      <c r="L41" s="1276"/>
    </row>
    <row r="42" spans="1:12" ht="13" x14ac:dyDescent="0.3">
      <c r="A42" s="741" t="s">
        <v>89</v>
      </c>
      <c r="B42" s="689" t="s">
        <v>11</v>
      </c>
      <c r="C42" s="740"/>
      <c r="D42" s="740"/>
      <c r="E42" s="740"/>
      <c r="F42" s="698">
        <v>28823</v>
      </c>
      <c r="G42" s="698">
        <v>1972</v>
      </c>
      <c r="H42" s="699">
        <v>1565053</v>
      </c>
      <c r="I42" s="699">
        <v>0</v>
      </c>
      <c r="J42" s="699">
        <v>5869</v>
      </c>
      <c r="K42" s="699">
        <f t="shared" si="2"/>
        <v>1559184</v>
      </c>
      <c r="L42" s="1276"/>
    </row>
    <row r="43" spans="1:12" ht="13" x14ac:dyDescent="0.3">
      <c r="A43" s="741" t="s">
        <v>90</v>
      </c>
      <c r="B43" s="716" t="s">
        <v>10</v>
      </c>
      <c r="C43" s="694"/>
      <c r="D43" s="694"/>
      <c r="E43" s="740"/>
      <c r="F43" s="698">
        <v>1045</v>
      </c>
      <c r="G43" s="698">
        <v>40</v>
      </c>
      <c r="H43" s="699">
        <v>92702</v>
      </c>
      <c r="I43" s="699">
        <v>0</v>
      </c>
      <c r="J43" s="699">
        <v>0</v>
      </c>
      <c r="K43" s="699">
        <f t="shared" si="2"/>
        <v>92702</v>
      </c>
      <c r="L43" s="1276"/>
    </row>
    <row r="44" spans="1:12" ht="13" x14ac:dyDescent="0.3">
      <c r="A44" s="741"/>
      <c r="B44" s="716"/>
      <c r="C44" s="694"/>
      <c r="D44" s="694"/>
      <c r="E44" s="740"/>
      <c r="F44" s="698"/>
      <c r="G44" s="698"/>
      <c r="H44" s="699"/>
      <c r="I44" s="699"/>
      <c r="J44" s="699"/>
      <c r="K44" s="699"/>
      <c r="L44" s="1276"/>
    </row>
    <row r="45" spans="1:12" ht="13" x14ac:dyDescent="0.3">
      <c r="A45" s="741"/>
      <c r="B45" s="716"/>
      <c r="C45" s="694"/>
      <c r="D45" s="694"/>
      <c r="E45" s="740"/>
      <c r="F45" s="698"/>
      <c r="G45" s="698"/>
      <c r="H45" s="699"/>
      <c r="I45" s="699"/>
      <c r="J45" s="699"/>
      <c r="K45" s="699"/>
      <c r="L45" s="1276"/>
    </row>
    <row r="46" spans="1:12" ht="13" x14ac:dyDescent="0.3">
      <c r="A46" s="741"/>
      <c r="B46" s="716"/>
      <c r="C46" s="694"/>
      <c r="D46" s="694"/>
      <c r="E46" s="740"/>
      <c r="F46" s="698"/>
      <c r="G46" s="698"/>
      <c r="H46" s="699"/>
      <c r="I46" s="699"/>
      <c r="J46" s="699"/>
      <c r="K46" s="699"/>
      <c r="L46" s="1276"/>
    </row>
    <row r="47" spans="1:12" ht="13" x14ac:dyDescent="0.3">
      <c r="A47" s="741"/>
      <c r="B47" s="716"/>
      <c r="C47" s="694"/>
      <c r="D47" s="694"/>
      <c r="E47" s="740"/>
      <c r="F47" s="698"/>
      <c r="G47" s="698"/>
      <c r="H47" s="699"/>
      <c r="I47" s="699"/>
      <c r="J47" s="699"/>
      <c r="K47" s="699"/>
      <c r="L47" s="1276"/>
    </row>
    <row r="48" spans="1:12" ht="13" x14ac:dyDescent="0.3">
      <c r="A48" s="691" t="s">
        <v>142</v>
      </c>
      <c r="B48" s="690" t="s">
        <v>143</v>
      </c>
      <c r="C48" s="740"/>
      <c r="D48" s="740"/>
      <c r="E48" s="690" t="s">
        <v>7</v>
      </c>
      <c r="F48" s="403">
        <f>SUM(F40:F47)</f>
        <v>73057.81</v>
      </c>
      <c r="G48" s="403">
        <f t="shared" ref="G48:K48" si="3">SUM(G40:G47)</f>
        <v>3215</v>
      </c>
      <c r="H48" s="403">
        <f t="shared" si="3"/>
        <v>28079897</v>
      </c>
      <c r="I48" s="403">
        <f t="shared" si="3"/>
        <v>0</v>
      </c>
      <c r="J48" s="403">
        <f t="shared" si="3"/>
        <v>11565</v>
      </c>
      <c r="K48" s="403">
        <f t="shared" si="3"/>
        <v>28068332</v>
      </c>
      <c r="L48" s="1276"/>
    </row>
    <row r="49" spans="1:12" ht="13" thickBot="1" x14ac:dyDescent="0.3">
      <c r="A49" s="740"/>
      <c r="B49" s="740"/>
      <c r="C49" s="740"/>
      <c r="D49" s="740"/>
      <c r="E49" s="740"/>
      <c r="F49" s="706"/>
      <c r="G49" s="706"/>
      <c r="H49" s="706"/>
      <c r="I49" s="706"/>
      <c r="J49" s="706"/>
      <c r="K49" s="706"/>
      <c r="L49" s="1276"/>
    </row>
    <row r="50" spans="1:12" ht="26" x14ac:dyDescent="0.3">
      <c r="A50" s="740"/>
      <c r="B50" s="740"/>
      <c r="C50" s="740"/>
      <c r="D50" s="740"/>
      <c r="E50" s="740"/>
      <c r="F50" s="693" t="s">
        <v>9</v>
      </c>
      <c r="G50" s="693" t="s">
        <v>37</v>
      </c>
      <c r="H50" s="693" t="s">
        <v>29</v>
      </c>
      <c r="I50" s="693" t="s">
        <v>30</v>
      </c>
      <c r="J50" s="693" t="s">
        <v>33</v>
      </c>
      <c r="K50" s="693" t="s">
        <v>34</v>
      </c>
      <c r="L50" s="1276"/>
    </row>
    <row r="51" spans="1:12" ht="12.75" customHeight="1" x14ac:dyDescent="0.3">
      <c r="A51" s="691" t="s">
        <v>92</v>
      </c>
      <c r="B51" s="1439" t="s">
        <v>38</v>
      </c>
      <c r="C51" s="1439"/>
      <c r="D51" s="740"/>
      <c r="E51" s="740"/>
      <c r="F51" s="740"/>
      <c r="G51" s="740"/>
      <c r="H51" s="740"/>
      <c r="I51" s="740"/>
      <c r="J51" s="740"/>
      <c r="K51" s="740"/>
      <c r="L51" s="1276"/>
    </row>
    <row r="52" spans="1:12" ht="15.5" x14ac:dyDescent="0.35">
      <c r="A52" s="741" t="s">
        <v>51</v>
      </c>
      <c r="B52" s="404" t="s">
        <v>353</v>
      </c>
      <c r="C52" s="405"/>
      <c r="D52" s="406"/>
      <c r="E52" s="740"/>
      <c r="F52" s="698">
        <v>0</v>
      </c>
      <c r="G52" s="698">
        <v>0</v>
      </c>
      <c r="H52" s="699">
        <v>1608643</v>
      </c>
      <c r="I52" s="699">
        <v>0</v>
      </c>
      <c r="J52" s="699">
        <v>1036178</v>
      </c>
      <c r="K52" s="699">
        <f>(H52+I52)-J52</f>
        <v>572465</v>
      </c>
      <c r="L52" s="1276"/>
    </row>
    <row r="53" spans="1:12" ht="15.5" x14ac:dyDescent="0.35">
      <c r="A53" s="741" t="s">
        <v>93</v>
      </c>
      <c r="B53" s="407" t="s">
        <v>354</v>
      </c>
      <c r="C53" s="408"/>
      <c r="D53" s="409"/>
      <c r="E53" s="740"/>
      <c r="F53" s="698">
        <v>0</v>
      </c>
      <c r="G53" s="698">
        <v>0</v>
      </c>
      <c r="H53" s="699">
        <v>408057</v>
      </c>
      <c r="I53" s="699">
        <v>0</v>
      </c>
      <c r="J53" s="699">
        <v>0</v>
      </c>
      <c r="K53" s="699">
        <f t="shared" ref="K53:K59" si="4">(H53+I53)-J53</f>
        <v>408057</v>
      </c>
      <c r="L53" s="1276"/>
    </row>
    <row r="54" spans="1:12" ht="15.5" x14ac:dyDescent="0.35">
      <c r="A54" s="741" t="s">
        <v>94</v>
      </c>
      <c r="B54" s="404" t="s">
        <v>787</v>
      </c>
      <c r="C54" s="405"/>
      <c r="D54" s="406"/>
      <c r="E54" s="740"/>
      <c r="F54" s="698">
        <v>0</v>
      </c>
      <c r="G54" s="698">
        <v>0</v>
      </c>
      <c r="H54" s="699">
        <v>1509385</v>
      </c>
      <c r="I54" s="699">
        <v>0</v>
      </c>
      <c r="J54" s="699">
        <v>0</v>
      </c>
      <c r="K54" s="699">
        <f t="shared" si="4"/>
        <v>1509385</v>
      </c>
      <c r="L54" s="1276"/>
    </row>
    <row r="55" spans="1:12" ht="15.75" customHeight="1" x14ac:dyDescent="0.35">
      <c r="A55" s="741" t="s">
        <v>95</v>
      </c>
      <c r="B55" s="404" t="s">
        <v>355</v>
      </c>
      <c r="C55" s="405"/>
      <c r="D55" s="406"/>
      <c r="E55" s="740"/>
      <c r="F55" s="698">
        <v>0</v>
      </c>
      <c r="G55" s="698">
        <v>0</v>
      </c>
      <c r="H55" s="699">
        <v>147186</v>
      </c>
      <c r="I55" s="699">
        <v>0</v>
      </c>
      <c r="J55" s="699">
        <v>0</v>
      </c>
      <c r="K55" s="699">
        <f t="shared" si="4"/>
        <v>147186</v>
      </c>
      <c r="L55" s="1276"/>
    </row>
    <row r="56" spans="1:12" ht="13" x14ac:dyDescent="0.3">
      <c r="A56" s="741" t="s">
        <v>97</v>
      </c>
      <c r="B56" s="921" t="s">
        <v>356</v>
      </c>
      <c r="C56" s="922"/>
      <c r="D56" s="923"/>
      <c r="E56" s="740"/>
      <c r="F56" s="698">
        <v>83</v>
      </c>
      <c r="G56" s="698">
        <v>0</v>
      </c>
      <c r="H56" s="699">
        <v>147481</v>
      </c>
      <c r="I56" s="699">
        <v>0</v>
      </c>
      <c r="J56" s="699">
        <v>0</v>
      </c>
      <c r="K56" s="699">
        <f t="shared" si="4"/>
        <v>147481</v>
      </c>
      <c r="L56" s="1276"/>
    </row>
    <row r="57" spans="1:12" ht="13" x14ac:dyDescent="0.3">
      <c r="A57" s="741" t="s">
        <v>98</v>
      </c>
      <c r="B57" s="921" t="s">
        <v>788</v>
      </c>
      <c r="C57" s="922"/>
      <c r="D57" s="923"/>
      <c r="E57" s="740"/>
      <c r="F57" s="698">
        <v>3111.96</v>
      </c>
      <c r="G57" s="698">
        <v>0</v>
      </c>
      <c r="H57" s="699">
        <v>163699</v>
      </c>
      <c r="I57" s="699">
        <v>0</v>
      </c>
      <c r="J57" s="699">
        <v>0</v>
      </c>
      <c r="K57" s="699">
        <f t="shared" si="4"/>
        <v>163699</v>
      </c>
      <c r="L57" s="1276"/>
    </row>
    <row r="58" spans="1:12" ht="13" x14ac:dyDescent="0.3">
      <c r="A58" s="741" t="s">
        <v>99</v>
      </c>
      <c r="B58" s="1421" t="s">
        <v>358</v>
      </c>
      <c r="C58" s="1422"/>
      <c r="D58" s="1423"/>
      <c r="E58" s="740"/>
      <c r="F58" s="698">
        <v>42</v>
      </c>
      <c r="G58" s="698">
        <v>0</v>
      </c>
      <c r="H58" s="699">
        <v>108058</v>
      </c>
      <c r="I58" s="699">
        <v>0</v>
      </c>
      <c r="J58" s="699">
        <v>0</v>
      </c>
      <c r="K58" s="699">
        <f t="shared" si="4"/>
        <v>108058</v>
      </c>
      <c r="L58" s="1276"/>
    </row>
    <row r="59" spans="1:12" ht="13" x14ac:dyDescent="0.3">
      <c r="A59" s="741" t="s">
        <v>100</v>
      </c>
      <c r="B59" s="1421" t="s">
        <v>357</v>
      </c>
      <c r="C59" s="1422"/>
      <c r="D59" s="1423"/>
      <c r="E59" s="740"/>
      <c r="F59" s="698">
        <v>0</v>
      </c>
      <c r="G59" s="698">
        <v>0</v>
      </c>
      <c r="H59" s="699">
        <v>1535738</v>
      </c>
      <c r="I59" s="699">
        <v>0</v>
      </c>
      <c r="J59" s="699">
        <v>0</v>
      </c>
      <c r="K59" s="699">
        <f t="shared" si="4"/>
        <v>1535738</v>
      </c>
      <c r="L59" s="1276"/>
    </row>
    <row r="60" spans="1:12" ht="13" x14ac:dyDescent="0.3">
      <c r="A60" s="741"/>
      <c r="B60" s="740"/>
      <c r="C60" s="740"/>
      <c r="D60" s="740"/>
      <c r="E60" s="740"/>
      <c r="F60" s="740"/>
      <c r="G60" s="740"/>
      <c r="H60" s="740"/>
      <c r="I60" s="752"/>
      <c r="J60" s="740"/>
      <c r="K60" s="740"/>
      <c r="L60" s="1276"/>
    </row>
    <row r="61" spans="1:12" ht="13" x14ac:dyDescent="0.3">
      <c r="A61" s="741"/>
      <c r="B61" s="740"/>
      <c r="C61" s="740"/>
      <c r="D61" s="740"/>
      <c r="E61" s="740"/>
      <c r="F61" s="740"/>
      <c r="G61" s="740"/>
      <c r="H61" s="740"/>
      <c r="I61" s="752"/>
      <c r="J61" s="740"/>
      <c r="K61" s="740"/>
      <c r="L61" s="1276"/>
    </row>
    <row r="62" spans="1:12" ht="13" x14ac:dyDescent="0.3">
      <c r="A62" s="741"/>
      <c r="B62" s="740"/>
      <c r="C62" s="740"/>
      <c r="D62" s="740"/>
      <c r="E62" s="740"/>
      <c r="F62" s="740"/>
      <c r="G62" s="740"/>
      <c r="H62" s="740"/>
      <c r="I62" s="752"/>
      <c r="J62" s="740"/>
      <c r="K62" s="740"/>
      <c r="L62" s="1276"/>
    </row>
    <row r="63" spans="1:12" ht="13" x14ac:dyDescent="0.3">
      <c r="A63" s="741"/>
      <c r="B63" s="740"/>
      <c r="C63" s="740"/>
      <c r="D63" s="740"/>
      <c r="E63" s="740"/>
      <c r="F63" s="740"/>
      <c r="G63" s="740"/>
      <c r="H63" s="740"/>
      <c r="I63" s="752"/>
      <c r="J63" s="740"/>
      <c r="K63" s="740"/>
      <c r="L63" s="1276"/>
    </row>
    <row r="64" spans="1:12" ht="13" x14ac:dyDescent="0.3">
      <c r="A64" s="741" t="s">
        <v>144</v>
      </c>
      <c r="B64" s="690" t="s">
        <v>145</v>
      </c>
      <c r="C64" s="740"/>
      <c r="D64" s="740"/>
      <c r="E64" s="690" t="s">
        <v>7</v>
      </c>
      <c r="F64" s="702">
        <f>SUM(F52:F59)</f>
        <v>3236.96</v>
      </c>
      <c r="G64" s="702">
        <f t="shared" ref="G64:K64" si="5">SUM(G52:G59)</f>
        <v>0</v>
      </c>
      <c r="H64" s="702">
        <f t="shared" si="5"/>
        <v>5628247</v>
      </c>
      <c r="I64" s="702">
        <f t="shared" si="5"/>
        <v>0</v>
      </c>
      <c r="J64" s="702">
        <f t="shared" si="5"/>
        <v>1036178</v>
      </c>
      <c r="K64" s="702">
        <f t="shared" si="5"/>
        <v>4592069</v>
      </c>
      <c r="L64" s="1276"/>
    </row>
    <row r="65" spans="1:12" x14ac:dyDescent="0.25">
      <c r="A65" s="740"/>
      <c r="B65" s="740"/>
      <c r="C65" s="740"/>
      <c r="D65" s="740"/>
      <c r="E65" s="740"/>
      <c r="F65" s="717"/>
      <c r="G65" s="717"/>
      <c r="H65" s="717"/>
      <c r="I65" s="717"/>
      <c r="J65" s="717"/>
      <c r="K65" s="717"/>
      <c r="L65" s="1276"/>
    </row>
    <row r="66" spans="1:12" ht="26" x14ac:dyDescent="0.3">
      <c r="A66" s="740"/>
      <c r="B66" s="740"/>
      <c r="C66" s="740"/>
      <c r="D66" s="740"/>
      <c r="E66" s="740"/>
      <c r="F66" s="722" t="s">
        <v>9</v>
      </c>
      <c r="G66" s="722" t="s">
        <v>37</v>
      </c>
      <c r="H66" s="722" t="s">
        <v>29</v>
      </c>
      <c r="I66" s="722" t="s">
        <v>30</v>
      </c>
      <c r="J66" s="722" t="s">
        <v>33</v>
      </c>
      <c r="K66" s="722" t="s">
        <v>34</v>
      </c>
      <c r="L66" s="1276"/>
    </row>
    <row r="67" spans="1:12" ht="13" x14ac:dyDescent="0.3">
      <c r="A67" s="691" t="s">
        <v>102</v>
      </c>
      <c r="B67" s="690" t="s">
        <v>12</v>
      </c>
      <c r="C67" s="740"/>
      <c r="D67" s="740"/>
      <c r="E67" s="740"/>
      <c r="F67" s="723"/>
      <c r="G67" s="723"/>
      <c r="H67" s="723"/>
      <c r="I67" s="724"/>
      <c r="J67" s="723"/>
      <c r="K67" s="725"/>
      <c r="L67" s="1276"/>
    </row>
    <row r="68" spans="1:12" ht="13" x14ac:dyDescent="0.3">
      <c r="A68" s="741" t="s">
        <v>103</v>
      </c>
      <c r="B68" s="740" t="s">
        <v>52</v>
      </c>
      <c r="C68" s="740"/>
      <c r="D68" s="740"/>
      <c r="E68" s="740"/>
      <c r="F68" s="698">
        <v>0</v>
      </c>
      <c r="G68" s="698">
        <v>0</v>
      </c>
      <c r="H68" s="699">
        <v>27060</v>
      </c>
      <c r="I68" s="699">
        <v>0</v>
      </c>
      <c r="J68" s="699">
        <v>0</v>
      </c>
      <c r="K68" s="699">
        <f>(H68+I68)-J68</f>
        <v>27060</v>
      </c>
      <c r="L68" s="1276"/>
    </row>
    <row r="69" spans="1:12" ht="13" x14ac:dyDescent="0.3">
      <c r="A69" s="741" t="s">
        <v>104</v>
      </c>
      <c r="B69" s="689" t="s">
        <v>53</v>
      </c>
      <c r="C69" s="740"/>
      <c r="D69" s="740"/>
      <c r="E69" s="740"/>
      <c r="F69" s="698">
        <v>0</v>
      </c>
      <c r="G69" s="698">
        <v>0</v>
      </c>
      <c r="H69" s="699">
        <v>41887</v>
      </c>
      <c r="I69" s="719">
        <v>0</v>
      </c>
      <c r="J69" s="699">
        <v>30137</v>
      </c>
      <c r="K69" s="699">
        <f t="shared" ref="K69:K70" si="6">(H69+I69)-J69</f>
        <v>11750</v>
      </c>
      <c r="L69" s="1276"/>
    </row>
    <row r="70" spans="1:12" ht="13" x14ac:dyDescent="0.3">
      <c r="A70" s="741" t="s">
        <v>178</v>
      </c>
      <c r="B70" s="921" t="s">
        <v>624</v>
      </c>
      <c r="C70" s="922"/>
      <c r="D70" s="923"/>
      <c r="E70" s="690"/>
      <c r="F70" s="461">
        <v>4160</v>
      </c>
      <c r="G70" s="461">
        <v>0</v>
      </c>
      <c r="H70" s="410">
        <v>174009</v>
      </c>
      <c r="I70" s="410">
        <v>0</v>
      </c>
      <c r="J70" s="410">
        <v>0</v>
      </c>
      <c r="K70" s="699">
        <f t="shared" si="6"/>
        <v>174009</v>
      </c>
      <c r="L70" s="1276"/>
    </row>
    <row r="71" spans="1:12" ht="13" x14ac:dyDescent="0.3">
      <c r="A71" s="741" t="s">
        <v>179</v>
      </c>
      <c r="B71" s="921"/>
      <c r="C71" s="922"/>
      <c r="D71" s="923"/>
      <c r="E71" s="690"/>
      <c r="F71" s="461"/>
      <c r="G71" s="461"/>
      <c r="H71" s="410"/>
      <c r="I71" s="719"/>
      <c r="J71" s="410"/>
      <c r="K71" s="700"/>
      <c r="L71" s="1276"/>
    </row>
    <row r="72" spans="1:12" ht="13" x14ac:dyDescent="0.3">
      <c r="A72" s="741" t="s">
        <v>180</v>
      </c>
      <c r="B72" s="938"/>
      <c r="C72" s="939"/>
      <c r="D72" s="708"/>
      <c r="E72" s="690"/>
      <c r="F72" s="698"/>
      <c r="G72" s="698"/>
      <c r="H72" s="699"/>
      <c r="I72" s="719"/>
      <c r="J72" s="699"/>
      <c r="K72" s="700"/>
      <c r="L72" s="1276"/>
    </row>
    <row r="73" spans="1:12" ht="13" x14ac:dyDescent="0.3">
      <c r="A73" s="741"/>
      <c r="B73" s="689"/>
      <c r="C73" s="740"/>
      <c r="D73" s="740"/>
      <c r="E73" s="690"/>
      <c r="F73" s="726"/>
      <c r="G73" s="726"/>
      <c r="H73" s="727"/>
      <c r="I73" s="724"/>
      <c r="J73" s="727"/>
      <c r="K73" s="725"/>
      <c r="L73" s="1276"/>
    </row>
    <row r="74" spans="1:12" ht="13" x14ac:dyDescent="0.3">
      <c r="A74" s="691" t="s">
        <v>146</v>
      </c>
      <c r="B74" s="690" t="s">
        <v>147</v>
      </c>
      <c r="C74" s="740"/>
      <c r="D74" s="740"/>
      <c r="E74" s="690" t="s">
        <v>7</v>
      </c>
      <c r="F74" s="411">
        <f>SUM(F68:F72)</f>
        <v>4160</v>
      </c>
      <c r="G74" s="411">
        <f t="shared" ref="G74:K74" si="7">SUM(G68:G72)</f>
        <v>0</v>
      </c>
      <c r="H74" s="411">
        <f t="shared" si="7"/>
        <v>242956</v>
      </c>
      <c r="I74" s="411">
        <f t="shared" si="7"/>
        <v>0</v>
      </c>
      <c r="J74" s="411">
        <f t="shared" si="7"/>
        <v>30137</v>
      </c>
      <c r="K74" s="411">
        <f t="shared" si="7"/>
        <v>212819</v>
      </c>
      <c r="L74" s="1276"/>
    </row>
    <row r="75" spans="1:12" ht="26" x14ac:dyDescent="0.3">
      <c r="A75" s="740"/>
      <c r="B75" s="740"/>
      <c r="C75" s="740"/>
      <c r="D75" s="740"/>
      <c r="E75" s="740"/>
      <c r="F75" s="693" t="s">
        <v>9</v>
      </c>
      <c r="G75" s="693" t="s">
        <v>37</v>
      </c>
      <c r="H75" s="693" t="s">
        <v>29</v>
      </c>
      <c r="I75" s="693" t="s">
        <v>30</v>
      </c>
      <c r="J75" s="693" t="s">
        <v>33</v>
      </c>
      <c r="K75" s="693" t="s">
        <v>34</v>
      </c>
      <c r="L75" s="1276"/>
    </row>
    <row r="76" spans="1:12" ht="13" x14ac:dyDescent="0.3">
      <c r="A76" s="691" t="s">
        <v>105</v>
      </c>
      <c r="B76" s="690" t="s">
        <v>106</v>
      </c>
      <c r="C76" s="740"/>
      <c r="D76" s="740"/>
      <c r="E76" s="740"/>
      <c r="F76" s="740"/>
      <c r="G76" s="740"/>
      <c r="H76" s="740"/>
      <c r="I76" s="740"/>
      <c r="J76" s="740"/>
      <c r="K76" s="740"/>
      <c r="L76" s="1276"/>
    </row>
    <row r="77" spans="1:12" ht="13" x14ac:dyDescent="0.3">
      <c r="A77" s="741" t="s">
        <v>107</v>
      </c>
      <c r="B77" s="689" t="s">
        <v>54</v>
      </c>
      <c r="C77" s="740"/>
      <c r="D77" s="740"/>
      <c r="E77" s="740"/>
      <c r="F77" s="698">
        <v>261</v>
      </c>
      <c r="G77" s="698">
        <v>49</v>
      </c>
      <c r="H77" s="699">
        <v>197378</v>
      </c>
      <c r="I77" s="699">
        <v>0</v>
      </c>
      <c r="J77" s="699">
        <v>0</v>
      </c>
      <c r="K77" s="699">
        <f>(H77+I77)-J77</f>
        <v>197378</v>
      </c>
      <c r="L77" s="1276"/>
    </row>
    <row r="78" spans="1:12" ht="13" x14ac:dyDescent="0.3">
      <c r="A78" s="741" t="s">
        <v>108</v>
      </c>
      <c r="B78" s="689" t="s">
        <v>55</v>
      </c>
      <c r="C78" s="740"/>
      <c r="D78" s="740"/>
      <c r="E78" s="740"/>
      <c r="F78" s="698">
        <v>0</v>
      </c>
      <c r="G78" s="698">
        <v>0</v>
      </c>
      <c r="H78" s="699">
        <v>0</v>
      </c>
      <c r="I78" s="719">
        <v>0</v>
      </c>
      <c r="J78" s="699">
        <v>0</v>
      </c>
      <c r="K78" s="699">
        <f t="shared" ref="K78:K80" si="8">(H78+I78)-J78</f>
        <v>0</v>
      </c>
      <c r="L78" s="1276"/>
    </row>
    <row r="79" spans="1:12" ht="13" x14ac:dyDescent="0.3">
      <c r="A79" s="741" t="s">
        <v>109</v>
      </c>
      <c r="B79" s="689" t="s">
        <v>13</v>
      </c>
      <c r="C79" s="740"/>
      <c r="D79" s="740"/>
      <c r="E79" s="740"/>
      <c r="F79" s="698">
        <v>5810.5</v>
      </c>
      <c r="G79" s="698">
        <v>30314</v>
      </c>
      <c r="H79" s="699">
        <v>2045859</v>
      </c>
      <c r="I79" s="699">
        <v>0</v>
      </c>
      <c r="J79" s="699">
        <v>26904</v>
      </c>
      <c r="K79" s="699">
        <f t="shared" si="8"/>
        <v>2018955</v>
      </c>
      <c r="L79" s="1276"/>
    </row>
    <row r="80" spans="1:12" ht="13" x14ac:dyDescent="0.3">
      <c r="A80" s="741" t="s">
        <v>110</v>
      </c>
      <c r="B80" s="689" t="s">
        <v>56</v>
      </c>
      <c r="C80" s="740"/>
      <c r="D80" s="740"/>
      <c r="E80" s="740"/>
      <c r="F80" s="698">
        <v>0</v>
      </c>
      <c r="G80" s="698">
        <v>0</v>
      </c>
      <c r="H80" s="699">
        <v>0</v>
      </c>
      <c r="I80" s="719">
        <v>0</v>
      </c>
      <c r="J80" s="699">
        <v>0</v>
      </c>
      <c r="K80" s="699">
        <f t="shared" si="8"/>
        <v>0</v>
      </c>
      <c r="L80" s="1276"/>
    </row>
    <row r="81" spans="1:12" ht="41.25" customHeight="1" x14ac:dyDescent="0.3">
      <c r="A81" s="741"/>
      <c r="B81" s="740"/>
      <c r="C81" s="740"/>
      <c r="D81" s="740"/>
      <c r="E81" s="740"/>
      <c r="F81" s="740"/>
      <c r="G81" s="740"/>
      <c r="H81" s="740"/>
      <c r="I81" s="740"/>
      <c r="J81" s="740"/>
      <c r="K81" s="710"/>
      <c r="L81" s="1276"/>
    </row>
    <row r="82" spans="1:12" ht="13" x14ac:dyDescent="0.3">
      <c r="A82" s="741" t="s">
        <v>148</v>
      </c>
      <c r="B82" s="690" t="s">
        <v>149</v>
      </c>
      <c r="C82" s="740"/>
      <c r="D82" s="740"/>
      <c r="E82" s="690" t="s">
        <v>7</v>
      </c>
      <c r="F82" s="411">
        <f>SUM(F77:F80)</f>
        <v>6071.5</v>
      </c>
      <c r="G82" s="411">
        <f t="shared" ref="G82:K82" si="9">SUM(G77:G80)</f>
        <v>30363</v>
      </c>
      <c r="H82" s="411">
        <f t="shared" si="9"/>
        <v>2243237</v>
      </c>
      <c r="I82" s="411">
        <f t="shared" si="9"/>
        <v>0</v>
      </c>
      <c r="J82" s="411">
        <f t="shared" si="9"/>
        <v>26904</v>
      </c>
      <c r="K82" s="411">
        <f t="shared" si="9"/>
        <v>2216333</v>
      </c>
      <c r="L82" s="1276"/>
    </row>
    <row r="83" spans="1:12" ht="13.5" thickBot="1" x14ac:dyDescent="0.35">
      <c r="A83" s="741"/>
      <c r="B83" s="740"/>
      <c r="C83" s="740"/>
      <c r="D83" s="740"/>
      <c r="E83" s="740"/>
      <c r="F83" s="706"/>
      <c r="G83" s="706"/>
      <c r="H83" s="706"/>
      <c r="I83" s="706"/>
      <c r="J83" s="706"/>
      <c r="K83" s="706"/>
      <c r="L83" s="1276"/>
    </row>
    <row r="84" spans="1:12" ht="26" x14ac:dyDescent="0.3">
      <c r="A84" s="740"/>
      <c r="B84" s="740"/>
      <c r="C84" s="740"/>
      <c r="D84" s="740"/>
      <c r="E84" s="740"/>
      <c r="F84" s="693" t="s">
        <v>9</v>
      </c>
      <c r="G84" s="693" t="s">
        <v>37</v>
      </c>
      <c r="H84" s="693" t="s">
        <v>29</v>
      </c>
      <c r="I84" s="693" t="s">
        <v>30</v>
      </c>
      <c r="J84" s="693" t="s">
        <v>33</v>
      </c>
      <c r="K84" s="693" t="s">
        <v>34</v>
      </c>
      <c r="L84" s="1276"/>
    </row>
    <row r="85" spans="1:12" ht="13" x14ac:dyDescent="0.3">
      <c r="A85" s="691" t="s">
        <v>111</v>
      </c>
      <c r="B85" s="690" t="s">
        <v>57</v>
      </c>
      <c r="C85" s="740"/>
      <c r="D85" s="740"/>
      <c r="E85" s="740"/>
      <c r="F85" s="740"/>
      <c r="G85" s="740"/>
      <c r="H85" s="740"/>
      <c r="I85" s="740"/>
      <c r="J85" s="740"/>
      <c r="K85" s="740"/>
      <c r="L85" s="1276"/>
    </row>
    <row r="86" spans="1:12" ht="13" x14ac:dyDescent="0.3">
      <c r="A86" s="741" t="s">
        <v>112</v>
      </c>
      <c r="B86" s="689" t="s">
        <v>113</v>
      </c>
      <c r="C86" s="740"/>
      <c r="D86" s="740"/>
      <c r="E86" s="740"/>
      <c r="F86" s="698">
        <v>224</v>
      </c>
      <c r="G86" s="698">
        <v>0</v>
      </c>
      <c r="H86" s="699">
        <v>47036</v>
      </c>
      <c r="I86" s="699">
        <v>26623</v>
      </c>
      <c r="J86" s="699">
        <v>40000</v>
      </c>
      <c r="K86" s="699">
        <f>(H86+I86)-J86</f>
        <v>33659</v>
      </c>
      <c r="L86" s="1276"/>
    </row>
    <row r="87" spans="1:12" ht="13" x14ac:dyDescent="0.3">
      <c r="A87" s="741" t="s">
        <v>114</v>
      </c>
      <c r="B87" s="689" t="s">
        <v>14</v>
      </c>
      <c r="C87" s="740"/>
      <c r="D87" s="740"/>
      <c r="E87" s="740"/>
      <c r="F87" s="698">
        <v>0</v>
      </c>
      <c r="G87" s="698">
        <v>0</v>
      </c>
      <c r="H87" s="699">
        <v>0</v>
      </c>
      <c r="I87" s="719">
        <v>0</v>
      </c>
      <c r="J87" s="699">
        <v>0</v>
      </c>
      <c r="K87" s="699">
        <f t="shared" ref="K87:K93" si="10">(H87+I87)-J87</f>
        <v>0</v>
      </c>
      <c r="L87" s="1276"/>
    </row>
    <row r="88" spans="1:12" ht="13" x14ac:dyDescent="0.3">
      <c r="A88" s="741" t="s">
        <v>115</v>
      </c>
      <c r="B88" s="689" t="s">
        <v>116</v>
      </c>
      <c r="C88" s="740"/>
      <c r="D88" s="740"/>
      <c r="E88" s="740"/>
      <c r="F88" s="698">
        <v>7</v>
      </c>
      <c r="G88" s="698">
        <v>68</v>
      </c>
      <c r="H88" s="699">
        <v>30309</v>
      </c>
      <c r="I88" s="699">
        <v>17155</v>
      </c>
      <c r="J88" s="699">
        <v>0</v>
      </c>
      <c r="K88" s="699">
        <f t="shared" si="10"/>
        <v>47464</v>
      </c>
      <c r="L88" s="1276"/>
    </row>
    <row r="89" spans="1:12" ht="13" x14ac:dyDescent="0.3">
      <c r="A89" s="741" t="s">
        <v>117</v>
      </c>
      <c r="B89" s="689" t="s">
        <v>58</v>
      </c>
      <c r="C89" s="740"/>
      <c r="D89" s="740"/>
      <c r="E89" s="740"/>
      <c r="F89" s="698">
        <v>0</v>
      </c>
      <c r="G89" s="698">
        <v>0</v>
      </c>
      <c r="H89" s="699">
        <v>0</v>
      </c>
      <c r="I89" s="719">
        <v>0</v>
      </c>
      <c r="J89" s="699">
        <v>0</v>
      </c>
      <c r="K89" s="699">
        <f t="shared" si="10"/>
        <v>0</v>
      </c>
      <c r="L89" s="1276"/>
    </row>
    <row r="90" spans="1:12" ht="45.75" customHeight="1" x14ac:dyDescent="0.3">
      <c r="A90" s="741" t="s">
        <v>118</v>
      </c>
      <c r="B90" s="1425" t="s">
        <v>59</v>
      </c>
      <c r="C90" s="1425"/>
      <c r="D90" s="740"/>
      <c r="E90" s="740"/>
      <c r="F90" s="698">
        <v>0</v>
      </c>
      <c r="G90" s="698">
        <v>0</v>
      </c>
      <c r="H90" s="699">
        <v>0</v>
      </c>
      <c r="I90" s="719">
        <v>0</v>
      </c>
      <c r="J90" s="699">
        <v>0</v>
      </c>
      <c r="K90" s="699">
        <f t="shared" si="10"/>
        <v>0</v>
      </c>
      <c r="L90" s="1276"/>
    </row>
    <row r="91" spans="1:12" ht="13" x14ac:dyDescent="0.3">
      <c r="A91" s="741" t="s">
        <v>119</v>
      </c>
      <c r="B91" s="689" t="s">
        <v>60</v>
      </c>
      <c r="C91" s="740"/>
      <c r="D91" s="740"/>
      <c r="E91" s="740"/>
      <c r="F91" s="698">
        <v>0</v>
      </c>
      <c r="G91" s="698">
        <v>0</v>
      </c>
      <c r="H91" s="699">
        <v>0</v>
      </c>
      <c r="I91" s="699">
        <v>0</v>
      </c>
      <c r="J91" s="699">
        <v>0</v>
      </c>
      <c r="K91" s="699">
        <f t="shared" si="10"/>
        <v>0</v>
      </c>
      <c r="L91" s="1276"/>
    </row>
    <row r="92" spans="1:12" ht="13" x14ac:dyDescent="0.3">
      <c r="A92" s="741" t="s">
        <v>120</v>
      </c>
      <c r="B92" s="689" t="s">
        <v>121</v>
      </c>
      <c r="C92" s="740"/>
      <c r="D92" s="740"/>
      <c r="E92" s="740"/>
      <c r="F92" s="698">
        <v>0</v>
      </c>
      <c r="G92" s="698">
        <v>0</v>
      </c>
      <c r="H92" s="699">
        <v>0</v>
      </c>
      <c r="I92" s="719">
        <v>0</v>
      </c>
      <c r="J92" s="699">
        <v>0</v>
      </c>
      <c r="K92" s="699">
        <f t="shared" si="10"/>
        <v>0</v>
      </c>
      <c r="L92" s="1276"/>
    </row>
    <row r="93" spans="1:12" ht="13" x14ac:dyDescent="0.3">
      <c r="A93" s="741" t="s">
        <v>122</v>
      </c>
      <c r="B93" s="689" t="s">
        <v>123</v>
      </c>
      <c r="C93" s="740"/>
      <c r="D93" s="740"/>
      <c r="E93" s="740"/>
      <c r="F93" s="698">
        <v>1470</v>
      </c>
      <c r="G93" s="698">
        <v>166</v>
      </c>
      <c r="H93" s="699">
        <v>236106</v>
      </c>
      <c r="I93" s="699">
        <v>133636</v>
      </c>
      <c r="J93" s="699">
        <v>0</v>
      </c>
      <c r="K93" s="699">
        <f t="shared" si="10"/>
        <v>369742</v>
      </c>
      <c r="L93" s="1276"/>
    </row>
    <row r="94" spans="1:12" ht="13" x14ac:dyDescent="0.3">
      <c r="A94" s="741" t="s">
        <v>124</v>
      </c>
      <c r="B94" s="1421"/>
      <c r="C94" s="1422"/>
      <c r="D94" s="1423"/>
      <c r="E94" s="740"/>
      <c r="F94" s="698"/>
      <c r="G94" s="698"/>
      <c r="H94" s="699"/>
      <c r="I94" s="719"/>
      <c r="J94" s="699"/>
      <c r="K94" s="700"/>
      <c r="L94" s="1276"/>
    </row>
    <row r="95" spans="1:12" ht="13" x14ac:dyDescent="0.3">
      <c r="A95" s="741" t="s">
        <v>125</v>
      </c>
      <c r="B95" s="1421"/>
      <c r="C95" s="1422"/>
      <c r="D95" s="1423"/>
      <c r="E95" s="740"/>
      <c r="F95" s="698"/>
      <c r="G95" s="698"/>
      <c r="H95" s="699"/>
      <c r="I95" s="719"/>
      <c r="J95" s="699"/>
      <c r="K95" s="700"/>
      <c r="L95" s="1276"/>
    </row>
    <row r="96" spans="1:12" ht="13" x14ac:dyDescent="0.3">
      <c r="A96" s="741" t="s">
        <v>126</v>
      </c>
      <c r="B96" s="1421"/>
      <c r="C96" s="1422"/>
      <c r="D96" s="1423"/>
      <c r="E96" s="740"/>
      <c r="F96" s="698"/>
      <c r="G96" s="698"/>
      <c r="H96" s="699"/>
      <c r="I96" s="719"/>
      <c r="J96" s="699"/>
      <c r="K96" s="700"/>
      <c r="L96" s="1276"/>
    </row>
    <row r="97" spans="1:12" ht="13" x14ac:dyDescent="0.3">
      <c r="A97" s="741"/>
      <c r="B97" s="689"/>
      <c r="C97" s="740"/>
      <c r="D97" s="740"/>
      <c r="E97" s="740"/>
      <c r="F97" s="740"/>
      <c r="G97" s="740"/>
      <c r="H97" s="740"/>
      <c r="I97" s="740"/>
      <c r="J97" s="740"/>
      <c r="K97" s="740"/>
      <c r="L97" s="1276"/>
    </row>
    <row r="98" spans="1:12" ht="13" x14ac:dyDescent="0.3">
      <c r="A98" s="691" t="s">
        <v>150</v>
      </c>
      <c r="B98" s="690" t="s">
        <v>151</v>
      </c>
      <c r="C98" s="740"/>
      <c r="D98" s="740"/>
      <c r="E98" s="690" t="s">
        <v>7</v>
      </c>
      <c r="F98" s="702">
        <f>SUM(F86:F96)</f>
        <v>1701</v>
      </c>
      <c r="G98" s="702">
        <f t="shared" ref="G98:K98" si="11">SUM(G86:G96)</f>
        <v>234</v>
      </c>
      <c r="H98" s="702">
        <f t="shared" si="11"/>
        <v>313451</v>
      </c>
      <c r="I98" s="702">
        <f t="shared" si="11"/>
        <v>177414</v>
      </c>
      <c r="J98" s="702">
        <f t="shared" si="11"/>
        <v>40000</v>
      </c>
      <c r="K98" s="702">
        <f t="shared" si="11"/>
        <v>450865</v>
      </c>
      <c r="L98" s="1276"/>
    </row>
    <row r="99" spans="1:12" ht="13.5" thickBot="1" x14ac:dyDescent="0.35">
      <c r="A99" s="740"/>
      <c r="B99" s="690"/>
      <c r="C99" s="740"/>
      <c r="D99" s="740"/>
      <c r="E99" s="740"/>
      <c r="F99" s="706"/>
      <c r="G99" s="706"/>
      <c r="H99" s="706"/>
      <c r="I99" s="706"/>
      <c r="J99" s="706"/>
      <c r="K99" s="706"/>
      <c r="L99" s="1276"/>
    </row>
    <row r="100" spans="1:12" ht="26" x14ac:dyDescent="0.3">
      <c r="A100" s="740"/>
      <c r="B100" s="740"/>
      <c r="C100" s="740"/>
      <c r="D100" s="740"/>
      <c r="E100" s="740"/>
      <c r="F100" s="693" t="s">
        <v>9</v>
      </c>
      <c r="G100" s="693" t="s">
        <v>37</v>
      </c>
      <c r="H100" s="693" t="s">
        <v>29</v>
      </c>
      <c r="I100" s="693" t="s">
        <v>30</v>
      </c>
      <c r="J100" s="693" t="s">
        <v>33</v>
      </c>
      <c r="K100" s="693" t="s">
        <v>34</v>
      </c>
      <c r="L100" s="1276"/>
    </row>
    <row r="101" spans="1:12" ht="13" x14ac:dyDescent="0.3">
      <c r="A101" s="691" t="s">
        <v>130</v>
      </c>
      <c r="B101" s="690" t="s">
        <v>63</v>
      </c>
      <c r="C101" s="740"/>
      <c r="D101" s="740"/>
      <c r="E101" s="740"/>
      <c r="F101" s="740"/>
      <c r="G101" s="740"/>
      <c r="H101" s="740"/>
      <c r="I101" s="740"/>
      <c r="J101" s="740"/>
      <c r="K101" s="740"/>
      <c r="L101" s="1276"/>
    </row>
    <row r="102" spans="1:12" ht="13" x14ac:dyDescent="0.3">
      <c r="A102" s="741" t="s">
        <v>131</v>
      </c>
      <c r="B102" s="689" t="s">
        <v>152</v>
      </c>
      <c r="C102" s="740"/>
      <c r="D102" s="740"/>
      <c r="E102" s="740"/>
      <c r="F102" s="698">
        <v>4671.5</v>
      </c>
      <c r="G102" s="698">
        <v>489</v>
      </c>
      <c r="H102" s="699">
        <v>243526</v>
      </c>
      <c r="I102" s="699">
        <v>137835</v>
      </c>
      <c r="J102" s="699">
        <v>0</v>
      </c>
      <c r="K102" s="699">
        <f>(H102+I102)-J102</f>
        <v>381361</v>
      </c>
      <c r="L102" s="1276"/>
    </row>
    <row r="103" spans="1:12" ht="13" x14ac:dyDescent="0.3">
      <c r="A103" s="741" t="s">
        <v>132</v>
      </c>
      <c r="B103" s="1424" t="s">
        <v>62</v>
      </c>
      <c r="C103" s="1424"/>
      <c r="D103" s="740"/>
      <c r="E103" s="740"/>
      <c r="F103" s="698">
        <v>108</v>
      </c>
      <c r="G103" s="698">
        <v>48</v>
      </c>
      <c r="H103" s="699">
        <v>7935</v>
      </c>
      <c r="I103" s="699">
        <v>4491</v>
      </c>
      <c r="J103" s="699">
        <v>0</v>
      </c>
      <c r="K103" s="699">
        <f>(H103+I103)-J103</f>
        <v>12426</v>
      </c>
      <c r="L103" s="1276"/>
    </row>
    <row r="104" spans="1:12" ht="13" x14ac:dyDescent="0.3">
      <c r="A104" s="741" t="s">
        <v>128</v>
      </c>
      <c r="B104" s="1421"/>
      <c r="C104" s="1422"/>
      <c r="D104" s="1423"/>
      <c r="E104" s="740"/>
      <c r="F104" s="698"/>
      <c r="G104" s="698"/>
      <c r="H104" s="699"/>
      <c r="I104" s="719"/>
      <c r="J104" s="699"/>
      <c r="K104" s="700"/>
      <c r="L104" s="1276"/>
    </row>
    <row r="105" spans="1:12" ht="13" x14ac:dyDescent="0.3">
      <c r="A105" s="741" t="s">
        <v>127</v>
      </c>
      <c r="B105" s="1421"/>
      <c r="C105" s="1422"/>
      <c r="D105" s="1423"/>
      <c r="E105" s="740"/>
      <c r="F105" s="698"/>
      <c r="G105" s="698"/>
      <c r="H105" s="699"/>
      <c r="I105" s="719"/>
      <c r="J105" s="699"/>
      <c r="K105" s="700"/>
      <c r="L105" s="1276"/>
    </row>
    <row r="106" spans="1:12" ht="13" x14ac:dyDescent="0.3">
      <c r="A106" s="741" t="s">
        <v>129</v>
      </c>
      <c r="B106" s="1421"/>
      <c r="C106" s="1422"/>
      <c r="D106" s="1423"/>
      <c r="E106" s="740"/>
      <c r="F106" s="698"/>
      <c r="G106" s="698"/>
      <c r="H106" s="699"/>
      <c r="I106" s="719"/>
      <c r="J106" s="699"/>
      <c r="K106" s="700"/>
      <c r="L106" s="1276"/>
    </row>
    <row r="107" spans="1:12" ht="13" x14ac:dyDescent="0.3">
      <c r="A107" s="740"/>
      <c r="B107" s="690"/>
      <c r="C107" s="740"/>
      <c r="D107" s="740"/>
      <c r="E107" s="740"/>
      <c r="F107" s="740"/>
      <c r="G107" s="740"/>
      <c r="H107" s="740"/>
      <c r="I107" s="740"/>
      <c r="J107" s="740"/>
      <c r="K107" s="740"/>
      <c r="L107" s="1276"/>
    </row>
    <row r="108" spans="1:12" ht="13" x14ac:dyDescent="0.3">
      <c r="A108" s="691" t="s">
        <v>153</v>
      </c>
      <c r="B108" s="728" t="s">
        <v>154</v>
      </c>
      <c r="C108" s="740"/>
      <c r="D108" s="740"/>
      <c r="E108" s="690" t="s">
        <v>7</v>
      </c>
      <c r="F108" s="702">
        <f>SUM(F102:F106)</f>
        <v>4779.5</v>
      </c>
      <c r="G108" s="702">
        <f t="shared" ref="G108:K108" si="12">SUM(G102:G106)</f>
        <v>537</v>
      </c>
      <c r="H108" s="702">
        <f t="shared" si="12"/>
        <v>251461</v>
      </c>
      <c r="I108" s="702">
        <f t="shared" si="12"/>
        <v>142326</v>
      </c>
      <c r="J108" s="702">
        <f t="shared" si="12"/>
        <v>0</v>
      </c>
      <c r="K108" s="702">
        <f t="shared" si="12"/>
        <v>393787</v>
      </c>
      <c r="L108" s="1276"/>
    </row>
    <row r="109" spans="1:12" ht="13.5" thickBot="1" x14ac:dyDescent="0.35">
      <c r="A109" s="695"/>
      <c r="B109" s="696"/>
      <c r="C109" s="697"/>
      <c r="D109" s="697"/>
      <c r="E109" s="697"/>
      <c r="F109" s="706"/>
      <c r="G109" s="706"/>
      <c r="H109" s="706"/>
      <c r="I109" s="706"/>
      <c r="J109" s="706"/>
      <c r="K109" s="706"/>
      <c r="L109" s="1276"/>
    </row>
    <row r="110" spans="1:12" ht="13" x14ac:dyDescent="0.3">
      <c r="A110" s="691" t="s">
        <v>156</v>
      </c>
      <c r="B110" s="690" t="s">
        <v>39</v>
      </c>
      <c r="C110" s="740"/>
      <c r="D110" s="740"/>
      <c r="E110" s="740"/>
      <c r="F110" s="740"/>
      <c r="G110" s="740"/>
      <c r="H110" s="740"/>
      <c r="I110" s="740"/>
      <c r="J110" s="740"/>
      <c r="K110" s="740"/>
      <c r="L110" s="1276"/>
    </row>
    <row r="111" spans="1:12" ht="13" x14ac:dyDescent="0.3">
      <c r="A111" s="691" t="s">
        <v>155</v>
      </c>
      <c r="B111" s="690" t="s">
        <v>164</v>
      </c>
      <c r="C111" s="740"/>
      <c r="D111" s="740"/>
      <c r="E111" s="690" t="s">
        <v>7</v>
      </c>
      <c r="F111" s="699">
        <v>16951000</v>
      </c>
      <c r="G111" s="740"/>
      <c r="H111" s="740"/>
      <c r="I111" s="740"/>
      <c r="J111" s="740"/>
      <c r="K111" s="740"/>
      <c r="L111" s="1276"/>
    </row>
    <row r="112" spans="1:12" ht="13" x14ac:dyDescent="0.3">
      <c r="A112" s="740"/>
      <c r="B112" s="690"/>
      <c r="C112" s="740"/>
      <c r="D112" s="740"/>
      <c r="E112" s="690"/>
      <c r="F112" s="704"/>
      <c r="G112" s="740"/>
      <c r="H112" s="740"/>
      <c r="I112" s="740"/>
      <c r="J112" s="740"/>
      <c r="K112" s="740"/>
      <c r="L112" s="1276"/>
    </row>
    <row r="113" spans="1:12" ht="13" x14ac:dyDescent="0.3">
      <c r="A113" s="691" t="s">
        <v>170</v>
      </c>
      <c r="B113" s="690" t="s">
        <v>15</v>
      </c>
      <c r="C113" s="740"/>
      <c r="D113" s="740"/>
      <c r="E113" s="740"/>
      <c r="F113" s="740"/>
      <c r="G113" s="400"/>
      <c r="H113" s="400"/>
      <c r="I113" s="400"/>
      <c r="J113" s="400"/>
      <c r="K113" s="400"/>
      <c r="L113" s="1276"/>
    </row>
    <row r="114" spans="1:12" ht="13" x14ac:dyDescent="0.3">
      <c r="A114" s="741" t="s">
        <v>171</v>
      </c>
      <c r="B114" s="689" t="s">
        <v>35</v>
      </c>
      <c r="C114" s="740"/>
      <c r="D114" s="740"/>
      <c r="E114" s="740"/>
      <c r="F114" s="707">
        <v>0.56599999999999995</v>
      </c>
      <c r="G114" s="400"/>
      <c r="H114" s="400"/>
      <c r="I114" s="400"/>
      <c r="J114" s="400"/>
      <c r="K114" s="400"/>
      <c r="L114" s="1276"/>
    </row>
    <row r="115" spans="1:12" ht="13" x14ac:dyDescent="0.3">
      <c r="A115" s="741"/>
      <c r="B115" s="690"/>
      <c r="C115" s="740"/>
      <c r="D115" s="740"/>
      <c r="E115" s="740"/>
      <c r="F115" s="740"/>
      <c r="G115" s="400"/>
      <c r="H115" s="400"/>
      <c r="I115" s="400"/>
      <c r="J115" s="400"/>
      <c r="K115" s="400"/>
      <c r="L115" s="1276"/>
    </row>
    <row r="116" spans="1:12" ht="13" x14ac:dyDescent="0.3">
      <c r="A116" s="741"/>
      <c r="B116" s="690" t="s">
        <v>16</v>
      </c>
      <c r="C116" s="740"/>
      <c r="D116" s="740"/>
      <c r="E116" s="740"/>
      <c r="F116" s="740"/>
      <c r="G116" s="400"/>
      <c r="H116" s="400"/>
      <c r="I116" s="400"/>
      <c r="J116" s="400"/>
      <c r="K116" s="400"/>
      <c r="L116" s="1276"/>
    </row>
    <row r="117" spans="1:12" ht="13" x14ac:dyDescent="0.3">
      <c r="A117" s="741" t="s">
        <v>172</v>
      </c>
      <c r="B117" s="689" t="s">
        <v>17</v>
      </c>
      <c r="C117" s="740"/>
      <c r="D117" s="740"/>
      <c r="E117" s="740"/>
      <c r="F117" s="699">
        <v>554642000</v>
      </c>
      <c r="G117" s="400"/>
      <c r="H117" s="400"/>
      <c r="I117" s="400"/>
      <c r="J117" s="400"/>
      <c r="K117" s="400"/>
      <c r="L117" s="1276"/>
    </row>
    <row r="118" spans="1:12" ht="13" x14ac:dyDescent="0.3">
      <c r="A118" s="741" t="s">
        <v>173</v>
      </c>
      <c r="B118" s="740" t="s">
        <v>18</v>
      </c>
      <c r="C118" s="740"/>
      <c r="D118" s="740"/>
      <c r="E118" s="740"/>
      <c r="F118" s="699">
        <v>55642000</v>
      </c>
      <c r="G118" s="400"/>
      <c r="H118" s="400"/>
      <c r="I118" s="400"/>
      <c r="J118" s="400"/>
      <c r="K118" s="400"/>
      <c r="L118" s="1276"/>
    </row>
    <row r="119" spans="1:12" ht="13" x14ac:dyDescent="0.3">
      <c r="A119" s="741" t="s">
        <v>174</v>
      </c>
      <c r="B119" s="690" t="s">
        <v>19</v>
      </c>
      <c r="C119" s="740"/>
      <c r="D119" s="740"/>
      <c r="E119" s="740"/>
      <c r="F119" s="701">
        <v>610284000</v>
      </c>
      <c r="G119" s="400"/>
      <c r="H119" s="400"/>
      <c r="I119" s="400"/>
      <c r="J119" s="400"/>
      <c r="K119" s="400"/>
      <c r="L119" s="1276"/>
    </row>
    <row r="120" spans="1:12" ht="13" x14ac:dyDescent="0.3">
      <c r="A120" s="741"/>
      <c r="B120" s="690"/>
      <c r="C120" s="740"/>
      <c r="D120" s="740"/>
      <c r="E120" s="740"/>
      <c r="F120" s="740"/>
      <c r="G120" s="400"/>
      <c r="H120" s="400"/>
      <c r="I120" s="400"/>
      <c r="J120" s="400"/>
      <c r="K120" s="400"/>
      <c r="L120" s="1276"/>
    </row>
    <row r="121" spans="1:12" ht="13" x14ac:dyDescent="0.3">
      <c r="A121" s="741" t="s">
        <v>167</v>
      </c>
      <c r="B121" s="690" t="s">
        <v>36</v>
      </c>
      <c r="C121" s="740"/>
      <c r="D121" s="740"/>
      <c r="E121" s="740"/>
      <c r="F121" s="699">
        <v>613834000</v>
      </c>
      <c r="G121" s="400"/>
      <c r="H121" s="400"/>
      <c r="I121" s="400"/>
      <c r="J121" s="400"/>
      <c r="K121" s="400"/>
      <c r="L121" s="1276"/>
    </row>
    <row r="122" spans="1:12" ht="13" x14ac:dyDescent="0.3">
      <c r="A122" s="741"/>
      <c r="B122" s="740"/>
      <c r="C122" s="740"/>
      <c r="D122" s="740"/>
      <c r="E122" s="740"/>
      <c r="F122" s="740"/>
      <c r="G122" s="400"/>
      <c r="H122" s="400"/>
      <c r="I122" s="400"/>
      <c r="J122" s="400"/>
      <c r="K122" s="400"/>
      <c r="L122" s="1276"/>
    </row>
    <row r="123" spans="1:12" ht="13" x14ac:dyDescent="0.3">
      <c r="A123" s="741" t="s">
        <v>175</v>
      </c>
      <c r="B123" s="690" t="s">
        <v>20</v>
      </c>
      <c r="C123" s="740"/>
      <c r="D123" s="740"/>
      <c r="E123" s="740"/>
      <c r="F123" s="699">
        <v>-3550000</v>
      </c>
      <c r="G123" s="400"/>
      <c r="H123" s="400"/>
      <c r="I123" s="400"/>
      <c r="J123" s="400"/>
      <c r="K123" s="400"/>
      <c r="L123" s="1276"/>
    </row>
    <row r="124" spans="1:12" ht="13" x14ac:dyDescent="0.3">
      <c r="A124" s="741"/>
      <c r="B124" s="740"/>
      <c r="C124" s="740"/>
      <c r="D124" s="740"/>
      <c r="E124" s="740"/>
      <c r="F124" s="740"/>
      <c r="G124" s="400"/>
      <c r="H124" s="400"/>
      <c r="I124" s="400"/>
      <c r="J124" s="400"/>
      <c r="K124" s="400"/>
      <c r="L124" s="1276"/>
    </row>
    <row r="125" spans="1:12" ht="13" x14ac:dyDescent="0.3">
      <c r="A125" s="741" t="s">
        <v>176</v>
      </c>
      <c r="B125" s="690" t="s">
        <v>21</v>
      </c>
      <c r="C125" s="740"/>
      <c r="D125" s="740"/>
      <c r="E125" s="740"/>
      <c r="F125" s="699">
        <v>6826000</v>
      </c>
      <c r="G125" s="400"/>
      <c r="H125" s="400"/>
      <c r="I125" s="400"/>
      <c r="J125" s="400"/>
      <c r="K125" s="400"/>
      <c r="L125" s="1276"/>
    </row>
    <row r="126" spans="1:12" ht="13" x14ac:dyDescent="0.3">
      <c r="A126" s="741"/>
      <c r="B126" s="740"/>
      <c r="C126" s="740"/>
      <c r="D126" s="740"/>
      <c r="E126" s="740"/>
      <c r="F126" s="740"/>
      <c r="G126" s="400"/>
      <c r="H126" s="400"/>
      <c r="I126" s="400"/>
      <c r="J126" s="400"/>
      <c r="K126" s="400"/>
      <c r="L126" s="1276"/>
    </row>
    <row r="127" spans="1:12" ht="13" x14ac:dyDescent="0.3">
      <c r="A127" s="741" t="s">
        <v>177</v>
      </c>
      <c r="B127" s="690" t="s">
        <v>22</v>
      </c>
      <c r="C127" s="740"/>
      <c r="D127" s="740"/>
      <c r="E127" s="740"/>
      <c r="F127" s="699">
        <v>3276000</v>
      </c>
      <c r="G127" s="400"/>
      <c r="H127" s="400"/>
      <c r="I127" s="400"/>
      <c r="J127" s="400"/>
      <c r="K127" s="400"/>
      <c r="L127" s="1276"/>
    </row>
    <row r="128" spans="1:12" ht="13" x14ac:dyDescent="0.3">
      <c r="A128" s="741"/>
      <c r="B128" s="740"/>
      <c r="C128" s="740"/>
      <c r="D128" s="740"/>
      <c r="E128" s="740"/>
      <c r="F128" s="740"/>
      <c r="G128" s="400"/>
      <c r="H128" s="400"/>
      <c r="I128" s="400"/>
      <c r="J128" s="400"/>
      <c r="K128" s="400"/>
      <c r="L128" s="1276"/>
    </row>
    <row r="129" spans="1:13" ht="26" x14ac:dyDescent="0.3">
      <c r="A129" s="740"/>
      <c r="B129" s="740"/>
      <c r="C129" s="740"/>
      <c r="D129" s="740"/>
      <c r="E129" s="740"/>
      <c r="F129" s="693" t="s">
        <v>9</v>
      </c>
      <c r="G129" s="693" t="s">
        <v>37</v>
      </c>
      <c r="H129" s="693" t="s">
        <v>29</v>
      </c>
      <c r="I129" s="693" t="s">
        <v>30</v>
      </c>
      <c r="J129" s="693" t="s">
        <v>33</v>
      </c>
      <c r="K129" s="693" t="s">
        <v>34</v>
      </c>
      <c r="L129" s="1276"/>
    </row>
    <row r="130" spans="1:13" ht="13" x14ac:dyDescent="0.3">
      <c r="A130" s="691" t="s">
        <v>157</v>
      </c>
      <c r="B130" s="690" t="s">
        <v>23</v>
      </c>
      <c r="C130" s="740"/>
      <c r="D130" s="740"/>
      <c r="E130" s="740"/>
      <c r="F130" s="740"/>
      <c r="G130" s="740"/>
      <c r="H130" s="740"/>
      <c r="I130" s="740"/>
      <c r="J130" s="740"/>
      <c r="K130" s="740"/>
      <c r="L130" s="1276"/>
    </row>
    <row r="131" spans="1:13" ht="13" x14ac:dyDescent="0.3">
      <c r="A131" s="741" t="s">
        <v>158</v>
      </c>
      <c r="B131" s="740" t="s">
        <v>24</v>
      </c>
      <c r="C131" s="740"/>
      <c r="D131" s="740"/>
      <c r="E131" s="740"/>
      <c r="F131" s="698"/>
      <c r="G131" s="698"/>
      <c r="H131" s="699"/>
      <c r="I131" s="719">
        <v>0</v>
      </c>
      <c r="J131" s="699"/>
      <c r="K131" s="700">
        <v>0</v>
      </c>
      <c r="L131" s="1276"/>
    </row>
    <row r="132" spans="1:13" ht="13" x14ac:dyDescent="0.3">
      <c r="A132" s="741" t="s">
        <v>159</v>
      </c>
      <c r="B132" s="740" t="s">
        <v>25</v>
      </c>
      <c r="C132" s="740"/>
      <c r="D132" s="740"/>
      <c r="E132" s="740"/>
      <c r="F132" s="698"/>
      <c r="G132" s="698"/>
      <c r="H132" s="699"/>
      <c r="I132" s="719">
        <v>0</v>
      </c>
      <c r="J132" s="699"/>
      <c r="K132" s="700">
        <v>0</v>
      </c>
      <c r="L132" s="1276"/>
    </row>
    <row r="133" spans="1:13" ht="13" x14ac:dyDescent="0.3">
      <c r="A133" s="741" t="s">
        <v>160</v>
      </c>
      <c r="B133" s="1418"/>
      <c r="C133" s="1419"/>
      <c r="D133" s="1420"/>
      <c r="E133" s="740"/>
      <c r="F133" s="698"/>
      <c r="G133" s="698"/>
      <c r="H133" s="699"/>
      <c r="I133" s="719">
        <v>0</v>
      </c>
      <c r="J133" s="699"/>
      <c r="K133" s="700">
        <v>0</v>
      </c>
      <c r="L133" s="1276"/>
    </row>
    <row r="134" spans="1:13" ht="13" x14ac:dyDescent="0.3">
      <c r="A134" s="741" t="s">
        <v>161</v>
      </c>
      <c r="B134" s="1418"/>
      <c r="C134" s="1419"/>
      <c r="D134" s="1420"/>
      <c r="E134" s="740"/>
      <c r="F134" s="698"/>
      <c r="G134" s="698"/>
      <c r="H134" s="699"/>
      <c r="I134" s="719">
        <v>0</v>
      </c>
      <c r="J134" s="699"/>
      <c r="K134" s="700">
        <v>0</v>
      </c>
      <c r="L134" s="1276"/>
    </row>
    <row r="135" spans="1:13" ht="13" x14ac:dyDescent="0.3">
      <c r="A135" s="741" t="s">
        <v>162</v>
      </c>
      <c r="B135" s="1418"/>
      <c r="C135" s="1419"/>
      <c r="D135" s="1420"/>
      <c r="E135" s="740"/>
      <c r="F135" s="698"/>
      <c r="G135" s="698"/>
      <c r="H135" s="699"/>
      <c r="I135" s="719">
        <v>0</v>
      </c>
      <c r="J135" s="699"/>
      <c r="K135" s="700">
        <v>0</v>
      </c>
      <c r="L135" s="1276"/>
    </row>
    <row r="136" spans="1:13" ht="13" x14ac:dyDescent="0.3">
      <c r="A136" s="691"/>
      <c r="B136" s="740"/>
      <c r="C136" s="740"/>
      <c r="D136" s="740"/>
      <c r="E136" s="740"/>
      <c r="F136" s="740"/>
      <c r="G136" s="740"/>
      <c r="H136" s="740"/>
      <c r="I136" s="740"/>
      <c r="J136" s="740"/>
      <c r="K136" s="740"/>
      <c r="L136" s="1276"/>
    </row>
    <row r="137" spans="1:13" ht="13" x14ac:dyDescent="0.3">
      <c r="A137" s="691" t="s">
        <v>163</v>
      </c>
      <c r="B137" s="690" t="s">
        <v>27</v>
      </c>
      <c r="C137" s="740"/>
      <c r="D137" s="740"/>
      <c r="E137" s="740"/>
      <c r="F137" s="702">
        <v>0</v>
      </c>
      <c r="G137" s="702">
        <v>0</v>
      </c>
      <c r="H137" s="700">
        <v>0</v>
      </c>
      <c r="I137" s="700">
        <v>0</v>
      </c>
      <c r="J137" s="700">
        <v>0</v>
      </c>
      <c r="K137" s="700">
        <v>0</v>
      </c>
      <c r="L137" s="1276"/>
    </row>
    <row r="138" spans="1:13" x14ac:dyDescent="0.25">
      <c r="A138" s="740"/>
      <c r="B138" s="740"/>
      <c r="C138" s="740"/>
      <c r="D138" s="740"/>
      <c r="E138" s="740"/>
      <c r="F138" s="740"/>
      <c r="G138" s="740"/>
      <c r="H138" s="740"/>
      <c r="I138" s="740"/>
      <c r="J138" s="740"/>
      <c r="K138" s="740"/>
      <c r="L138" s="1276"/>
    </row>
    <row r="139" spans="1:13" ht="26" x14ac:dyDescent="0.3">
      <c r="A139" s="740"/>
      <c r="B139" s="740"/>
      <c r="C139" s="740"/>
      <c r="D139" s="740"/>
      <c r="E139" s="740"/>
      <c r="F139" s="693" t="s">
        <v>9</v>
      </c>
      <c r="G139" s="693" t="s">
        <v>37</v>
      </c>
      <c r="H139" s="693" t="s">
        <v>29</v>
      </c>
      <c r="I139" s="693" t="s">
        <v>30</v>
      </c>
      <c r="J139" s="693" t="s">
        <v>33</v>
      </c>
      <c r="K139" s="693" t="s">
        <v>34</v>
      </c>
      <c r="L139" s="1276"/>
    </row>
    <row r="140" spans="1:13" ht="13" x14ac:dyDescent="0.3">
      <c r="A140" s="691" t="s">
        <v>166</v>
      </c>
      <c r="B140" s="690" t="s">
        <v>26</v>
      </c>
      <c r="C140" s="740"/>
      <c r="D140" s="740"/>
      <c r="E140" s="740"/>
      <c r="F140" s="740"/>
      <c r="G140" s="740"/>
      <c r="H140" s="740"/>
      <c r="I140" s="740"/>
      <c r="J140" s="740"/>
      <c r="K140" s="740"/>
      <c r="L140" s="1276"/>
    </row>
    <row r="141" spans="1:13" ht="13" x14ac:dyDescent="0.3">
      <c r="A141" s="741" t="s">
        <v>137</v>
      </c>
      <c r="B141" s="690" t="s">
        <v>64</v>
      </c>
      <c r="C141" s="740"/>
      <c r="D141" s="740"/>
      <c r="E141" s="740"/>
      <c r="F141" s="711">
        <v>27732</v>
      </c>
      <c r="G141" s="711">
        <v>443954</v>
      </c>
      <c r="H141" s="412">
        <v>4662180</v>
      </c>
      <c r="I141" s="412">
        <v>1662514</v>
      </c>
      <c r="J141" s="412">
        <v>689801</v>
      </c>
      <c r="K141" s="412">
        <v>5634893</v>
      </c>
      <c r="L141" s="1276"/>
      <c r="M141" s="1274"/>
    </row>
    <row r="142" spans="1:13" ht="13" x14ac:dyDescent="0.3">
      <c r="A142" s="741" t="s">
        <v>142</v>
      </c>
      <c r="B142" s="690" t="s">
        <v>65</v>
      </c>
      <c r="C142" s="740"/>
      <c r="D142" s="740"/>
      <c r="E142" s="740"/>
      <c r="F142" s="711">
        <v>73057.81</v>
      </c>
      <c r="G142" s="711">
        <v>3215</v>
      </c>
      <c r="H142" s="412">
        <v>28079897</v>
      </c>
      <c r="I142" s="412">
        <v>0</v>
      </c>
      <c r="J142" s="412">
        <v>11565</v>
      </c>
      <c r="K142" s="412">
        <v>28068332</v>
      </c>
      <c r="L142" s="1276"/>
    </row>
    <row r="143" spans="1:13" ht="13" x14ac:dyDescent="0.3">
      <c r="A143" s="741" t="s">
        <v>144</v>
      </c>
      <c r="B143" s="690" t="s">
        <v>66</v>
      </c>
      <c r="C143" s="740"/>
      <c r="D143" s="740"/>
      <c r="E143" s="740"/>
      <c r="F143" s="711">
        <v>3236.96</v>
      </c>
      <c r="G143" s="711">
        <v>0</v>
      </c>
      <c r="H143" s="412">
        <v>5628247</v>
      </c>
      <c r="I143" s="412">
        <v>0</v>
      </c>
      <c r="J143" s="412">
        <v>1036178</v>
      </c>
      <c r="K143" s="412">
        <v>4592069</v>
      </c>
      <c r="L143" s="1276"/>
    </row>
    <row r="144" spans="1:13" ht="13" x14ac:dyDescent="0.3">
      <c r="A144" s="741" t="s">
        <v>146</v>
      </c>
      <c r="B144" s="690" t="s">
        <v>67</v>
      </c>
      <c r="C144" s="740"/>
      <c r="D144" s="740"/>
      <c r="E144" s="740"/>
      <c r="F144" s="711">
        <v>4160</v>
      </c>
      <c r="G144" s="711">
        <v>0</v>
      </c>
      <c r="H144" s="412">
        <v>242956</v>
      </c>
      <c r="I144" s="412">
        <v>0</v>
      </c>
      <c r="J144" s="412">
        <v>30137</v>
      </c>
      <c r="K144" s="412">
        <v>212819</v>
      </c>
      <c r="L144" s="1276"/>
    </row>
    <row r="145" spans="1:12" ht="13" x14ac:dyDescent="0.3">
      <c r="A145" s="741" t="s">
        <v>148</v>
      </c>
      <c r="B145" s="690" t="s">
        <v>68</v>
      </c>
      <c r="C145" s="740"/>
      <c r="D145" s="740"/>
      <c r="E145" s="740"/>
      <c r="F145" s="711">
        <v>6071.5</v>
      </c>
      <c r="G145" s="711">
        <v>30363</v>
      </c>
      <c r="H145" s="412">
        <v>2243237</v>
      </c>
      <c r="I145" s="412">
        <v>0</v>
      </c>
      <c r="J145" s="412">
        <v>26904</v>
      </c>
      <c r="K145" s="412">
        <v>2216333</v>
      </c>
      <c r="L145" s="1276"/>
    </row>
    <row r="146" spans="1:12" ht="13" x14ac:dyDescent="0.3">
      <c r="A146" s="741" t="s">
        <v>150</v>
      </c>
      <c r="B146" s="690" t="s">
        <v>69</v>
      </c>
      <c r="C146" s="740"/>
      <c r="D146" s="740"/>
      <c r="E146" s="740"/>
      <c r="F146" s="711">
        <v>1701</v>
      </c>
      <c r="G146" s="711">
        <v>234</v>
      </c>
      <c r="H146" s="412">
        <v>313451</v>
      </c>
      <c r="I146" s="412">
        <v>177414</v>
      </c>
      <c r="J146" s="412">
        <v>40000</v>
      </c>
      <c r="K146" s="412">
        <v>450865</v>
      </c>
      <c r="L146" s="1276"/>
    </row>
    <row r="147" spans="1:12" ht="13" x14ac:dyDescent="0.3">
      <c r="A147" s="741" t="s">
        <v>153</v>
      </c>
      <c r="B147" s="690" t="s">
        <v>61</v>
      </c>
      <c r="C147" s="740"/>
      <c r="D147" s="740"/>
      <c r="E147" s="740"/>
      <c r="F147" s="702">
        <v>4779.5</v>
      </c>
      <c r="G147" s="702">
        <v>537</v>
      </c>
      <c r="H147" s="413">
        <v>251461</v>
      </c>
      <c r="I147" s="413">
        <v>142326</v>
      </c>
      <c r="J147" s="413">
        <v>0</v>
      </c>
      <c r="K147" s="413">
        <v>393787</v>
      </c>
      <c r="L147" s="1276"/>
    </row>
    <row r="148" spans="1:12" ht="13" x14ac:dyDescent="0.3">
      <c r="A148" s="741" t="s">
        <v>155</v>
      </c>
      <c r="B148" s="690" t="s">
        <v>70</v>
      </c>
      <c r="C148" s="740"/>
      <c r="D148" s="740"/>
      <c r="E148" s="740"/>
      <c r="F148" s="712" t="s">
        <v>73</v>
      </c>
      <c r="G148" s="712" t="s">
        <v>73</v>
      </c>
      <c r="H148" s="713" t="s">
        <v>73</v>
      </c>
      <c r="I148" s="713" t="s">
        <v>73</v>
      </c>
      <c r="J148" s="713" t="s">
        <v>73</v>
      </c>
      <c r="K148" s="709">
        <f>F111</f>
        <v>16951000</v>
      </c>
      <c r="L148" s="1276"/>
    </row>
    <row r="149" spans="1:12" ht="13" x14ac:dyDescent="0.3">
      <c r="A149" s="741" t="s">
        <v>163</v>
      </c>
      <c r="B149" s="690" t="s">
        <v>71</v>
      </c>
      <c r="C149" s="740"/>
      <c r="D149" s="740"/>
      <c r="E149" s="740"/>
      <c r="F149" s="702">
        <v>0</v>
      </c>
      <c r="G149" s="702">
        <v>0</v>
      </c>
      <c r="H149" s="702">
        <v>0</v>
      </c>
      <c r="I149" s="702">
        <v>0</v>
      </c>
      <c r="J149" s="702">
        <v>0</v>
      </c>
      <c r="K149" s="702">
        <v>0</v>
      </c>
      <c r="L149" s="1276"/>
    </row>
    <row r="150" spans="1:12" ht="13" x14ac:dyDescent="0.3">
      <c r="A150" s="741" t="s">
        <v>185</v>
      </c>
      <c r="B150" s="690" t="s">
        <v>183</v>
      </c>
      <c r="C150" s="740"/>
      <c r="D150" s="740"/>
      <c r="E150" s="740"/>
      <c r="F150" s="712" t="s">
        <v>73</v>
      </c>
      <c r="G150" s="712" t="s">
        <v>73</v>
      </c>
      <c r="H150" s="702">
        <f>H18</f>
        <v>13875824.451688968</v>
      </c>
      <c r="I150" s="702">
        <v>0</v>
      </c>
      <c r="J150" s="702">
        <v>0</v>
      </c>
      <c r="K150" s="702">
        <f>H150</f>
        <v>13875824.451688968</v>
      </c>
      <c r="L150" s="1276"/>
    </row>
    <row r="151" spans="1:12" ht="13" x14ac:dyDescent="0.3">
      <c r="A151" s="740"/>
      <c r="B151" s="690"/>
      <c r="C151" s="740"/>
      <c r="D151" s="740"/>
      <c r="E151" s="740"/>
      <c r="F151" s="717"/>
      <c r="G151" s="717"/>
      <c r="H151" s="717"/>
      <c r="I151" s="717"/>
      <c r="J151" s="717"/>
      <c r="K151" s="717"/>
      <c r="L151" s="1276"/>
    </row>
    <row r="152" spans="1:12" ht="13" x14ac:dyDescent="0.3">
      <c r="A152" s="691" t="s">
        <v>165</v>
      </c>
      <c r="B152" s="690" t="s">
        <v>26</v>
      </c>
      <c r="C152" s="740"/>
      <c r="D152" s="740"/>
      <c r="E152" s="740"/>
      <c r="F152" s="718">
        <f t="shared" ref="F152:K152" si="13">SUM(F141:F150)</f>
        <v>120738.77</v>
      </c>
      <c r="G152" s="718">
        <f t="shared" si="13"/>
        <v>478303</v>
      </c>
      <c r="H152" s="718">
        <f t="shared" si="13"/>
        <v>55297253.451688968</v>
      </c>
      <c r="I152" s="718">
        <f t="shared" si="13"/>
        <v>1982254</v>
      </c>
      <c r="J152" s="718">
        <f t="shared" si="13"/>
        <v>1834585</v>
      </c>
      <c r="K152" s="718">
        <f t="shared" si="13"/>
        <v>72395922.451688975</v>
      </c>
      <c r="L152" s="1276"/>
    </row>
    <row r="153" spans="1:12" x14ac:dyDescent="0.25">
      <c r="A153" s="400"/>
      <c r="B153" s="400"/>
      <c r="C153" s="400"/>
      <c r="D153" s="400"/>
      <c r="E153" s="400"/>
      <c r="F153" s="400"/>
      <c r="G153" s="400"/>
      <c r="H153" s="400"/>
      <c r="I153" s="400"/>
      <c r="J153" s="400"/>
      <c r="K153" s="415" t="s">
        <v>85</v>
      </c>
      <c r="L153" s="1276"/>
    </row>
    <row r="154" spans="1:12" ht="13" x14ac:dyDescent="0.3">
      <c r="A154" s="691" t="s">
        <v>168</v>
      </c>
      <c r="B154" s="690" t="s">
        <v>28</v>
      </c>
      <c r="C154" s="740"/>
      <c r="D154" s="740"/>
      <c r="E154" s="836"/>
      <c r="F154" s="414">
        <v>9.8834722416809753E-2</v>
      </c>
      <c r="G154" s="740"/>
      <c r="H154" s="740"/>
      <c r="I154" s="740"/>
      <c r="J154" s="740"/>
      <c r="K154" s="740"/>
    </row>
    <row r="155" spans="1:12" ht="13" x14ac:dyDescent="0.3">
      <c r="A155" s="691" t="s">
        <v>169</v>
      </c>
      <c r="B155" s="690" t="s">
        <v>72</v>
      </c>
      <c r="C155" s="740"/>
      <c r="D155" s="740"/>
      <c r="E155" s="836"/>
      <c r="F155" s="414">
        <v>18.518960012210012</v>
      </c>
      <c r="G155" s="690"/>
      <c r="H155" s="740"/>
      <c r="I155" s="740"/>
      <c r="J155" s="740"/>
      <c r="K155" s="740"/>
    </row>
  </sheetData>
  <sheetProtection sheet="1" objects="1" scenarios="1"/>
  <mergeCells count="28">
    <mergeCell ref="B104:D104"/>
    <mergeCell ref="C11:G11"/>
    <mergeCell ref="B13:H13"/>
    <mergeCell ref="A16:B16"/>
    <mergeCell ref="B90:C90"/>
    <mergeCell ref="B95:D95"/>
    <mergeCell ref="C10:G10"/>
    <mergeCell ref="D2:H2"/>
    <mergeCell ref="C5:G5"/>
    <mergeCell ref="C6:G6"/>
    <mergeCell ref="C7:G7"/>
    <mergeCell ref="C9:G9"/>
    <mergeCell ref="B134:D134"/>
    <mergeCell ref="B135:D135"/>
    <mergeCell ref="A19:B19"/>
    <mergeCell ref="B30:D30"/>
    <mergeCell ref="B31:D31"/>
    <mergeCell ref="B34:D34"/>
    <mergeCell ref="B41:C41"/>
    <mergeCell ref="B51:C51"/>
    <mergeCell ref="B58:D58"/>
    <mergeCell ref="B59:D59"/>
    <mergeCell ref="B106:D106"/>
    <mergeCell ref="B133:D133"/>
    <mergeCell ref="B94:D94"/>
    <mergeCell ref="B105:D105"/>
    <mergeCell ref="B96:D96"/>
    <mergeCell ref="B103:C103"/>
  </mergeCells>
  <pageMargins left="0.7" right="0.7" top="0.75" bottom="0.75" header="0.3" footer="0.3"/>
  <pageSetup scale="6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166"/>
  <sheetViews>
    <sheetView zoomScale="85" zoomScaleNormal="85" workbookViewId="0"/>
  </sheetViews>
  <sheetFormatPr defaultColWidth="9.26953125" defaultRowHeight="18" customHeight="1" x14ac:dyDescent="0.25"/>
  <cols>
    <col min="1" max="1" width="8.26953125" style="27" customWidth="1"/>
    <col min="2" max="2" width="55.453125" style="28" bestFit="1" customWidth="1"/>
    <col min="3" max="3" width="6.54296875" style="28" customWidth="1"/>
    <col min="4" max="4" width="4.7265625" style="28" customWidth="1"/>
    <col min="5" max="5" width="12.453125" style="28" customWidth="1"/>
    <col min="6" max="6" width="18.54296875" style="28" customWidth="1"/>
    <col min="7" max="7" width="23.54296875" style="28" customWidth="1"/>
    <col min="8" max="8" width="17.26953125" style="111" customWidth="1"/>
    <col min="9" max="9" width="21.26953125" style="111" customWidth="1"/>
    <col min="10" max="10" width="19.7265625" style="111" customWidth="1"/>
    <col min="11" max="11" width="17.54296875" style="28" customWidth="1"/>
    <col min="12" max="12" width="11.54296875" style="28" bestFit="1" customWidth="1"/>
    <col min="13" max="16384" width="9.26953125" style="28"/>
  </cols>
  <sheetData>
    <row r="1" spans="1:11" ht="18" customHeight="1" x14ac:dyDescent="0.3">
      <c r="A1" s="742"/>
      <c r="B1" s="742"/>
      <c r="C1" s="888"/>
      <c r="D1" s="889"/>
      <c r="E1" s="888"/>
      <c r="F1" s="888"/>
      <c r="G1" s="888"/>
      <c r="H1" s="1134"/>
      <c r="I1" s="1134"/>
      <c r="J1" s="1134"/>
      <c r="K1" s="888"/>
    </row>
    <row r="2" spans="1:11" ht="18" customHeight="1" x14ac:dyDescent="0.35">
      <c r="A2" s="742"/>
      <c r="B2" s="742"/>
      <c r="C2" s="742"/>
      <c r="D2" s="744" t="s">
        <v>730</v>
      </c>
      <c r="E2" s="744"/>
      <c r="F2" s="744"/>
      <c r="G2" s="744"/>
      <c r="H2" s="744"/>
      <c r="I2" s="1143"/>
      <c r="J2" s="1143"/>
      <c r="K2" s="742"/>
    </row>
    <row r="3" spans="1:11" ht="18" customHeight="1" x14ac:dyDescent="0.3">
      <c r="A3" s="742"/>
      <c r="B3" s="636" t="s">
        <v>0</v>
      </c>
      <c r="C3" s="742"/>
      <c r="D3" s="742"/>
      <c r="E3" s="742"/>
      <c r="F3" s="742"/>
      <c r="G3" s="742"/>
      <c r="H3" s="1143"/>
      <c r="I3" s="1143"/>
      <c r="J3" s="1143"/>
      <c r="K3" s="742"/>
    </row>
    <row r="4" spans="1:11" ht="18" customHeight="1" x14ac:dyDescent="0.25">
      <c r="A4" s="446"/>
      <c r="B4" s="740"/>
      <c r="C4" s="740"/>
      <c r="D4" s="740"/>
      <c r="E4" s="740"/>
      <c r="F4" s="740"/>
      <c r="G4" s="740"/>
      <c r="K4" s="740"/>
    </row>
    <row r="5" spans="1:11" ht="18" customHeight="1" x14ac:dyDescent="0.3">
      <c r="A5" s="742"/>
      <c r="B5" s="733" t="s">
        <v>40</v>
      </c>
      <c r="C5" s="1549" t="s">
        <v>439</v>
      </c>
      <c r="D5" s="1550"/>
      <c r="E5" s="1550"/>
      <c r="F5" s="1550"/>
      <c r="G5" s="1551"/>
      <c r="H5" s="1143"/>
      <c r="I5" s="1143"/>
      <c r="J5" s="1143"/>
      <c r="K5" s="742"/>
    </row>
    <row r="6" spans="1:11" ht="18" customHeight="1" x14ac:dyDescent="0.3">
      <c r="A6" s="742"/>
      <c r="B6" s="733" t="s">
        <v>3</v>
      </c>
      <c r="C6" s="1552">
        <v>210030</v>
      </c>
      <c r="D6" s="1553"/>
      <c r="E6" s="1553"/>
      <c r="F6" s="1553"/>
      <c r="G6" s="1554"/>
      <c r="H6" s="1143"/>
      <c r="I6" s="1143"/>
      <c r="J6" s="1143"/>
      <c r="K6" s="742"/>
    </row>
    <row r="7" spans="1:11" ht="18" customHeight="1" x14ac:dyDescent="0.3">
      <c r="A7" s="742"/>
      <c r="B7" s="733" t="s">
        <v>4</v>
      </c>
      <c r="C7" s="1552">
        <v>221.1</v>
      </c>
      <c r="D7" s="1553"/>
      <c r="E7" s="1553"/>
      <c r="F7" s="1553"/>
      <c r="G7" s="1554"/>
      <c r="H7" s="1143"/>
      <c r="I7" s="1143"/>
      <c r="J7" s="1143"/>
      <c r="K7" s="742"/>
    </row>
    <row r="8" spans="1:11" ht="18" customHeight="1" x14ac:dyDescent="0.25">
      <c r="A8" s="446"/>
      <c r="B8" s="740"/>
      <c r="C8" s="740"/>
      <c r="D8" s="740"/>
      <c r="E8" s="740"/>
      <c r="F8" s="740"/>
      <c r="G8" s="740"/>
      <c r="K8" s="740"/>
    </row>
    <row r="9" spans="1:11" ht="18" customHeight="1" x14ac:dyDescent="0.35">
      <c r="A9" s="742"/>
      <c r="B9" s="733" t="s">
        <v>1</v>
      </c>
      <c r="C9" s="1555" t="s">
        <v>629</v>
      </c>
      <c r="D9" s="1556"/>
      <c r="E9" s="1556"/>
      <c r="F9" s="1556"/>
      <c r="G9" s="1557"/>
      <c r="H9" s="1143"/>
      <c r="I9" s="1143"/>
      <c r="J9" s="1143"/>
      <c r="K9" s="742"/>
    </row>
    <row r="10" spans="1:11" ht="18" customHeight="1" x14ac:dyDescent="0.35">
      <c r="A10" s="742"/>
      <c r="B10" s="733" t="s">
        <v>2</v>
      </c>
      <c r="C10" s="1555" t="s">
        <v>428</v>
      </c>
      <c r="D10" s="1556"/>
      <c r="E10" s="1556"/>
      <c r="F10" s="1556"/>
      <c r="G10" s="1557"/>
      <c r="H10" s="1143"/>
      <c r="I10" s="1143"/>
      <c r="J10" s="1143"/>
      <c r="K10" s="742"/>
    </row>
    <row r="11" spans="1:11" ht="18" customHeight="1" x14ac:dyDescent="0.35">
      <c r="A11" s="742"/>
      <c r="B11" s="733" t="s">
        <v>32</v>
      </c>
      <c r="C11" s="1555" t="s">
        <v>789</v>
      </c>
      <c r="D11" s="1556"/>
      <c r="E11" s="1556"/>
      <c r="F11" s="1556"/>
      <c r="G11" s="1557"/>
      <c r="H11" s="1143"/>
      <c r="I11" s="1143"/>
      <c r="J11" s="1143"/>
      <c r="K11" s="742"/>
    </row>
    <row r="12" spans="1:11" ht="18" customHeight="1" x14ac:dyDescent="0.3">
      <c r="A12" s="742"/>
      <c r="B12" s="733"/>
      <c r="C12" s="733"/>
      <c r="D12" s="733"/>
      <c r="E12" s="733"/>
      <c r="F12" s="733"/>
      <c r="G12" s="733"/>
      <c r="H12" s="1143"/>
      <c r="I12" s="1143"/>
      <c r="J12" s="1143"/>
      <c r="K12" s="742"/>
    </row>
    <row r="13" spans="1:11" ht="24.65" customHeight="1" x14ac:dyDescent="0.25">
      <c r="A13" s="742"/>
      <c r="B13" s="1363"/>
      <c r="C13" s="1363"/>
      <c r="D13" s="1363"/>
      <c r="E13" s="1363"/>
      <c r="F13" s="1363"/>
      <c r="G13" s="1363"/>
      <c r="H13" s="1363"/>
      <c r="I13" s="1134"/>
      <c r="J13" s="1143"/>
      <c r="K13" s="742"/>
    </row>
    <row r="14" spans="1:11" ht="18" customHeight="1" x14ac:dyDescent="0.3">
      <c r="A14" s="742"/>
      <c r="B14" s="640"/>
      <c r="C14" s="742"/>
      <c r="D14" s="742"/>
      <c r="E14" s="742"/>
      <c r="F14" s="742"/>
      <c r="G14" s="742"/>
      <c r="H14" s="1143"/>
      <c r="I14" s="1143"/>
      <c r="J14" s="1143"/>
      <c r="K14" s="742"/>
    </row>
    <row r="15" spans="1:11" ht="18" customHeight="1" x14ac:dyDescent="0.3">
      <c r="A15" s="742"/>
      <c r="B15" s="640"/>
      <c r="C15" s="742"/>
      <c r="D15" s="742"/>
      <c r="E15" s="742"/>
      <c r="F15" s="742"/>
      <c r="G15" s="742"/>
      <c r="H15" s="1143"/>
      <c r="I15" s="1143"/>
      <c r="J15" s="1143"/>
      <c r="K15" s="742"/>
    </row>
    <row r="16" spans="1:11" ht="45.4" customHeight="1" x14ac:dyDescent="0.3">
      <c r="A16" s="889" t="s">
        <v>181</v>
      </c>
      <c r="B16" s="888"/>
      <c r="C16" s="888"/>
      <c r="D16" s="888"/>
      <c r="E16" s="888"/>
      <c r="F16" s="641" t="s">
        <v>9</v>
      </c>
      <c r="G16" s="641" t="s">
        <v>37</v>
      </c>
      <c r="H16" s="417" t="s">
        <v>29</v>
      </c>
      <c r="I16" s="417" t="s">
        <v>30</v>
      </c>
      <c r="J16" s="417" t="s">
        <v>33</v>
      </c>
      <c r="K16" s="641" t="s">
        <v>34</v>
      </c>
    </row>
    <row r="17" spans="1:11" ht="18" customHeight="1" x14ac:dyDescent="0.3">
      <c r="A17" s="639" t="s">
        <v>184</v>
      </c>
      <c r="B17" s="636" t="s">
        <v>182</v>
      </c>
      <c r="C17" s="742"/>
      <c r="D17" s="742"/>
      <c r="E17" s="742"/>
      <c r="F17" s="742"/>
      <c r="G17" s="742"/>
      <c r="H17" s="1143"/>
      <c r="I17" s="1143"/>
      <c r="J17" s="1143"/>
      <c r="K17" s="742"/>
    </row>
    <row r="18" spans="1:11" ht="18" customHeight="1" x14ac:dyDescent="0.3">
      <c r="A18" s="733" t="s">
        <v>185</v>
      </c>
      <c r="B18" s="635" t="s">
        <v>183</v>
      </c>
      <c r="C18" s="742"/>
      <c r="D18" s="742"/>
      <c r="E18" s="742"/>
      <c r="F18" s="646" t="s">
        <v>73</v>
      </c>
      <c r="G18" s="646" t="s">
        <v>73</v>
      </c>
      <c r="H18" s="418">
        <v>1097168.5432238989</v>
      </c>
      <c r="I18" s="419">
        <v>0</v>
      </c>
      <c r="J18" s="418">
        <v>1005674</v>
      </c>
      <c r="K18" s="648">
        <f>(H18+I18)-J18</f>
        <v>91494.543223898858</v>
      </c>
    </row>
    <row r="19" spans="1:11" ht="45.4" customHeight="1" x14ac:dyDescent="0.3">
      <c r="A19" s="889" t="s">
        <v>8</v>
      </c>
      <c r="B19" s="888"/>
      <c r="C19" s="888"/>
      <c r="D19" s="888"/>
      <c r="E19" s="888"/>
      <c r="F19" s="641" t="s">
        <v>9</v>
      </c>
      <c r="G19" s="641" t="s">
        <v>37</v>
      </c>
      <c r="H19" s="417" t="s">
        <v>29</v>
      </c>
      <c r="I19" s="417" t="s">
        <v>30</v>
      </c>
      <c r="J19" s="417" t="s">
        <v>33</v>
      </c>
      <c r="K19" s="641" t="s">
        <v>34</v>
      </c>
    </row>
    <row r="20" spans="1:11" ht="18" customHeight="1" x14ac:dyDescent="0.3">
      <c r="A20" s="639" t="s">
        <v>74</v>
      </c>
      <c r="B20" s="636" t="s">
        <v>41</v>
      </c>
      <c r="C20" s="742"/>
      <c r="D20" s="742"/>
      <c r="E20" s="742"/>
      <c r="F20" s="742"/>
      <c r="G20" s="742"/>
      <c r="H20" s="1143"/>
      <c r="I20" s="1143"/>
      <c r="J20" s="1143"/>
      <c r="K20" s="742"/>
    </row>
    <row r="21" spans="1:11" ht="18" customHeight="1" x14ac:dyDescent="0.3">
      <c r="A21" s="733" t="s">
        <v>75</v>
      </c>
      <c r="B21" s="635" t="s">
        <v>42</v>
      </c>
      <c r="C21" s="742"/>
      <c r="D21" s="742"/>
      <c r="E21" s="742"/>
      <c r="F21" s="646">
        <v>130</v>
      </c>
      <c r="G21" s="646">
        <v>752</v>
      </c>
      <c r="H21" s="646">
        <v>5715.5362392582538</v>
      </c>
      <c r="I21" s="646">
        <v>3443.5459783139308</v>
      </c>
      <c r="J21" s="646">
        <v>0</v>
      </c>
      <c r="K21" s="648">
        <v>9159.0822175721842</v>
      </c>
    </row>
    <row r="22" spans="1:11" ht="18" customHeight="1" x14ac:dyDescent="0.3">
      <c r="A22" s="733" t="s">
        <v>76</v>
      </c>
      <c r="B22" s="742" t="s">
        <v>6</v>
      </c>
      <c r="C22" s="742"/>
      <c r="D22" s="742"/>
      <c r="E22" s="742"/>
      <c r="F22" s="646">
        <v>40</v>
      </c>
      <c r="G22" s="646">
        <v>202</v>
      </c>
      <c r="H22" s="646">
        <v>1574.0111505410014</v>
      </c>
      <c r="I22" s="646">
        <v>948.32392629010133</v>
      </c>
      <c r="J22" s="646">
        <v>0</v>
      </c>
      <c r="K22" s="648">
        <v>2522.3350768311029</v>
      </c>
    </row>
    <row r="23" spans="1:11" ht="18" customHeight="1" x14ac:dyDescent="0.3">
      <c r="A23" s="733" t="s">
        <v>77</v>
      </c>
      <c r="B23" s="742" t="s">
        <v>43</v>
      </c>
      <c r="C23" s="742"/>
      <c r="D23" s="742"/>
      <c r="E23" s="742"/>
      <c r="F23" s="646">
        <v>48</v>
      </c>
      <c r="G23" s="646">
        <v>18</v>
      </c>
      <c r="H23" s="646">
        <v>2088.8133806492015</v>
      </c>
      <c r="I23" s="646">
        <v>1258.4864508384885</v>
      </c>
      <c r="J23" s="646">
        <v>0</v>
      </c>
      <c r="K23" s="648">
        <v>3347.29983148769</v>
      </c>
    </row>
    <row r="24" spans="1:11" ht="18" customHeight="1" x14ac:dyDescent="0.3">
      <c r="A24" s="733" t="s">
        <v>78</v>
      </c>
      <c r="B24" s="742" t="s">
        <v>44</v>
      </c>
      <c r="C24" s="742"/>
      <c r="D24" s="742"/>
      <c r="E24" s="742"/>
      <c r="F24" s="646">
        <v>143</v>
      </c>
      <c r="G24" s="646">
        <v>71</v>
      </c>
      <c r="H24" s="646">
        <v>5627.0898631840801</v>
      </c>
      <c r="I24" s="646">
        <v>3390.2580364871128</v>
      </c>
      <c r="J24" s="646">
        <v>0</v>
      </c>
      <c r="K24" s="648">
        <v>9017.3478996711929</v>
      </c>
    </row>
    <row r="25" spans="1:11" ht="18" customHeight="1" x14ac:dyDescent="0.3">
      <c r="A25" s="733" t="s">
        <v>79</v>
      </c>
      <c r="B25" s="742" t="s">
        <v>5</v>
      </c>
      <c r="C25" s="742"/>
      <c r="D25" s="742"/>
      <c r="E25" s="742"/>
      <c r="F25" s="646">
        <v>100</v>
      </c>
      <c r="G25" s="646">
        <v>220</v>
      </c>
      <c r="H25" s="646">
        <v>3935.0278763525034</v>
      </c>
      <c r="I25" s="646">
        <v>2370.8098157252539</v>
      </c>
      <c r="J25" s="646">
        <v>0</v>
      </c>
      <c r="K25" s="648">
        <v>6305.8376920777573</v>
      </c>
    </row>
    <row r="26" spans="1:11" ht="18" customHeight="1" x14ac:dyDescent="0.3">
      <c r="A26" s="733" t="s">
        <v>80</v>
      </c>
      <c r="B26" s="742" t="s">
        <v>45</v>
      </c>
      <c r="C26" s="742"/>
      <c r="D26" s="742"/>
      <c r="E26" s="742"/>
      <c r="F26" s="646"/>
      <c r="G26" s="646"/>
      <c r="H26" s="646"/>
      <c r="I26" s="646"/>
      <c r="J26" s="646"/>
      <c r="K26" s="648">
        <v>0</v>
      </c>
    </row>
    <row r="27" spans="1:11" ht="18" customHeight="1" x14ac:dyDescent="0.3">
      <c r="A27" s="733" t="s">
        <v>81</v>
      </c>
      <c r="B27" s="742" t="s">
        <v>46</v>
      </c>
      <c r="C27" s="742"/>
      <c r="D27" s="742"/>
      <c r="E27" s="742"/>
      <c r="F27" s="646"/>
      <c r="G27" s="646"/>
      <c r="H27" s="646"/>
      <c r="I27" s="646"/>
      <c r="J27" s="646"/>
      <c r="K27" s="648">
        <v>0</v>
      </c>
    </row>
    <row r="28" spans="1:11" ht="18" customHeight="1" x14ac:dyDescent="0.3">
      <c r="A28" s="733" t="s">
        <v>82</v>
      </c>
      <c r="B28" s="742" t="s">
        <v>47</v>
      </c>
      <c r="C28" s="742"/>
      <c r="D28" s="742"/>
      <c r="E28" s="742"/>
      <c r="F28" s="646"/>
      <c r="G28" s="646"/>
      <c r="H28" s="646"/>
      <c r="I28" s="646"/>
      <c r="J28" s="646"/>
      <c r="K28" s="648">
        <v>0</v>
      </c>
    </row>
    <row r="29" spans="1:11" ht="18" customHeight="1" x14ac:dyDescent="0.3">
      <c r="A29" s="733" t="s">
        <v>83</v>
      </c>
      <c r="B29" s="742" t="s">
        <v>48</v>
      </c>
      <c r="C29" s="742"/>
      <c r="D29" s="742"/>
      <c r="E29" s="742"/>
      <c r="F29" s="646">
        <v>0</v>
      </c>
      <c r="G29" s="646">
        <v>100</v>
      </c>
      <c r="H29" s="646">
        <v>8710</v>
      </c>
      <c r="I29" s="646">
        <v>5247.6765460954857</v>
      </c>
      <c r="J29" s="646">
        <v>0</v>
      </c>
      <c r="K29" s="648">
        <v>13957.676546095485</v>
      </c>
    </row>
    <row r="30" spans="1:11" ht="18" customHeight="1" x14ac:dyDescent="0.3">
      <c r="A30" s="733" t="s">
        <v>84</v>
      </c>
      <c r="B30" s="1351"/>
      <c r="C30" s="1352"/>
      <c r="D30" s="1353"/>
      <c r="E30" s="742"/>
      <c r="F30" s="646"/>
      <c r="G30" s="646"/>
      <c r="H30" s="646"/>
      <c r="I30" s="646"/>
      <c r="J30" s="646"/>
      <c r="K30" s="648">
        <v>0</v>
      </c>
    </row>
    <row r="31" spans="1:11" ht="18" customHeight="1" x14ac:dyDescent="0.3">
      <c r="A31" s="733" t="s">
        <v>133</v>
      </c>
      <c r="B31" s="1351"/>
      <c r="C31" s="1352"/>
      <c r="D31" s="1353"/>
      <c r="E31" s="742"/>
      <c r="F31" s="646"/>
      <c r="G31" s="646"/>
      <c r="H31" s="646"/>
      <c r="I31" s="646"/>
      <c r="J31" s="646"/>
      <c r="K31" s="648">
        <v>0</v>
      </c>
    </row>
    <row r="32" spans="1:11" ht="18" customHeight="1" x14ac:dyDescent="0.3">
      <c r="A32" s="733" t="s">
        <v>134</v>
      </c>
      <c r="B32" s="909"/>
      <c r="C32" s="910"/>
      <c r="D32" s="911"/>
      <c r="E32" s="742"/>
      <c r="F32" s="646"/>
      <c r="G32" s="646"/>
      <c r="H32" s="646"/>
      <c r="I32" s="646"/>
      <c r="J32" s="646"/>
      <c r="K32" s="648">
        <v>0</v>
      </c>
    </row>
    <row r="33" spans="1:11" ht="18" customHeight="1" x14ac:dyDescent="0.3">
      <c r="A33" s="733" t="s">
        <v>135</v>
      </c>
      <c r="B33" s="909"/>
      <c r="C33" s="910"/>
      <c r="D33" s="911"/>
      <c r="E33" s="742"/>
      <c r="F33" s="646"/>
      <c r="G33" s="646"/>
      <c r="H33" s="646"/>
      <c r="I33" s="646"/>
      <c r="J33" s="646"/>
      <c r="K33" s="648">
        <v>0</v>
      </c>
    </row>
    <row r="34" spans="1:11" ht="18" customHeight="1" x14ac:dyDescent="0.3">
      <c r="A34" s="733" t="s">
        <v>136</v>
      </c>
      <c r="B34" s="1351"/>
      <c r="C34" s="1352"/>
      <c r="D34" s="1353"/>
      <c r="E34" s="742"/>
      <c r="F34" s="646"/>
      <c r="G34" s="675"/>
      <c r="H34" s="418"/>
      <c r="I34" s="419">
        <v>0</v>
      </c>
      <c r="J34" s="418"/>
      <c r="K34" s="648">
        <v>0</v>
      </c>
    </row>
    <row r="35" spans="1:11" ht="18" customHeight="1" x14ac:dyDescent="0.25">
      <c r="A35" s="742"/>
      <c r="B35" s="742"/>
      <c r="C35" s="742"/>
      <c r="D35" s="742"/>
      <c r="E35" s="742"/>
      <c r="F35" s="742"/>
      <c r="G35" s="742"/>
      <c r="H35" s="1143"/>
      <c r="I35" s="1143"/>
      <c r="J35" s="1143"/>
      <c r="K35" s="667"/>
    </row>
    <row r="36" spans="1:11" ht="18" customHeight="1" x14ac:dyDescent="0.3">
      <c r="A36" s="639" t="s">
        <v>137</v>
      </c>
      <c r="B36" s="636" t="s">
        <v>138</v>
      </c>
      <c r="C36" s="742"/>
      <c r="D36" s="742"/>
      <c r="E36" s="636" t="s">
        <v>7</v>
      </c>
      <c r="F36" s="650">
        <v>461</v>
      </c>
      <c r="G36" s="650">
        <v>1363</v>
      </c>
      <c r="H36" s="420">
        <v>27650.478509985038</v>
      </c>
      <c r="I36" s="420">
        <v>16659.100753750372</v>
      </c>
      <c r="J36" s="420">
        <v>0</v>
      </c>
      <c r="K36" s="648">
        <v>44309.57926373541</v>
      </c>
    </row>
    <row r="37" spans="1:11" ht="18" customHeight="1" thickBot="1" x14ac:dyDescent="0.35">
      <c r="A37" s="742"/>
      <c r="B37" s="636"/>
      <c r="C37" s="742"/>
      <c r="D37" s="742"/>
      <c r="E37" s="742"/>
      <c r="F37" s="651"/>
      <c r="G37" s="651"/>
      <c r="H37" s="421"/>
      <c r="I37" s="421"/>
      <c r="J37" s="421"/>
      <c r="K37" s="668"/>
    </row>
    <row r="38" spans="1:11" ht="42.75" customHeight="1" x14ac:dyDescent="0.3">
      <c r="A38" s="742"/>
      <c r="B38" s="742"/>
      <c r="C38" s="742"/>
      <c r="D38" s="742"/>
      <c r="E38" s="742"/>
      <c r="F38" s="641" t="s">
        <v>9</v>
      </c>
      <c r="G38" s="641" t="s">
        <v>37</v>
      </c>
      <c r="H38" s="417" t="s">
        <v>29</v>
      </c>
      <c r="I38" s="417" t="s">
        <v>30</v>
      </c>
      <c r="J38" s="417" t="s">
        <v>33</v>
      </c>
      <c r="K38" s="641" t="s">
        <v>34</v>
      </c>
    </row>
    <row r="39" spans="1:11" ht="18.75" customHeight="1" x14ac:dyDescent="0.3">
      <c r="A39" s="639" t="s">
        <v>86</v>
      </c>
      <c r="B39" s="636" t="s">
        <v>49</v>
      </c>
      <c r="C39" s="742"/>
      <c r="D39" s="742"/>
      <c r="E39" s="742"/>
      <c r="F39" s="742"/>
      <c r="G39" s="742"/>
      <c r="H39" s="1143"/>
      <c r="I39" s="1143"/>
      <c r="J39" s="1143"/>
      <c r="K39" s="742"/>
    </row>
    <row r="40" spans="1:11" ht="18" customHeight="1" x14ac:dyDescent="0.3">
      <c r="A40" s="733" t="s">
        <v>87</v>
      </c>
      <c r="B40" s="742" t="s">
        <v>31</v>
      </c>
      <c r="C40" s="742"/>
      <c r="D40" s="742"/>
      <c r="E40" s="742"/>
      <c r="F40" s="646"/>
      <c r="G40" s="646"/>
      <c r="H40" s="418"/>
      <c r="I40" s="419"/>
      <c r="J40" s="418"/>
      <c r="K40" s="648">
        <v>0</v>
      </c>
    </row>
    <row r="41" spans="1:11" ht="18" customHeight="1" x14ac:dyDescent="0.3">
      <c r="A41" s="733" t="s">
        <v>88</v>
      </c>
      <c r="B41" s="1359" t="s">
        <v>50</v>
      </c>
      <c r="C41" s="1359"/>
      <c r="D41" s="742"/>
      <c r="E41" s="742"/>
      <c r="F41" s="646"/>
      <c r="G41" s="646"/>
      <c r="H41" s="418"/>
      <c r="I41" s="419"/>
      <c r="J41" s="418"/>
      <c r="K41" s="648">
        <v>0</v>
      </c>
    </row>
    <row r="42" spans="1:11" ht="18" customHeight="1" x14ac:dyDescent="0.3">
      <c r="A42" s="733" t="s">
        <v>89</v>
      </c>
      <c r="B42" s="635" t="s">
        <v>11</v>
      </c>
      <c r="C42" s="742"/>
      <c r="D42" s="742"/>
      <c r="E42" s="742"/>
      <c r="F42" s="646"/>
      <c r="G42" s="646"/>
      <c r="H42" s="418"/>
      <c r="I42" s="419"/>
      <c r="J42" s="418"/>
      <c r="K42" s="648">
        <v>0</v>
      </c>
    </row>
    <row r="43" spans="1:11" ht="18" customHeight="1" x14ac:dyDescent="0.3">
      <c r="A43" s="733" t="s">
        <v>90</v>
      </c>
      <c r="B43" s="670" t="s">
        <v>10</v>
      </c>
      <c r="C43" s="642"/>
      <c r="D43" s="642"/>
      <c r="E43" s="742"/>
      <c r="F43" s="646"/>
      <c r="G43" s="646"/>
      <c r="H43" s="646"/>
      <c r="I43" s="646"/>
      <c r="J43" s="646"/>
      <c r="K43" s="648">
        <v>0</v>
      </c>
    </row>
    <row r="44" spans="1:11" ht="18" customHeight="1" x14ac:dyDescent="0.3">
      <c r="A44" s="733" t="s">
        <v>91</v>
      </c>
      <c r="B44" s="1351"/>
      <c r="C44" s="1352"/>
      <c r="D44" s="1353"/>
      <c r="E44" s="742"/>
      <c r="F44" s="646"/>
      <c r="G44" s="646"/>
      <c r="H44" s="646"/>
      <c r="I44" s="646"/>
      <c r="J44" s="646"/>
      <c r="K44" s="649">
        <v>0</v>
      </c>
    </row>
    <row r="45" spans="1:11" ht="18" customHeight="1" x14ac:dyDescent="0.3">
      <c r="A45" s="733" t="s">
        <v>139</v>
      </c>
      <c r="B45" s="1351"/>
      <c r="C45" s="1352"/>
      <c r="D45" s="1353"/>
      <c r="E45" s="742"/>
      <c r="F45" s="646"/>
      <c r="G45" s="646"/>
      <c r="H45" s="418"/>
      <c r="I45" s="419"/>
      <c r="J45" s="418"/>
      <c r="K45" s="648">
        <v>0</v>
      </c>
    </row>
    <row r="46" spans="1:11" ht="18" customHeight="1" x14ac:dyDescent="0.3">
      <c r="A46" s="733" t="s">
        <v>140</v>
      </c>
      <c r="B46" s="1351"/>
      <c r="C46" s="1352"/>
      <c r="D46" s="1353"/>
      <c r="E46" s="742"/>
      <c r="F46" s="646"/>
      <c r="G46" s="646"/>
      <c r="H46" s="418"/>
      <c r="I46" s="419"/>
      <c r="J46" s="418"/>
      <c r="K46" s="648">
        <v>0</v>
      </c>
    </row>
    <row r="47" spans="1:11" ht="18" customHeight="1" x14ac:dyDescent="0.3">
      <c r="A47" s="733" t="s">
        <v>141</v>
      </c>
      <c r="B47" s="1351"/>
      <c r="C47" s="1352"/>
      <c r="D47" s="1353"/>
      <c r="E47" s="742"/>
      <c r="F47" s="646"/>
      <c r="G47" s="646"/>
      <c r="H47" s="418"/>
      <c r="I47" s="419"/>
      <c r="J47" s="418"/>
      <c r="K47" s="648">
        <v>0</v>
      </c>
    </row>
    <row r="48" spans="1:11" ht="18" customHeight="1" x14ac:dyDescent="0.25">
      <c r="A48" s="446"/>
      <c r="B48" s="740"/>
      <c r="C48" s="740"/>
      <c r="D48" s="740"/>
      <c r="E48" s="740"/>
      <c r="F48" s="740"/>
      <c r="G48" s="740"/>
      <c r="K48" s="740"/>
    </row>
    <row r="49" spans="1:11" ht="18" customHeight="1" x14ac:dyDescent="0.3">
      <c r="A49" s="639" t="s">
        <v>142</v>
      </c>
      <c r="B49" s="636" t="s">
        <v>143</v>
      </c>
      <c r="C49" s="742"/>
      <c r="D49" s="742"/>
      <c r="E49" s="636" t="s">
        <v>7</v>
      </c>
      <c r="F49" s="654">
        <v>0</v>
      </c>
      <c r="G49" s="654">
        <v>0</v>
      </c>
      <c r="H49" s="420">
        <v>0</v>
      </c>
      <c r="I49" s="420">
        <v>0</v>
      </c>
      <c r="J49" s="420">
        <v>0</v>
      </c>
      <c r="K49" s="648">
        <v>0</v>
      </c>
    </row>
    <row r="50" spans="1:11" ht="18" customHeight="1" thickBot="1" x14ac:dyDescent="0.3">
      <c r="A50" s="742"/>
      <c r="B50" s="742"/>
      <c r="C50" s="742"/>
      <c r="D50" s="742"/>
      <c r="E50" s="742"/>
      <c r="F50" s="742"/>
      <c r="G50" s="655"/>
      <c r="H50" s="422"/>
      <c r="I50" s="422"/>
      <c r="J50" s="422"/>
      <c r="K50" s="655"/>
    </row>
    <row r="51" spans="1:11" ht="42.75" customHeight="1" x14ac:dyDescent="0.3">
      <c r="A51" s="742"/>
      <c r="B51" s="742"/>
      <c r="C51" s="742"/>
      <c r="D51" s="742"/>
      <c r="E51" s="742"/>
      <c r="F51" s="641" t="s">
        <v>9</v>
      </c>
      <c r="G51" s="641" t="s">
        <v>37</v>
      </c>
      <c r="H51" s="417" t="s">
        <v>29</v>
      </c>
      <c r="I51" s="417" t="s">
        <v>30</v>
      </c>
      <c r="J51" s="417" t="s">
        <v>33</v>
      </c>
      <c r="K51" s="641" t="s">
        <v>34</v>
      </c>
    </row>
    <row r="52" spans="1:11" ht="18" customHeight="1" x14ac:dyDescent="0.3">
      <c r="A52" s="639" t="s">
        <v>92</v>
      </c>
      <c r="B52" s="1358" t="s">
        <v>38</v>
      </c>
      <c r="C52" s="1358"/>
      <c r="D52" s="742"/>
      <c r="E52" s="742"/>
      <c r="F52" s="742"/>
      <c r="G52" s="742"/>
      <c r="H52" s="1143"/>
      <c r="I52" s="1143"/>
      <c r="J52" s="1143"/>
      <c r="K52" s="742"/>
    </row>
    <row r="53" spans="1:11" ht="18" customHeight="1" x14ac:dyDescent="0.3">
      <c r="A53" s="733" t="s">
        <v>51</v>
      </c>
      <c r="B53" s="928" t="s">
        <v>790</v>
      </c>
      <c r="C53" s="913"/>
      <c r="D53" s="914"/>
      <c r="E53" s="742"/>
      <c r="F53" s="646">
        <v>3412</v>
      </c>
      <c r="G53" s="646">
        <v>319</v>
      </c>
      <c r="H53" s="1144">
        <v>163517.56601398916</v>
      </c>
      <c r="I53" s="646">
        <v>98517.48519474527</v>
      </c>
      <c r="J53" s="646">
        <v>0</v>
      </c>
      <c r="K53" s="648">
        <v>262035.05120873443</v>
      </c>
    </row>
    <row r="54" spans="1:11" ht="18" customHeight="1" x14ac:dyDescent="0.3">
      <c r="A54" s="733" t="s">
        <v>93</v>
      </c>
      <c r="B54" s="912" t="s">
        <v>440</v>
      </c>
      <c r="C54" s="913"/>
      <c r="D54" s="914"/>
      <c r="E54" s="742"/>
      <c r="F54" s="646"/>
      <c r="G54" s="646"/>
      <c r="H54" s="418">
        <v>1094297</v>
      </c>
      <c r="I54" s="419">
        <v>659301.57306115411</v>
      </c>
      <c r="J54" s="418"/>
      <c r="K54" s="648">
        <v>1753598.5730611542</v>
      </c>
    </row>
    <row r="55" spans="1:11" ht="18" customHeight="1" x14ac:dyDescent="0.3">
      <c r="A55" s="733" t="s">
        <v>94</v>
      </c>
      <c r="B55" s="912" t="s">
        <v>441</v>
      </c>
      <c r="C55" s="913"/>
      <c r="D55" s="914"/>
      <c r="E55" s="742"/>
      <c r="F55" s="646">
        <v>10950</v>
      </c>
      <c r="G55" s="646">
        <v>14297</v>
      </c>
      <c r="H55" s="418">
        <v>2920317</v>
      </c>
      <c r="I55" s="419">
        <v>1759457.9825561345</v>
      </c>
      <c r="J55" s="418">
        <v>1803637</v>
      </c>
      <c r="K55" s="648">
        <v>2876137.9825561345</v>
      </c>
    </row>
    <row r="56" spans="1:11" ht="18" customHeight="1" x14ac:dyDescent="0.3">
      <c r="A56" s="733" t="s">
        <v>95</v>
      </c>
      <c r="B56" s="928" t="s">
        <v>442</v>
      </c>
      <c r="C56" s="913"/>
      <c r="D56" s="914"/>
      <c r="E56" s="742"/>
      <c r="F56" s="646"/>
      <c r="G56" s="646"/>
      <c r="H56" s="418">
        <v>335250</v>
      </c>
      <c r="I56" s="419">
        <v>201984.33548547779</v>
      </c>
      <c r="J56" s="418"/>
      <c r="K56" s="648">
        <v>537234.33548547782</v>
      </c>
    </row>
    <row r="57" spans="1:11" ht="18" customHeight="1" x14ac:dyDescent="0.3">
      <c r="A57" s="733" t="s">
        <v>96</v>
      </c>
      <c r="B57" s="1351"/>
      <c r="C57" s="1352"/>
      <c r="D57" s="1353"/>
      <c r="E57" s="742"/>
      <c r="F57" s="646"/>
      <c r="G57" s="646"/>
      <c r="H57" s="418"/>
      <c r="I57" s="419">
        <v>0</v>
      </c>
      <c r="J57" s="418"/>
      <c r="K57" s="648">
        <v>0</v>
      </c>
    </row>
    <row r="58" spans="1:11" ht="18" customHeight="1" x14ac:dyDescent="0.3">
      <c r="A58" s="733" t="s">
        <v>97</v>
      </c>
      <c r="B58" s="1455" t="s">
        <v>630</v>
      </c>
      <c r="C58" s="1456"/>
      <c r="D58" s="1457"/>
      <c r="E58" s="742"/>
      <c r="F58" s="646"/>
      <c r="G58" s="646"/>
      <c r="H58" s="418">
        <v>139115.03000000003</v>
      </c>
      <c r="I58" s="419"/>
      <c r="J58" s="418"/>
      <c r="K58" s="648">
        <v>139115.03000000003</v>
      </c>
    </row>
    <row r="59" spans="1:11" ht="18" customHeight="1" x14ac:dyDescent="0.3">
      <c r="A59" s="733" t="s">
        <v>98</v>
      </c>
      <c r="B59" s="1455" t="s">
        <v>631</v>
      </c>
      <c r="C59" s="1456"/>
      <c r="D59" s="1457"/>
      <c r="E59" s="742"/>
      <c r="F59" s="646"/>
      <c r="G59" s="646"/>
      <c r="H59" s="1144">
        <v>66547.649999999907</v>
      </c>
      <c r="I59" s="419"/>
      <c r="J59" s="646"/>
      <c r="K59" s="648">
        <v>66547.649999999907</v>
      </c>
    </row>
    <row r="60" spans="1:11" ht="18" customHeight="1" x14ac:dyDescent="0.3">
      <c r="A60" s="733" t="s">
        <v>99</v>
      </c>
      <c r="B60" s="928" t="s">
        <v>443</v>
      </c>
      <c r="C60" s="913"/>
      <c r="D60" s="914"/>
      <c r="E60" s="742"/>
      <c r="F60" s="646">
        <v>1682.8363636363636</v>
      </c>
      <c r="G60" s="646">
        <v>1558</v>
      </c>
      <c r="H60" s="1144">
        <v>1018116</v>
      </c>
      <c r="I60" s="419">
        <v>613403.38167675678</v>
      </c>
      <c r="J60" s="418"/>
      <c r="K60" s="648">
        <v>1631519.3816767568</v>
      </c>
    </row>
    <row r="61" spans="1:11" ht="18" customHeight="1" x14ac:dyDescent="0.3">
      <c r="A61" s="733" t="s">
        <v>100</v>
      </c>
      <c r="B61" s="1455"/>
      <c r="C61" s="1456"/>
      <c r="D61" s="1457"/>
      <c r="E61" s="742"/>
      <c r="F61" s="646"/>
      <c r="G61" s="646"/>
      <c r="H61" s="418"/>
      <c r="I61" s="419">
        <v>0</v>
      </c>
      <c r="J61" s="418"/>
      <c r="K61" s="648">
        <v>0</v>
      </c>
    </row>
    <row r="62" spans="1:11" ht="18" customHeight="1" x14ac:dyDescent="0.3">
      <c r="A62" s="733" t="s">
        <v>101</v>
      </c>
      <c r="B62" s="1455"/>
      <c r="C62" s="1456"/>
      <c r="D62" s="1457"/>
      <c r="E62" s="742"/>
      <c r="F62" s="646"/>
      <c r="G62" s="646"/>
      <c r="H62" s="646"/>
      <c r="I62" s="419">
        <v>0</v>
      </c>
      <c r="J62" s="646"/>
      <c r="K62" s="648">
        <v>0</v>
      </c>
    </row>
    <row r="63" spans="1:11" ht="18" customHeight="1" x14ac:dyDescent="0.3">
      <c r="A63" s="733"/>
      <c r="B63" s="742"/>
      <c r="C63" s="742"/>
      <c r="D63" s="742"/>
      <c r="E63" s="742"/>
      <c r="F63" s="742"/>
      <c r="G63" s="742"/>
      <c r="H63" s="1143"/>
      <c r="I63" s="423"/>
      <c r="J63" s="1143"/>
      <c r="K63" s="742"/>
    </row>
    <row r="64" spans="1:11" ht="18" customHeight="1" x14ac:dyDescent="0.3">
      <c r="A64" s="733" t="s">
        <v>144</v>
      </c>
      <c r="B64" s="636" t="s">
        <v>145</v>
      </c>
      <c r="C64" s="742"/>
      <c r="D64" s="742"/>
      <c r="E64" s="636" t="s">
        <v>7</v>
      </c>
      <c r="F64" s="650">
        <v>16044.836363636363</v>
      </c>
      <c r="G64" s="650">
        <v>16174</v>
      </c>
      <c r="H64" s="420">
        <v>5737160.2460139897</v>
      </c>
      <c r="I64" s="420">
        <v>3332664.7579742684</v>
      </c>
      <c r="J64" s="420">
        <v>1803637</v>
      </c>
      <c r="K64" s="648">
        <v>7266188.0039882576</v>
      </c>
    </row>
    <row r="65" spans="1:11" ht="18" customHeight="1" x14ac:dyDescent="0.25">
      <c r="A65" s="742"/>
      <c r="B65" s="742"/>
      <c r="C65" s="742"/>
      <c r="D65" s="742"/>
      <c r="E65" s="742"/>
      <c r="F65" s="671"/>
      <c r="G65" s="671"/>
      <c r="H65" s="424"/>
      <c r="I65" s="424"/>
      <c r="J65" s="424"/>
      <c r="K65" s="671"/>
    </row>
    <row r="66" spans="1:11" ht="42.75" customHeight="1" x14ac:dyDescent="0.3">
      <c r="A66" s="742"/>
      <c r="B66" s="742"/>
      <c r="C66" s="742"/>
      <c r="D66" s="742"/>
      <c r="E66" s="742"/>
      <c r="F66" s="680" t="s">
        <v>9</v>
      </c>
      <c r="G66" s="680" t="s">
        <v>37</v>
      </c>
      <c r="H66" s="425" t="s">
        <v>29</v>
      </c>
      <c r="I66" s="425" t="s">
        <v>30</v>
      </c>
      <c r="J66" s="425" t="s">
        <v>33</v>
      </c>
      <c r="K66" s="680" t="s">
        <v>34</v>
      </c>
    </row>
    <row r="67" spans="1:11" ht="18" customHeight="1" x14ac:dyDescent="0.3">
      <c r="A67" s="639" t="s">
        <v>102</v>
      </c>
      <c r="B67" s="636" t="s">
        <v>12</v>
      </c>
      <c r="C67" s="742"/>
      <c r="D67" s="742"/>
      <c r="E67" s="742"/>
      <c r="F67" s="681"/>
      <c r="G67" s="681"/>
      <c r="H67" s="426"/>
      <c r="I67" s="427"/>
      <c r="J67" s="426"/>
      <c r="K67" s="683"/>
    </row>
    <row r="68" spans="1:11" ht="18" customHeight="1" x14ac:dyDescent="0.3">
      <c r="A68" s="733" t="s">
        <v>103</v>
      </c>
      <c r="B68" s="742" t="s">
        <v>52</v>
      </c>
      <c r="C68" s="742"/>
      <c r="D68" s="742"/>
      <c r="E68" s="742"/>
      <c r="F68" s="674"/>
      <c r="G68" s="674"/>
      <c r="H68" s="418"/>
      <c r="I68" s="419">
        <v>0</v>
      </c>
      <c r="J68" s="418"/>
      <c r="K68" s="648">
        <v>0</v>
      </c>
    </row>
    <row r="69" spans="1:11" ht="18" customHeight="1" x14ac:dyDescent="0.3">
      <c r="A69" s="733" t="s">
        <v>104</v>
      </c>
      <c r="B69" s="635" t="s">
        <v>53</v>
      </c>
      <c r="C69" s="742"/>
      <c r="D69" s="742"/>
      <c r="E69" s="742"/>
      <c r="F69" s="674"/>
      <c r="G69" s="674"/>
      <c r="H69" s="418"/>
      <c r="I69" s="419">
        <v>0</v>
      </c>
      <c r="J69" s="418"/>
      <c r="K69" s="648">
        <v>0</v>
      </c>
    </row>
    <row r="70" spans="1:11" ht="18" customHeight="1" x14ac:dyDescent="0.3">
      <c r="A70" s="733" t="s">
        <v>178</v>
      </c>
      <c r="B70" s="912"/>
      <c r="C70" s="913"/>
      <c r="D70" s="914"/>
      <c r="E70" s="636"/>
      <c r="F70" s="658"/>
      <c r="G70" s="658"/>
      <c r="H70" s="428"/>
      <c r="I70" s="419">
        <v>0</v>
      </c>
      <c r="J70" s="428"/>
      <c r="K70" s="648">
        <v>0</v>
      </c>
    </row>
    <row r="71" spans="1:11" ht="18" customHeight="1" x14ac:dyDescent="0.3">
      <c r="A71" s="733" t="s">
        <v>179</v>
      </c>
      <c r="B71" s="912"/>
      <c r="C71" s="913"/>
      <c r="D71" s="914"/>
      <c r="E71" s="636"/>
      <c r="F71" s="658"/>
      <c r="G71" s="658"/>
      <c r="H71" s="428"/>
      <c r="I71" s="419">
        <v>0</v>
      </c>
      <c r="J71" s="428"/>
      <c r="K71" s="648">
        <v>0</v>
      </c>
    </row>
    <row r="72" spans="1:11" ht="18" customHeight="1" x14ac:dyDescent="0.3">
      <c r="A72" s="733" t="s">
        <v>180</v>
      </c>
      <c r="B72" s="930"/>
      <c r="C72" s="929"/>
      <c r="D72" s="657"/>
      <c r="E72" s="636"/>
      <c r="F72" s="646"/>
      <c r="G72" s="646"/>
      <c r="H72" s="418"/>
      <c r="I72" s="419">
        <v>0</v>
      </c>
      <c r="J72" s="418"/>
      <c r="K72" s="648">
        <v>0</v>
      </c>
    </row>
    <row r="73" spans="1:11" ht="18" customHeight="1" x14ac:dyDescent="0.3">
      <c r="A73" s="733"/>
      <c r="B73" s="635"/>
      <c r="C73" s="742"/>
      <c r="D73" s="742"/>
      <c r="E73" s="636"/>
      <c r="F73" s="684"/>
      <c r="G73" s="684"/>
      <c r="H73" s="429"/>
      <c r="I73" s="427"/>
      <c r="J73" s="429"/>
      <c r="K73" s="683"/>
    </row>
    <row r="74" spans="1:11" ht="18" customHeight="1" x14ac:dyDescent="0.3">
      <c r="A74" s="639" t="s">
        <v>146</v>
      </c>
      <c r="B74" s="636" t="s">
        <v>147</v>
      </c>
      <c r="C74" s="742"/>
      <c r="D74" s="742"/>
      <c r="E74" s="636" t="s">
        <v>7</v>
      </c>
      <c r="F74" s="653">
        <v>0</v>
      </c>
      <c r="G74" s="653">
        <v>0</v>
      </c>
      <c r="H74" s="430">
        <v>0</v>
      </c>
      <c r="I74" s="431">
        <v>0</v>
      </c>
      <c r="J74" s="430">
        <v>0</v>
      </c>
      <c r="K74" s="649">
        <v>0</v>
      </c>
    </row>
    <row r="75" spans="1:11" ht="42.75" customHeight="1" x14ac:dyDescent="0.3">
      <c r="A75" s="742"/>
      <c r="B75" s="742"/>
      <c r="C75" s="742"/>
      <c r="D75" s="742"/>
      <c r="E75" s="742"/>
      <c r="F75" s="641" t="s">
        <v>9</v>
      </c>
      <c r="G75" s="641" t="s">
        <v>37</v>
      </c>
      <c r="H75" s="417" t="s">
        <v>29</v>
      </c>
      <c r="I75" s="417" t="s">
        <v>30</v>
      </c>
      <c r="J75" s="417" t="s">
        <v>33</v>
      </c>
      <c r="K75" s="641" t="s">
        <v>34</v>
      </c>
    </row>
    <row r="76" spans="1:11" ht="18" customHeight="1" x14ac:dyDescent="0.3">
      <c r="A76" s="639" t="s">
        <v>105</v>
      </c>
      <c r="B76" s="636" t="s">
        <v>106</v>
      </c>
      <c r="C76" s="742"/>
      <c r="D76" s="742"/>
      <c r="E76" s="742"/>
      <c r="F76" s="742"/>
      <c r="G76" s="742"/>
      <c r="H76" s="1143"/>
      <c r="I76" s="1143"/>
      <c r="J76" s="1143"/>
      <c r="K76" s="742"/>
    </row>
    <row r="77" spans="1:11" ht="18" customHeight="1" x14ac:dyDescent="0.3">
      <c r="A77" s="733" t="s">
        <v>107</v>
      </c>
      <c r="B77" s="635" t="s">
        <v>54</v>
      </c>
      <c r="C77" s="742"/>
      <c r="D77" s="742"/>
      <c r="E77" s="742"/>
      <c r="F77" s="646">
        <v>0</v>
      </c>
      <c r="G77" s="646">
        <v>0</v>
      </c>
      <c r="H77" s="646">
        <v>5000</v>
      </c>
      <c r="I77" s="646">
        <v>3012.4434822591766</v>
      </c>
      <c r="J77" s="646">
        <v>0</v>
      </c>
      <c r="K77" s="648">
        <v>8012.4434822591766</v>
      </c>
    </row>
    <row r="78" spans="1:11" ht="18" customHeight="1" x14ac:dyDescent="0.3">
      <c r="A78" s="733" t="s">
        <v>108</v>
      </c>
      <c r="B78" s="635" t="s">
        <v>55</v>
      </c>
      <c r="C78" s="742"/>
      <c r="D78" s="742"/>
      <c r="E78" s="742"/>
      <c r="F78" s="646">
        <v>0</v>
      </c>
      <c r="G78" s="646">
        <v>0</v>
      </c>
      <c r="H78" s="646">
        <v>0</v>
      </c>
      <c r="I78" s="646">
        <v>0</v>
      </c>
      <c r="J78" s="646">
        <v>0</v>
      </c>
      <c r="K78" s="648">
        <v>0</v>
      </c>
    </row>
    <row r="79" spans="1:11" ht="18" customHeight="1" x14ac:dyDescent="0.3">
      <c r="A79" s="733" t="s">
        <v>109</v>
      </c>
      <c r="B79" s="635" t="s">
        <v>13</v>
      </c>
      <c r="C79" s="742"/>
      <c r="D79" s="742"/>
      <c r="E79" s="742"/>
      <c r="F79" s="646">
        <v>52</v>
      </c>
      <c r="G79" s="646">
        <v>1000</v>
      </c>
      <c r="H79" s="646">
        <v>39072.214495703302</v>
      </c>
      <c r="I79" s="646">
        <v>23540.567579002785</v>
      </c>
      <c r="J79" s="646">
        <v>0</v>
      </c>
      <c r="K79" s="648">
        <v>62612.78207470609</v>
      </c>
    </row>
    <row r="80" spans="1:11" ht="18" customHeight="1" x14ac:dyDescent="0.3">
      <c r="A80" s="733" t="s">
        <v>110</v>
      </c>
      <c r="B80" s="635" t="s">
        <v>56</v>
      </c>
      <c r="C80" s="742"/>
      <c r="D80" s="742"/>
      <c r="E80" s="742"/>
      <c r="F80" s="646"/>
      <c r="G80" s="646"/>
      <c r="H80" s="418"/>
      <c r="I80" s="419">
        <v>0</v>
      </c>
      <c r="J80" s="418"/>
      <c r="K80" s="648">
        <v>0</v>
      </c>
    </row>
    <row r="81" spans="1:11" ht="18" customHeight="1" x14ac:dyDescent="0.3">
      <c r="A81" s="733"/>
      <c r="B81" s="742"/>
      <c r="C81" s="742"/>
      <c r="D81" s="742"/>
      <c r="E81" s="742"/>
      <c r="F81" s="742"/>
      <c r="G81" s="742"/>
      <c r="H81" s="1143"/>
      <c r="I81" s="1143"/>
      <c r="J81" s="1143"/>
      <c r="K81" s="663"/>
    </row>
    <row r="82" spans="1:11" ht="18" customHeight="1" x14ac:dyDescent="0.3">
      <c r="A82" s="733" t="s">
        <v>148</v>
      </c>
      <c r="B82" s="636" t="s">
        <v>149</v>
      </c>
      <c r="C82" s="742"/>
      <c r="D82" s="742"/>
      <c r="E82" s="636" t="s">
        <v>7</v>
      </c>
      <c r="F82" s="653">
        <v>52</v>
      </c>
      <c r="G82" s="653">
        <v>1000</v>
      </c>
      <c r="H82" s="430">
        <v>44072.214495703302</v>
      </c>
      <c r="I82" s="430">
        <v>26553.011061261961</v>
      </c>
      <c r="J82" s="430">
        <v>0</v>
      </c>
      <c r="K82" s="649">
        <v>70625.225556965263</v>
      </c>
    </row>
    <row r="83" spans="1:11" ht="18" customHeight="1" thickBot="1" x14ac:dyDescent="0.35">
      <c r="A83" s="733"/>
      <c r="B83" s="742"/>
      <c r="C83" s="742"/>
      <c r="D83" s="742"/>
      <c r="E83" s="742"/>
      <c r="F83" s="655"/>
      <c r="G83" s="655"/>
      <c r="H83" s="422"/>
      <c r="I83" s="422"/>
      <c r="J83" s="422"/>
      <c r="K83" s="655"/>
    </row>
    <row r="84" spans="1:11" ht="42.75" customHeight="1" x14ac:dyDescent="0.3">
      <c r="A84" s="742"/>
      <c r="B84" s="742"/>
      <c r="C84" s="742"/>
      <c r="D84" s="742"/>
      <c r="E84" s="742"/>
      <c r="F84" s="641" t="s">
        <v>9</v>
      </c>
      <c r="G84" s="641" t="s">
        <v>37</v>
      </c>
      <c r="H84" s="417" t="s">
        <v>29</v>
      </c>
      <c r="I84" s="417" t="s">
        <v>30</v>
      </c>
      <c r="J84" s="417" t="s">
        <v>33</v>
      </c>
      <c r="K84" s="641" t="s">
        <v>34</v>
      </c>
    </row>
    <row r="85" spans="1:11" ht="18" customHeight="1" x14ac:dyDescent="0.3">
      <c r="A85" s="639" t="s">
        <v>111</v>
      </c>
      <c r="B85" s="636" t="s">
        <v>57</v>
      </c>
      <c r="C85" s="742"/>
      <c r="D85" s="742"/>
      <c r="E85" s="742"/>
      <c r="F85" s="742"/>
      <c r="G85" s="742"/>
      <c r="H85" s="1143"/>
      <c r="I85" s="1143"/>
      <c r="J85" s="1143"/>
      <c r="K85" s="742"/>
    </row>
    <row r="86" spans="1:11" ht="18" customHeight="1" x14ac:dyDescent="0.3">
      <c r="A86" s="733" t="s">
        <v>112</v>
      </c>
      <c r="B86" s="635" t="s">
        <v>113</v>
      </c>
      <c r="C86" s="742"/>
      <c r="D86" s="742"/>
      <c r="E86" s="742"/>
      <c r="F86" s="646"/>
      <c r="G86" s="646"/>
      <c r="H86" s="418"/>
      <c r="I86" s="419"/>
      <c r="J86" s="418"/>
      <c r="K86" s="648">
        <v>0</v>
      </c>
    </row>
    <row r="87" spans="1:11" ht="18" customHeight="1" x14ac:dyDescent="0.3">
      <c r="A87" s="733" t="s">
        <v>114</v>
      </c>
      <c r="B87" s="635" t="s">
        <v>14</v>
      </c>
      <c r="C87" s="742"/>
      <c r="D87" s="742"/>
      <c r="E87" s="742"/>
      <c r="F87" s="646">
        <v>24</v>
      </c>
      <c r="G87" s="646">
        <v>0</v>
      </c>
      <c r="H87" s="646">
        <v>2889.4066903246007</v>
      </c>
      <c r="I87" s="646">
        <v>1740.8348703728805</v>
      </c>
      <c r="J87" s="646">
        <v>0</v>
      </c>
      <c r="K87" s="648">
        <v>4630.241560697481</v>
      </c>
    </row>
    <row r="88" spans="1:11" ht="18" customHeight="1" x14ac:dyDescent="0.3">
      <c r="A88" s="733" t="s">
        <v>115</v>
      </c>
      <c r="B88" s="635" t="s">
        <v>116</v>
      </c>
      <c r="C88" s="742"/>
      <c r="D88" s="742"/>
      <c r="E88" s="742"/>
      <c r="F88" s="646">
        <v>128</v>
      </c>
      <c r="G88" s="646">
        <v>0</v>
      </c>
      <c r="H88" s="646">
        <v>5036.8356817312042</v>
      </c>
      <c r="I88" s="646">
        <v>3034.6365641283246</v>
      </c>
      <c r="J88" s="646">
        <v>0</v>
      </c>
      <c r="K88" s="648">
        <v>8071.4722458595288</v>
      </c>
    </row>
    <row r="89" spans="1:11" ht="18" customHeight="1" x14ac:dyDescent="0.3">
      <c r="A89" s="733" t="s">
        <v>117</v>
      </c>
      <c r="B89" s="635" t="s">
        <v>58</v>
      </c>
      <c r="C89" s="742"/>
      <c r="D89" s="742"/>
      <c r="E89" s="742"/>
      <c r="F89" s="646"/>
      <c r="G89" s="646"/>
      <c r="H89" s="646"/>
      <c r="I89" s="646"/>
      <c r="J89" s="646"/>
      <c r="K89" s="648">
        <v>0</v>
      </c>
    </row>
    <row r="90" spans="1:11" ht="18" customHeight="1" x14ac:dyDescent="0.3">
      <c r="A90" s="733" t="s">
        <v>118</v>
      </c>
      <c r="B90" s="1359" t="s">
        <v>59</v>
      </c>
      <c r="C90" s="1359"/>
      <c r="D90" s="742"/>
      <c r="E90" s="742"/>
      <c r="F90" s="646"/>
      <c r="G90" s="646"/>
      <c r="H90" s="646"/>
      <c r="I90" s="646"/>
      <c r="J90" s="646"/>
      <c r="K90" s="648">
        <v>0</v>
      </c>
    </row>
    <row r="91" spans="1:11" ht="18" customHeight="1" x14ac:dyDescent="0.3">
      <c r="A91" s="733" t="s">
        <v>119</v>
      </c>
      <c r="B91" s="635" t="s">
        <v>60</v>
      </c>
      <c r="C91" s="742"/>
      <c r="D91" s="742"/>
      <c r="E91" s="742"/>
      <c r="F91" s="646">
        <v>32</v>
      </c>
      <c r="G91" s="646">
        <v>0</v>
      </c>
      <c r="H91" s="646">
        <v>1259.2089204328011</v>
      </c>
      <c r="I91" s="646">
        <v>758.65914103208115</v>
      </c>
      <c r="J91" s="646">
        <v>0</v>
      </c>
      <c r="K91" s="648">
        <v>2017.8680614648822</v>
      </c>
    </row>
    <row r="92" spans="1:11" ht="18" customHeight="1" x14ac:dyDescent="0.3">
      <c r="A92" s="733" t="s">
        <v>120</v>
      </c>
      <c r="B92" s="635" t="s">
        <v>121</v>
      </c>
      <c r="C92" s="742"/>
      <c r="D92" s="742"/>
      <c r="E92" s="742"/>
      <c r="F92" s="661">
        <v>104</v>
      </c>
      <c r="G92" s="661">
        <v>0</v>
      </c>
      <c r="H92" s="661">
        <v>4092.4289914066035</v>
      </c>
      <c r="I92" s="661">
        <v>2465.6422083542639</v>
      </c>
      <c r="J92" s="661">
        <v>0</v>
      </c>
      <c r="K92" s="648">
        <v>6558.0711997608669</v>
      </c>
    </row>
    <row r="93" spans="1:11" ht="18" customHeight="1" x14ac:dyDescent="0.3">
      <c r="A93" s="733" t="s">
        <v>122</v>
      </c>
      <c r="B93" s="635" t="s">
        <v>123</v>
      </c>
      <c r="C93" s="742"/>
      <c r="D93" s="742"/>
      <c r="E93" s="742"/>
      <c r="F93" s="646">
        <v>0</v>
      </c>
      <c r="G93" s="646">
        <v>0</v>
      </c>
      <c r="H93" s="646">
        <v>0</v>
      </c>
      <c r="I93" s="646">
        <v>0</v>
      </c>
      <c r="J93" s="646">
        <v>0</v>
      </c>
      <c r="K93" s="648">
        <v>0</v>
      </c>
    </row>
    <row r="94" spans="1:11" ht="18" customHeight="1" x14ac:dyDescent="0.3">
      <c r="A94" s="733" t="s">
        <v>124</v>
      </c>
      <c r="B94" s="1354"/>
      <c r="C94" s="1355"/>
      <c r="D94" s="1356"/>
      <c r="E94" s="742"/>
      <c r="F94" s="646"/>
      <c r="G94" s="646"/>
      <c r="H94" s="418"/>
      <c r="I94" s="419"/>
      <c r="J94" s="418"/>
      <c r="K94" s="648">
        <v>0</v>
      </c>
    </row>
    <row r="95" spans="1:11" ht="18" customHeight="1" x14ac:dyDescent="0.3">
      <c r="A95" s="733" t="s">
        <v>125</v>
      </c>
      <c r="B95" s="1354"/>
      <c r="C95" s="1355"/>
      <c r="D95" s="1356"/>
      <c r="E95" s="742"/>
      <c r="F95" s="646"/>
      <c r="G95" s="646"/>
      <c r="H95" s="418"/>
      <c r="I95" s="419"/>
      <c r="J95" s="418"/>
      <c r="K95" s="648">
        <v>0</v>
      </c>
    </row>
    <row r="96" spans="1:11" ht="18" customHeight="1" x14ac:dyDescent="0.3">
      <c r="A96" s="733" t="s">
        <v>126</v>
      </c>
      <c r="B96" s="1354"/>
      <c r="C96" s="1355"/>
      <c r="D96" s="1356"/>
      <c r="E96" s="742"/>
      <c r="F96" s="646"/>
      <c r="G96" s="646"/>
      <c r="H96" s="418"/>
      <c r="I96" s="419"/>
      <c r="J96" s="418"/>
      <c r="K96" s="648">
        <v>0</v>
      </c>
    </row>
    <row r="97" spans="1:11" ht="18" customHeight="1" x14ac:dyDescent="0.3">
      <c r="A97" s="733"/>
      <c r="B97" s="635"/>
      <c r="C97" s="742"/>
      <c r="D97" s="742"/>
      <c r="E97" s="742"/>
      <c r="F97" s="742"/>
      <c r="G97" s="742"/>
      <c r="H97" s="1143"/>
      <c r="I97" s="1143"/>
      <c r="J97" s="1143"/>
      <c r="K97" s="742"/>
    </row>
    <row r="98" spans="1:11" ht="18" customHeight="1" x14ac:dyDescent="0.3">
      <c r="A98" s="639" t="s">
        <v>150</v>
      </c>
      <c r="B98" s="636" t="s">
        <v>151</v>
      </c>
      <c r="C98" s="742"/>
      <c r="D98" s="742"/>
      <c r="E98" s="636" t="s">
        <v>7</v>
      </c>
      <c r="F98" s="650">
        <v>288</v>
      </c>
      <c r="G98" s="650">
        <v>0</v>
      </c>
      <c r="H98" s="420">
        <v>13277.880283895209</v>
      </c>
      <c r="I98" s="420">
        <v>7999.7727838875508</v>
      </c>
      <c r="J98" s="420">
        <v>0</v>
      </c>
      <c r="K98" s="650">
        <v>21277.653067782761</v>
      </c>
    </row>
    <row r="99" spans="1:11" ht="18" customHeight="1" thickBot="1" x14ac:dyDescent="0.35">
      <c r="A99" s="742"/>
      <c r="B99" s="636"/>
      <c r="C99" s="742"/>
      <c r="D99" s="742"/>
      <c r="E99" s="742"/>
      <c r="F99" s="655"/>
      <c r="G99" s="655"/>
      <c r="H99" s="422"/>
      <c r="I99" s="422"/>
      <c r="J99" s="422"/>
      <c r="K99" s="655"/>
    </row>
    <row r="100" spans="1:11" ht="42.75" customHeight="1" x14ac:dyDescent="0.3">
      <c r="A100" s="742"/>
      <c r="B100" s="742"/>
      <c r="C100" s="742"/>
      <c r="D100" s="742"/>
      <c r="E100" s="742"/>
      <c r="F100" s="641" t="s">
        <v>9</v>
      </c>
      <c r="G100" s="641" t="s">
        <v>37</v>
      </c>
      <c r="H100" s="417" t="s">
        <v>29</v>
      </c>
      <c r="I100" s="417" t="s">
        <v>30</v>
      </c>
      <c r="J100" s="417" t="s">
        <v>33</v>
      </c>
      <c r="K100" s="641" t="s">
        <v>34</v>
      </c>
    </row>
    <row r="101" spans="1:11" ht="18" customHeight="1" x14ac:dyDescent="0.3">
      <c r="A101" s="639" t="s">
        <v>130</v>
      </c>
      <c r="B101" s="636" t="s">
        <v>63</v>
      </c>
      <c r="C101" s="742"/>
      <c r="D101" s="742"/>
      <c r="E101" s="742"/>
      <c r="F101" s="742"/>
      <c r="G101" s="742"/>
      <c r="H101" s="1143"/>
      <c r="I101" s="1143"/>
      <c r="J101" s="1143"/>
      <c r="K101" s="742"/>
    </row>
    <row r="102" spans="1:11" ht="18" customHeight="1" x14ac:dyDescent="0.3">
      <c r="A102" s="733" t="s">
        <v>131</v>
      </c>
      <c r="B102" s="635" t="s">
        <v>152</v>
      </c>
      <c r="C102" s="742"/>
      <c r="D102" s="742"/>
      <c r="E102" s="742"/>
      <c r="F102" s="646">
        <v>460</v>
      </c>
      <c r="G102" s="646">
        <v>0</v>
      </c>
      <c r="H102" s="646">
        <v>10231.072478516508</v>
      </c>
      <c r="I102" s="646">
        <v>6164.1055208856587</v>
      </c>
      <c r="J102" s="646">
        <v>0</v>
      </c>
      <c r="K102" s="648">
        <v>16395.177999402167</v>
      </c>
    </row>
    <row r="103" spans="1:11" ht="18" customHeight="1" x14ac:dyDescent="0.3">
      <c r="A103" s="733" t="s">
        <v>132</v>
      </c>
      <c r="B103" s="1357" t="s">
        <v>62</v>
      </c>
      <c r="C103" s="1357"/>
      <c r="D103" s="742"/>
      <c r="E103" s="742"/>
      <c r="F103" s="646">
        <v>600</v>
      </c>
      <c r="G103" s="646">
        <v>0</v>
      </c>
      <c r="H103" s="646">
        <v>23610.16725811502</v>
      </c>
      <c r="I103" s="646">
        <v>14224.858894351522</v>
      </c>
      <c r="J103" s="646">
        <v>0</v>
      </c>
      <c r="K103" s="648">
        <v>37835.02615246654</v>
      </c>
    </row>
    <row r="104" spans="1:11" ht="18" customHeight="1" x14ac:dyDescent="0.3">
      <c r="A104" s="733" t="s">
        <v>128</v>
      </c>
      <c r="B104" s="1354"/>
      <c r="C104" s="1355"/>
      <c r="D104" s="1356"/>
      <c r="E104" s="742"/>
      <c r="F104" s="646"/>
      <c r="G104" s="646"/>
      <c r="H104" s="418"/>
      <c r="I104" s="419"/>
      <c r="J104" s="418"/>
      <c r="K104" s="648">
        <v>0</v>
      </c>
    </row>
    <row r="105" spans="1:11" ht="18" customHeight="1" x14ac:dyDescent="0.3">
      <c r="A105" s="733" t="s">
        <v>127</v>
      </c>
      <c r="B105" s="1354"/>
      <c r="C105" s="1355"/>
      <c r="D105" s="1356"/>
      <c r="E105" s="742"/>
      <c r="F105" s="646"/>
      <c r="G105" s="646"/>
      <c r="H105" s="418"/>
      <c r="I105" s="419"/>
      <c r="J105" s="418"/>
      <c r="K105" s="648">
        <v>0</v>
      </c>
    </row>
    <row r="106" spans="1:11" ht="18" customHeight="1" x14ac:dyDescent="0.3">
      <c r="A106" s="733" t="s">
        <v>129</v>
      </c>
      <c r="B106" s="1354"/>
      <c r="C106" s="1355"/>
      <c r="D106" s="1356"/>
      <c r="E106" s="742"/>
      <c r="F106" s="646"/>
      <c r="G106" s="646"/>
      <c r="H106" s="418"/>
      <c r="I106" s="419"/>
      <c r="J106" s="418"/>
      <c r="K106" s="648">
        <v>0</v>
      </c>
    </row>
    <row r="107" spans="1:11" ht="18" customHeight="1" x14ac:dyDescent="0.3">
      <c r="A107" s="742"/>
      <c r="B107" s="636"/>
      <c r="C107" s="742"/>
      <c r="D107" s="742"/>
      <c r="E107" s="742"/>
      <c r="F107" s="742"/>
      <c r="G107" s="742"/>
      <c r="H107" s="1143"/>
      <c r="I107" s="1143"/>
      <c r="J107" s="1143"/>
      <c r="K107" s="742"/>
    </row>
    <row r="108" spans="1:11" s="29" customFormat="1" ht="18" customHeight="1" x14ac:dyDescent="0.3">
      <c r="A108" s="639" t="s">
        <v>153</v>
      </c>
      <c r="B108" s="686" t="s">
        <v>154</v>
      </c>
      <c r="C108" s="742"/>
      <c r="D108" s="742"/>
      <c r="E108" s="636" t="s">
        <v>7</v>
      </c>
      <c r="F108" s="650">
        <v>1060</v>
      </c>
      <c r="G108" s="650">
        <v>0</v>
      </c>
      <c r="H108" s="420">
        <v>33841.239736631527</v>
      </c>
      <c r="I108" s="420">
        <v>20388.96441523718</v>
      </c>
      <c r="J108" s="420">
        <v>0</v>
      </c>
      <c r="K108" s="648">
        <v>54230.204151868704</v>
      </c>
    </row>
    <row r="109" spans="1:11" s="29" customFormat="1" ht="18" customHeight="1" thickBot="1" x14ac:dyDescent="0.35">
      <c r="A109" s="643"/>
      <c r="B109" s="644"/>
      <c r="C109" s="645"/>
      <c r="D109" s="645"/>
      <c r="E109" s="645"/>
      <c r="F109" s="655"/>
      <c r="G109" s="655"/>
      <c r="H109" s="422"/>
      <c r="I109" s="422"/>
      <c r="J109" s="422"/>
      <c r="K109" s="655"/>
    </row>
    <row r="110" spans="1:11" s="29" customFormat="1" ht="18" customHeight="1" x14ac:dyDescent="0.3">
      <c r="A110" s="639" t="s">
        <v>156</v>
      </c>
      <c r="B110" s="636" t="s">
        <v>39</v>
      </c>
      <c r="C110" s="742"/>
      <c r="D110" s="742"/>
      <c r="E110" s="742"/>
      <c r="F110" s="742"/>
      <c r="G110" s="742"/>
      <c r="H110" s="416"/>
      <c r="I110" s="416"/>
      <c r="J110" s="416"/>
      <c r="K110" s="742"/>
    </row>
    <row r="111" spans="1:11" ht="18" customHeight="1" x14ac:dyDescent="0.3">
      <c r="A111" s="639" t="s">
        <v>155</v>
      </c>
      <c r="B111" s="636" t="s">
        <v>164</v>
      </c>
      <c r="C111" s="742"/>
      <c r="D111" s="742"/>
      <c r="E111" s="636" t="s">
        <v>7</v>
      </c>
      <c r="F111" s="432">
        <v>373000</v>
      </c>
      <c r="G111" s="742"/>
      <c r="H111" s="1143"/>
      <c r="I111" s="1143"/>
      <c r="J111" s="1143"/>
      <c r="K111" s="742"/>
    </row>
    <row r="112" spans="1:11" ht="18" customHeight="1" x14ac:dyDescent="0.3">
      <c r="A112" s="742"/>
      <c r="B112" s="636"/>
      <c r="C112" s="742"/>
      <c r="D112" s="742"/>
      <c r="E112" s="636"/>
      <c r="F112" s="734"/>
      <c r="G112" s="742"/>
      <c r="H112" s="1143"/>
      <c r="I112" s="1143"/>
      <c r="J112" s="1143"/>
      <c r="K112" s="742"/>
    </row>
    <row r="113" spans="1:11" ht="18" customHeight="1" x14ac:dyDescent="0.3">
      <c r="A113" s="639"/>
      <c r="B113" s="636" t="s">
        <v>15</v>
      </c>
      <c r="C113" s="742"/>
      <c r="D113" s="742"/>
      <c r="E113" s="742"/>
      <c r="F113" s="742"/>
      <c r="G113" s="740"/>
      <c r="K113" s="740"/>
    </row>
    <row r="114" spans="1:11" ht="18" customHeight="1" x14ac:dyDescent="0.3">
      <c r="A114" s="733" t="s">
        <v>171</v>
      </c>
      <c r="B114" s="635" t="s">
        <v>35</v>
      </c>
      <c r="C114" s="742"/>
      <c r="D114" s="742"/>
      <c r="E114" s="742"/>
      <c r="F114" s="656">
        <v>0.60248869645183534</v>
      </c>
      <c r="G114" s="740"/>
      <c r="K114" s="740"/>
    </row>
    <row r="115" spans="1:11" ht="18" customHeight="1" x14ac:dyDescent="0.3">
      <c r="A115" s="733"/>
      <c r="B115" s="636"/>
      <c r="C115" s="742"/>
      <c r="D115" s="742"/>
      <c r="E115" s="742"/>
      <c r="F115" s="742"/>
      <c r="G115" s="740"/>
      <c r="K115" s="740"/>
    </row>
    <row r="116" spans="1:11" ht="18" customHeight="1" x14ac:dyDescent="0.3">
      <c r="A116" s="733" t="s">
        <v>170</v>
      </c>
      <c r="B116" s="636" t="s">
        <v>16</v>
      </c>
      <c r="C116" s="742"/>
      <c r="D116" s="742"/>
      <c r="E116" s="742"/>
      <c r="F116" s="742"/>
      <c r="G116" s="740"/>
      <c r="K116" s="740"/>
    </row>
    <row r="117" spans="1:11" ht="18" customHeight="1" x14ac:dyDescent="0.3">
      <c r="A117" s="733" t="s">
        <v>172</v>
      </c>
      <c r="B117" s="635" t="s">
        <v>17</v>
      </c>
      <c r="C117" s="742"/>
      <c r="D117" s="742"/>
      <c r="E117" s="742"/>
      <c r="F117" s="433">
        <v>51811000</v>
      </c>
      <c r="G117" s="740"/>
      <c r="K117" s="740"/>
    </row>
    <row r="118" spans="1:11" ht="18" customHeight="1" x14ac:dyDescent="0.3">
      <c r="A118" s="733" t="s">
        <v>173</v>
      </c>
      <c r="B118" s="742" t="s">
        <v>18</v>
      </c>
      <c r="C118" s="742"/>
      <c r="D118" s="742"/>
      <c r="E118" s="742"/>
      <c r="F118" s="433">
        <v>403000</v>
      </c>
      <c r="G118" s="740"/>
      <c r="K118" s="740"/>
    </row>
    <row r="119" spans="1:11" ht="18" customHeight="1" x14ac:dyDescent="0.3">
      <c r="A119" s="733" t="s">
        <v>174</v>
      </c>
      <c r="B119" s="636" t="s">
        <v>19</v>
      </c>
      <c r="C119" s="742"/>
      <c r="D119" s="742"/>
      <c r="E119" s="742"/>
      <c r="F119" s="434">
        <v>52214000</v>
      </c>
      <c r="G119" s="740"/>
      <c r="K119" s="740"/>
    </row>
    <row r="120" spans="1:11" ht="18" customHeight="1" x14ac:dyDescent="0.3">
      <c r="A120" s="733"/>
      <c r="B120" s="636"/>
      <c r="C120" s="742"/>
      <c r="D120" s="742"/>
      <c r="E120" s="742"/>
      <c r="F120" s="435"/>
      <c r="G120" s="740"/>
      <c r="K120" s="740"/>
    </row>
    <row r="121" spans="1:11" ht="18" customHeight="1" x14ac:dyDescent="0.3">
      <c r="A121" s="733" t="s">
        <v>167</v>
      </c>
      <c r="B121" s="636" t="s">
        <v>36</v>
      </c>
      <c r="C121" s="742"/>
      <c r="D121" s="742"/>
      <c r="E121" s="742"/>
      <c r="F121" s="433">
        <v>46048000</v>
      </c>
      <c r="G121" s="740"/>
      <c r="K121" s="740"/>
    </row>
    <row r="122" spans="1:11" ht="18" customHeight="1" x14ac:dyDescent="0.3">
      <c r="A122" s="733"/>
      <c r="B122" s="742"/>
      <c r="C122" s="742"/>
      <c r="D122" s="742"/>
      <c r="E122" s="742"/>
      <c r="F122" s="435"/>
      <c r="G122" s="740"/>
      <c r="K122" s="740"/>
    </row>
    <row r="123" spans="1:11" ht="18" customHeight="1" x14ac:dyDescent="0.3">
      <c r="A123" s="733" t="s">
        <v>175</v>
      </c>
      <c r="B123" s="636" t="s">
        <v>20</v>
      </c>
      <c r="C123" s="742"/>
      <c r="D123" s="742"/>
      <c r="E123" s="742"/>
      <c r="F123" s="433">
        <v>6166000</v>
      </c>
      <c r="G123" s="740"/>
      <c r="K123" s="740"/>
    </row>
    <row r="124" spans="1:11" ht="18" customHeight="1" x14ac:dyDescent="0.3">
      <c r="A124" s="733"/>
      <c r="B124" s="742"/>
      <c r="C124" s="742"/>
      <c r="D124" s="742"/>
      <c r="E124" s="742"/>
      <c r="F124" s="742"/>
      <c r="G124" s="740"/>
      <c r="K124" s="740"/>
    </row>
    <row r="125" spans="1:11" ht="18" customHeight="1" x14ac:dyDescent="0.3">
      <c r="A125" s="733" t="s">
        <v>176</v>
      </c>
      <c r="B125" s="636" t="s">
        <v>21</v>
      </c>
      <c r="C125" s="742"/>
      <c r="D125" s="742"/>
      <c r="E125" s="742"/>
      <c r="F125" s="433">
        <v>1684000</v>
      </c>
      <c r="G125" s="740"/>
      <c r="K125" s="740"/>
    </row>
    <row r="126" spans="1:11" ht="18" customHeight="1" x14ac:dyDescent="0.3">
      <c r="A126" s="733"/>
      <c r="B126" s="742"/>
      <c r="C126" s="742"/>
      <c r="D126" s="742"/>
      <c r="E126" s="742"/>
      <c r="F126" s="435"/>
      <c r="G126" s="740"/>
      <c r="K126" s="740"/>
    </row>
    <row r="127" spans="1:11" ht="18" customHeight="1" x14ac:dyDescent="0.3">
      <c r="A127" s="733" t="s">
        <v>177</v>
      </c>
      <c r="B127" s="636" t="s">
        <v>22</v>
      </c>
      <c r="C127" s="742"/>
      <c r="D127" s="742"/>
      <c r="E127" s="742"/>
      <c r="F127" s="433">
        <v>7850000</v>
      </c>
      <c r="G127" s="740"/>
      <c r="K127" s="740"/>
    </row>
    <row r="128" spans="1:11" ht="18" customHeight="1" x14ac:dyDescent="0.3">
      <c r="A128" s="733"/>
      <c r="B128" s="742"/>
      <c r="C128" s="742"/>
      <c r="D128" s="742"/>
      <c r="E128" s="742"/>
      <c r="F128" s="742"/>
      <c r="G128" s="740"/>
      <c r="K128" s="740"/>
    </row>
    <row r="129" spans="1:12" ht="42.75" customHeight="1" x14ac:dyDescent="0.3">
      <c r="A129" s="742"/>
      <c r="B129" s="742"/>
      <c r="C129" s="742"/>
      <c r="D129" s="742"/>
      <c r="E129" s="742"/>
      <c r="F129" s="641" t="s">
        <v>9</v>
      </c>
      <c r="G129" s="641" t="s">
        <v>37</v>
      </c>
      <c r="H129" s="417" t="s">
        <v>29</v>
      </c>
      <c r="I129" s="417" t="s">
        <v>30</v>
      </c>
      <c r="J129" s="417" t="s">
        <v>33</v>
      </c>
      <c r="K129" s="641" t="s">
        <v>34</v>
      </c>
    </row>
    <row r="130" spans="1:12" ht="18" customHeight="1" x14ac:dyDescent="0.3">
      <c r="A130" s="639" t="s">
        <v>157</v>
      </c>
      <c r="B130" s="636" t="s">
        <v>23</v>
      </c>
      <c r="C130" s="742"/>
      <c r="D130" s="742"/>
      <c r="E130" s="742"/>
      <c r="F130" s="742"/>
      <c r="G130" s="742"/>
      <c r="H130" s="1143"/>
      <c r="I130" s="1143"/>
      <c r="J130" s="1143"/>
      <c r="K130" s="742"/>
    </row>
    <row r="131" spans="1:12" ht="18" customHeight="1" x14ac:dyDescent="0.3">
      <c r="A131" s="733" t="s">
        <v>158</v>
      </c>
      <c r="B131" s="742" t="s">
        <v>24</v>
      </c>
      <c r="C131" s="742"/>
      <c r="D131" s="742"/>
      <c r="E131" s="742"/>
      <c r="F131" s="646"/>
      <c r="G131" s="646"/>
      <c r="H131" s="418"/>
      <c r="I131" s="419">
        <v>0</v>
      </c>
      <c r="J131" s="418">
        <v>0</v>
      </c>
      <c r="K131" s="648">
        <v>0</v>
      </c>
    </row>
    <row r="132" spans="1:12" ht="18" customHeight="1" x14ac:dyDescent="0.3">
      <c r="A132" s="733" t="s">
        <v>159</v>
      </c>
      <c r="B132" s="742" t="s">
        <v>25</v>
      </c>
      <c r="C132" s="742"/>
      <c r="D132" s="742"/>
      <c r="E132" s="742"/>
      <c r="F132" s="646"/>
      <c r="G132" s="646"/>
      <c r="H132" s="418"/>
      <c r="I132" s="419">
        <v>0</v>
      </c>
      <c r="J132" s="418">
        <v>0</v>
      </c>
      <c r="K132" s="648">
        <v>0</v>
      </c>
    </row>
    <row r="133" spans="1:12" ht="18" customHeight="1" x14ac:dyDescent="0.3">
      <c r="A133" s="733" t="s">
        <v>160</v>
      </c>
      <c r="B133" s="1351"/>
      <c r="C133" s="1352"/>
      <c r="D133" s="1353"/>
      <c r="E133" s="742"/>
      <c r="F133" s="646"/>
      <c r="G133" s="646"/>
      <c r="H133" s="418"/>
      <c r="I133" s="419">
        <v>0</v>
      </c>
      <c r="J133" s="418"/>
      <c r="K133" s="648">
        <v>0</v>
      </c>
    </row>
    <row r="134" spans="1:12" ht="18" customHeight="1" x14ac:dyDescent="0.3">
      <c r="A134" s="733" t="s">
        <v>161</v>
      </c>
      <c r="B134" s="1351"/>
      <c r="C134" s="1352"/>
      <c r="D134" s="1353"/>
      <c r="E134" s="742"/>
      <c r="F134" s="646"/>
      <c r="G134" s="646"/>
      <c r="H134" s="418"/>
      <c r="I134" s="419">
        <v>0</v>
      </c>
      <c r="J134" s="418"/>
      <c r="K134" s="648">
        <v>0</v>
      </c>
    </row>
    <row r="135" spans="1:12" ht="18" customHeight="1" x14ac:dyDescent="0.3">
      <c r="A135" s="733" t="s">
        <v>162</v>
      </c>
      <c r="B135" s="1351"/>
      <c r="C135" s="1352"/>
      <c r="D135" s="1353"/>
      <c r="E135" s="742"/>
      <c r="F135" s="646"/>
      <c r="G135" s="646"/>
      <c r="H135" s="418"/>
      <c r="I135" s="419">
        <v>0</v>
      </c>
      <c r="J135" s="418"/>
      <c r="K135" s="648">
        <v>0</v>
      </c>
    </row>
    <row r="136" spans="1:12" ht="18" customHeight="1" x14ac:dyDescent="0.3">
      <c r="A136" s="639"/>
      <c r="B136" s="742"/>
      <c r="C136" s="742"/>
      <c r="D136" s="742"/>
      <c r="E136" s="742"/>
      <c r="F136" s="742"/>
      <c r="G136" s="742"/>
      <c r="H136" s="1143"/>
      <c r="I136" s="1143"/>
      <c r="J136" s="1143"/>
      <c r="K136" s="742"/>
    </row>
    <row r="137" spans="1:12" ht="18" customHeight="1" x14ac:dyDescent="0.3">
      <c r="A137" s="639" t="s">
        <v>163</v>
      </c>
      <c r="B137" s="636" t="s">
        <v>27</v>
      </c>
      <c r="C137" s="742"/>
      <c r="D137" s="742"/>
      <c r="E137" s="742"/>
      <c r="F137" s="650">
        <v>0</v>
      </c>
      <c r="G137" s="650">
        <v>0</v>
      </c>
      <c r="H137" s="420">
        <v>0</v>
      </c>
      <c r="I137" s="420">
        <v>0</v>
      </c>
      <c r="J137" s="420">
        <v>0</v>
      </c>
      <c r="K137" s="648">
        <v>0</v>
      </c>
    </row>
    <row r="138" spans="1:12" ht="18" customHeight="1" x14ac:dyDescent="0.25">
      <c r="A138" s="742"/>
      <c r="B138" s="742"/>
      <c r="C138" s="742"/>
      <c r="D138" s="742"/>
      <c r="E138" s="742"/>
      <c r="F138" s="742"/>
      <c r="G138" s="742"/>
      <c r="H138" s="1143"/>
      <c r="I138" s="1143"/>
      <c r="J138" s="1143"/>
      <c r="K138" s="742"/>
    </row>
    <row r="139" spans="1:12" ht="42.75" customHeight="1" x14ac:dyDescent="0.3">
      <c r="A139" s="742"/>
      <c r="B139" s="742"/>
      <c r="C139" s="742"/>
      <c r="D139" s="742"/>
      <c r="E139" s="742"/>
      <c r="F139" s="641" t="s">
        <v>9</v>
      </c>
      <c r="G139" s="641" t="s">
        <v>37</v>
      </c>
      <c r="H139" s="417" t="s">
        <v>29</v>
      </c>
      <c r="I139" s="417" t="s">
        <v>30</v>
      </c>
      <c r="J139" s="417" t="s">
        <v>33</v>
      </c>
      <c r="K139" s="641" t="s">
        <v>34</v>
      </c>
    </row>
    <row r="140" spans="1:12" ht="18" customHeight="1" x14ac:dyDescent="0.3">
      <c r="A140" s="639" t="s">
        <v>166</v>
      </c>
      <c r="B140" s="636" t="s">
        <v>26</v>
      </c>
      <c r="C140" s="742"/>
      <c r="D140" s="742"/>
      <c r="E140" s="742"/>
      <c r="F140" s="742"/>
      <c r="G140" s="742"/>
      <c r="H140" s="1143"/>
      <c r="I140" s="1143"/>
      <c r="J140" s="1143"/>
      <c r="K140" s="742"/>
    </row>
    <row r="141" spans="1:12" ht="18" customHeight="1" x14ac:dyDescent="0.3">
      <c r="A141" s="733" t="s">
        <v>137</v>
      </c>
      <c r="B141" s="636" t="s">
        <v>64</v>
      </c>
      <c r="C141" s="742"/>
      <c r="D141" s="742"/>
      <c r="E141" s="742"/>
      <c r="F141" s="664">
        <v>461</v>
      </c>
      <c r="G141" s="664">
        <v>1363</v>
      </c>
      <c r="H141" s="436">
        <v>27650.478509985038</v>
      </c>
      <c r="I141" s="436">
        <v>16659.100753750372</v>
      </c>
      <c r="J141" s="436">
        <v>0</v>
      </c>
      <c r="K141" s="664">
        <v>44309.57926373541</v>
      </c>
      <c r="L141" s="1150"/>
    </row>
    <row r="142" spans="1:12" ht="18" customHeight="1" x14ac:dyDescent="0.3">
      <c r="A142" s="733" t="s">
        <v>142</v>
      </c>
      <c r="B142" s="636" t="s">
        <v>65</v>
      </c>
      <c r="C142" s="742"/>
      <c r="D142" s="742"/>
      <c r="E142" s="742"/>
      <c r="F142" s="664">
        <v>0</v>
      </c>
      <c r="G142" s="664">
        <v>0</v>
      </c>
      <c r="H142" s="436">
        <v>0</v>
      </c>
      <c r="I142" s="436">
        <v>0</v>
      </c>
      <c r="J142" s="436">
        <v>0</v>
      </c>
      <c r="K142" s="664">
        <v>0</v>
      </c>
      <c r="L142" s="1150"/>
    </row>
    <row r="143" spans="1:12" ht="18" customHeight="1" x14ac:dyDescent="0.3">
      <c r="A143" s="733" t="s">
        <v>144</v>
      </c>
      <c r="B143" s="636" t="s">
        <v>66</v>
      </c>
      <c r="C143" s="742"/>
      <c r="D143" s="742"/>
      <c r="E143" s="742"/>
      <c r="F143" s="664">
        <v>16044.836363636363</v>
      </c>
      <c r="G143" s="664">
        <v>16174</v>
      </c>
      <c r="H143" s="436">
        <v>5737160.2460139897</v>
      </c>
      <c r="I143" s="436">
        <v>3332664.7579742684</v>
      </c>
      <c r="J143" s="436">
        <v>1803637</v>
      </c>
      <c r="K143" s="664">
        <v>7266188.0039882576</v>
      </c>
      <c r="L143" s="1150"/>
    </row>
    <row r="144" spans="1:12" ht="18" customHeight="1" x14ac:dyDescent="0.3">
      <c r="A144" s="733" t="s">
        <v>146</v>
      </c>
      <c r="B144" s="636" t="s">
        <v>67</v>
      </c>
      <c r="C144" s="742"/>
      <c r="D144" s="742"/>
      <c r="E144" s="742"/>
      <c r="F144" s="664">
        <v>0</v>
      </c>
      <c r="G144" s="664">
        <v>0</v>
      </c>
      <c r="H144" s="436">
        <v>0</v>
      </c>
      <c r="I144" s="436">
        <v>0</v>
      </c>
      <c r="J144" s="436">
        <v>0</v>
      </c>
      <c r="K144" s="664">
        <v>0</v>
      </c>
      <c r="L144" s="1150"/>
    </row>
    <row r="145" spans="1:12" ht="18" customHeight="1" x14ac:dyDescent="0.3">
      <c r="A145" s="733" t="s">
        <v>148</v>
      </c>
      <c r="B145" s="636" t="s">
        <v>68</v>
      </c>
      <c r="C145" s="742"/>
      <c r="D145" s="742"/>
      <c r="E145" s="742"/>
      <c r="F145" s="664">
        <v>52</v>
      </c>
      <c r="G145" s="664">
        <v>1000</v>
      </c>
      <c r="H145" s="436">
        <v>44072.214495703302</v>
      </c>
      <c r="I145" s="436">
        <v>26553.011061261961</v>
      </c>
      <c r="J145" s="436">
        <v>0</v>
      </c>
      <c r="K145" s="664">
        <v>70625.225556965263</v>
      </c>
      <c r="L145" s="1150"/>
    </row>
    <row r="146" spans="1:12" ht="18" customHeight="1" x14ac:dyDescent="0.3">
      <c r="A146" s="733" t="s">
        <v>150</v>
      </c>
      <c r="B146" s="636" t="s">
        <v>69</v>
      </c>
      <c r="C146" s="742"/>
      <c r="D146" s="742"/>
      <c r="E146" s="742"/>
      <c r="F146" s="664">
        <v>288</v>
      </c>
      <c r="G146" s="664">
        <v>0</v>
      </c>
      <c r="H146" s="436">
        <v>13277.880283895209</v>
      </c>
      <c r="I146" s="436">
        <v>7999.7727838875508</v>
      </c>
      <c r="J146" s="436">
        <v>0</v>
      </c>
      <c r="K146" s="664">
        <v>21277.653067782761</v>
      </c>
      <c r="L146" s="1150"/>
    </row>
    <row r="147" spans="1:12" ht="18" customHeight="1" x14ac:dyDescent="0.3">
      <c r="A147" s="733" t="s">
        <v>153</v>
      </c>
      <c r="B147" s="636" t="s">
        <v>61</v>
      </c>
      <c r="C147" s="742"/>
      <c r="D147" s="742"/>
      <c r="E147" s="742"/>
      <c r="F147" s="650">
        <v>1060</v>
      </c>
      <c r="G147" s="650">
        <v>0</v>
      </c>
      <c r="H147" s="420">
        <v>33841.239736631527</v>
      </c>
      <c r="I147" s="420">
        <v>20388.96441523718</v>
      </c>
      <c r="J147" s="420">
        <v>0</v>
      </c>
      <c r="K147" s="650">
        <v>54230.204151868704</v>
      </c>
      <c r="L147" s="1150"/>
    </row>
    <row r="148" spans="1:12" ht="18" customHeight="1" x14ac:dyDescent="0.3">
      <c r="A148" s="733" t="s">
        <v>155</v>
      </c>
      <c r="B148" s="636" t="s">
        <v>70</v>
      </c>
      <c r="C148" s="742"/>
      <c r="D148" s="742"/>
      <c r="E148" s="742"/>
      <c r="F148" s="665" t="s">
        <v>73</v>
      </c>
      <c r="G148" s="665" t="s">
        <v>73</v>
      </c>
      <c r="H148" s="437" t="s">
        <v>73</v>
      </c>
      <c r="I148" s="437" t="s">
        <v>73</v>
      </c>
      <c r="J148" s="437" t="s">
        <v>73</v>
      </c>
      <c r="K148" s="660">
        <v>373000</v>
      </c>
      <c r="L148" s="1150"/>
    </row>
    <row r="149" spans="1:12" ht="18" customHeight="1" x14ac:dyDescent="0.3">
      <c r="A149" s="733" t="s">
        <v>163</v>
      </c>
      <c r="B149" s="636" t="s">
        <v>71</v>
      </c>
      <c r="C149" s="742"/>
      <c r="D149" s="742"/>
      <c r="E149" s="742"/>
      <c r="F149" s="650">
        <v>0</v>
      </c>
      <c r="G149" s="650">
        <v>0</v>
      </c>
      <c r="H149" s="420">
        <v>0</v>
      </c>
      <c r="I149" s="420">
        <v>0</v>
      </c>
      <c r="J149" s="420">
        <v>0</v>
      </c>
      <c r="K149" s="650">
        <v>0</v>
      </c>
      <c r="L149" s="1150"/>
    </row>
    <row r="150" spans="1:12" ht="18" customHeight="1" x14ac:dyDescent="0.3">
      <c r="A150" s="733" t="s">
        <v>185</v>
      </c>
      <c r="B150" s="636" t="s">
        <v>186</v>
      </c>
      <c r="C150" s="742"/>
      <c r="D150" s="742"/>
      <c r="E150" s="742"/>
      <c r="F150" s="665" t="s">
        <v>73</v>
      </c>
      <c r="G150" s="665" t="s">
        <v>73</v>
      </c>
      <c r="H150" s="420">
        <f>H18</f>
        <v>1097168.5432238989</v>
      </c>
      <c r="I150" s="420">
        <v>0</v>
      </c>
      <c r="J150" s="420">
        <f>J18</f>
        <v>1005674</v>
      </c>
      <c r="K150" s="650">
        <f>H150-J150</f>
        <v>91494.543223898858</v>
      </c>
      <c r="L150" s="1150"/>
    </row>
    <row r="151" spans="1:12" ht="18" customHeight="1" x14ac:dyDescent="0.3">
      <c r="A151" s="742"/>
      <c r="B151" s="636"/>
      <c r="C151" s="742"/>
      <c r="D151" s="742"/>
      <c r="E151" s="742"/>
      <c r="F151" s="1283"/>
      <c r="G151" s="1283"/>
      <c r="H151" s="1283"/>
      <c r="I151" s="1283"/>
      <c r="J151" s="1283"/>
      <c r="K151" s="1283"/>
    </row>
    <row r="152" spans="1:12" ht="18" customHeight="1" x14ac:dyDescent="0.3">
      <c r="A152" s="639" t="s">
        <v>165</v>
      </c>
      <c r="B152" s="636" t="s">
        <v>26</v>
      </c>
      <c r="C152" s="742"/>
      <c r="D152" s="742"/>
      <c r="E152" s="742"/>
      <c r="F152" s="672">
        <f>SUM(F141:F150)</f>
        <v>17905.836363636365</v>
      </c>
      <c r="G152" s="672">
        <f t="shared" ref="G152:K152" si="0">SUM(G141:G150)</f>
        <v>18537</v>
      </c>
      <c r="H152" s="672">
        <f t="shared" si="0"/>
        <v>6953170.6022641035</v>
      </c>
      <c r="I152" s="672">
        <f t="shared" si="0"/>
        <v>3404265.6069884053</v>
      </c>
      <c r="J152" s="672">
        <f t="shared" si="0"/>
        <v>2809311</v>
      </c>
      <c r="K152" s="672">
        <f t="shared" si="0"/>
        <v>7921125.2092525084</v>
      </c>
    </row>
    <row r="153" spans="1:12" ht="18" customHeight="1" x14ac:dyDescent="0.25">
      <c r="A153" s="446"/>
      <c r="B153" s="740"/>
      <c r="C153" s="740"/>
      <c r="D153" s="740"/>
      <c r="E153" s="740"/>
      <c r="F153" s="740"/>
      <c r="G153" s="740"/>
      <c r="K153" s="740"/>
    </row>
    <row r="154" spans="1:12" ht="18" customHeight="1" x14ac:dyDescent="0.3">
      <c r="A154" s="639" t="s">
        <v>168</v>
      </c>
      <c r="B154" s="636" t="s">
        <v>28</v>
      </c>
      <c r="C154" s="742"/>
      <c r="D154" s="742"/>
      <c r="E154" s="742"/>
      <c r="F154" s="729">
        <v>0.17403198110729259</v>
      </c>
      <c r="G154" s="742"/>
      <c r="H154" s="1143"/>
      <c r="I154" s="1143"/>
      <c r="J154" s="1143"/>
      <c r="K154" s="742"/>
    </row>
    <row r="155" spans="1:12" ht="18" customHeight="1" x14ac:dyDescent="0.3">
      <c r="A155" s="639" t="s">
        <v>169</v>
      </c>
      <c r="B155" s="636" t="s">
        <v>72</v>
      </c>
      <c r="C155" s="742"/>
      <c r="D155" s="742"/>
      <c r="E155" s="742"/>
      <c r="F155" s="729">
        <v>1.0208693842074661</v>
      </c>
      <c r="G155" s="636"/>
      <c r="H155" s="1143"/>
      <c r="I155" s="1143"/>
      <c r="J155" s="1143"/>
      <c r="K155" s="742"/>
    </row>
    <row r="156" spans="1:12" s="753" customFormat="1" ht="18" customHeight="1" x14ac:dyDescent="0.3">
      <c r="A156" s="747"/>
      <c r="B156" s="747"/>
      <c r="C156" s="747"/>
      <c r="D156" s="747"/>
      <c r="E156" s="747"/>
      <c r="F156" s="747"/>
      <c r="G156" s="746"/>
      <c r="H156" s="1145"/>
      <c r="I156" s="1145"/>
      <c r="J156" s="1145"/>
      <c r="K156" s="747"/>
    </row>
    <row r="157" spans="1:12" ht="35.25" customHeight="1" x14ac:dyDescent="0.3">
      <c r="A157" s="446"/>
      <c r="B157" s="112" t="s">
        <v>432</v>
      </c>
      <c r="C157" s="740"/>
      <c r="D157" s="740"/>
      <c r="E157" s="740"/>
      <c r="F157" s="693" t="s">
        <v>9</v>
      </c>
      <c r="G157" s="693" t="s">
        <v>37</v>
      </c>
      <c r="H157" s="214" t="s">
        <v>29</v>
      </c>
      <c r="I157" s="214" t="s">
        <v>30</v>
      </c>
      <c r="J157" s="214" t="s">
        <v>33</v>
      </c>
      <c r="K157" s="693" t="s">
        <v>34</v>
      </c>
    </row>
    <row r="158" spans="1:12" ht="18" customHeight="1" x14ac:dyDescent="0.3">
      <c r="A158" s="446"/>
      <c r="B158" s="690" t="s">
        <v>26</v>
      </c>
      <c r="C158" s="740"/>
      <c r="D158" s="740"/>
      <c r="E158" s="740"/>
      <c r="F158" s="113">
        <v>17905.836363636365</v>
      </c>
      <c r="G158" s="113">
        <v>18537</v>
      </c>
      <c r="H158" s="113">
        <v>7045870.0590402046</v>
      </c>
      <c r="I158" s="113">
        <v>3404265.6069884053</v>
      </c>
      <c r="J158" s="113">
        <v>2809311</v>
      </c>
      <c r="K158" s="113">
        <v>8013824.6660286095</v>
      </c>
    </row>
    <row r="159" spans="1:12" ht="18" customHeight="1" x14ac:dyDescent="0.3">
      <c r="A159" s="446"/>
      <c r="B159" s="690" t="s">
        <v>433</v>
      </c>
      <c r="C159" s="740"/>
      <c r="D159" s="740"/>
      <c r="E159" s="740"/>
      <c r="F159" s="740"/>
      <c r="G159" s="740"/>
      <c r="K159" s="740"/>
    </row>
    <row r="160" spans="1:12" ht="18" customHeight="1" x14ac:dyDescent="0.3">
      <c r="A160" s="931"/>
      <c r="B160" s="741" t="s">
        <v>181</v>
      </c>
      <c r="C160" s="740"/>
      <c r="D160" s="740"/>
      <c r="E160" s="740"/>
      <c r="F160" s="114" t="s">
        <v>73</v>
      </c>
      <c r="G160" s="114" t="s">
        <v>73</v>
      </c>
      <c r="H160" s="114">
        <v>1189868</v>
      </c>
      <c r="I160" s="114">
        <v>0</v>
      </c>
      <c r="J160" s="114">
        <v>1005674</v>
      </c>
      <c r="K160" s="114">
        <v>184194</v>
      </c>
    </row>
    <row r="161" spans="1:11" ht="18" customHeight="1" x14ac:dyDescent="0.3">
      <c r="A161" s="446"/>
      <c r="B161" s="741" t="s">
        <v>164</v>
      </c>
      <c r="C161" s="740"/>
      <c r="D161" s="740"/>
      <c r="E161" s="740"/>
      <c r="F161" s="115"/>
      <c r="G161" s="116"/>
      <c r="H161" s="117"/>
      <c r="I161" s="117"/>
      <c r="J161" s="117"/>
      <c r="K161" s="118">
        <v>373000</v>
      </c>
    </row>
    <row r="162" spans="1:11" ht="18" customHeight="1" x14ac:dyDescent="0.3">
      <c r="A162" s="446"/>
      <c r="B162" s="740"/>
      <c r="C162" s="740"/>
      <c r="D162" s="740"/>
      <c r="E162" s="740"/>
      <c r="F162" s="116"/>
      <c r="G162" s="116"/>
      <c r="H162" s="117"/>
      <c r="I162" s="117"/>
      <c r="J162" s="117"/>
      <c r="K162" s="116"/>
    </row>
    <row r="163" spans="1:11" ht="18" customHeight="1" x14ac:dyDescent="0.3">
      <c r="A163" s="446"/>
      <c r="B163" s="690" t="s">
        <v>434</v>
      </c>
      <c r="C163" s="740"/>
      <c r="D163" s="740"/>
      <c r="E163" s="740"/>
      <c r="F163" s="114">
        <v>17905.836363636365</v>
      </c>
      <c r="G163" s="114">
        <v>18537</v>
      </c>
      <c r="H163" s="114">
        <v>5856002.0590402046</v>
      </c>
      <c r="I163" s="114">
        <v>3404265.6069884053</v>
      </c>
      <c r="J163" s="114">
        <v>1803637</v>
      </c>
      <c r="K163" s="114">
        <v>7456630.6660286095</v>
      </c>
    </row>
    <row r="164" spans="1:11" ht="18" customHeight="1" x14ac:dyDescent="0.3">
      <c r="A164" s="446"/>
      <c r="B164" s="690"/>
      <c r="C164" s="740"/>
      <c r="D164" s="740"/>
      <c r="E164" s="740"/>
      <c r="F164" s="119"/>
      <c r="G164" s="119"/>
      <c r="H164" s="114"/>
      <c r="I164" s="114"/>
      <c r="J164" s="114"/>
      <c r="K164" s="114"/>
    </row>
    <row r="165" spans="1:11" ht="18" customHeight="1" x14ac:dyDescent="0.3">
      <c r="A165" s="446"/>
      <c r="B165" s="690" t="s">
        <v>28</v>
      </c>
      <c r="C165" s="740"/>
      <c r="D165" s="740"/>
      <c r="E165" s="740"/>
      <c r="F165" s="690"/>
      <c r="G165" s="690"/>
      <c r="H165" s="120">
        <v>0.12717169169215176</v>
      </c>
      <c r="I165" s="120">
        <v>7.3928631145509155E-2</v>
      </c>
      <c r="J165" s="120">
        <v>3.9168628387769286E-2</v>
      </c>
      <c r="K165" s="120">
        <v>0.16193169444989161</v>
      </c>
    </row>
    <row r="166" spans="1:11" ht="18" customHeight="1" x14ac:dyDescent="0.3">
      <c r="A166" s="446"/>
      <c r="B166" s="690" t="s">
        <v>72</v>
      </c>
      <c r="C166" s="740"/>
      <c r="D166" s="740"/>
      <c r="E166" s="740"/>
      <c r="F166" s="690"/>
      <c r="G166" s="690"/>
      <c r="H166" s="120">
        <v>0.74598752344461206</v>
      </c>
      <c r="I166" s="120">
        <v>0.43366440853355481</v>
      </c>
      <c r="J166" s="120">
        <v>0.22976267515923568</v>
      </c>
      <c r="K166" s="120">
        <v>0.9498892568189311</v>
      </c>
    </row>
  </sheetData>
  <sheetProtection sheet="1" objects="1" scenarios="1"/>
  <mergeCells count="32">
    <mergeCell ref="B31:D31"/>
    <mergeCell ref="B34:D34"/>
    <mergeCell ref="B41:C41"/>
    <mergeCell ref="B95:D95"/>
    <mergeCell ref="B45:D45"/>
    <mergeCell ref="B46:D46"/>
    <mergeCell ref="B47:D47"/>
    <mergeCell ref="B52:C52"/>
    <mergeCell ref="B57:D57"/>
    <mergeCell ref="B58:D58"/>
    <mergeCell ref="B59:D59"/>
    <mergeCell ref="B61:D61"/>
    <mergeCell ref="B62:D62"/>
    <mergeCell ref="B90:C90"/>
    <mergeCell ref="B94:D94"/>
    <mergeCell ref="B44:D44"/>
    <mergeCell ref="C5:G5"/>
    <mergeCell ref="C6:G6"/>
    <mergeCell ref="C7:G7"/>
    <mergeCell ref="B134:D134"/>
    <mergeCell ref="B135:D135"/>
    <mergeCell ref="B96:D96"/>
    <mergeCell ref="B103:C103"/>
    <mergeCell ref="B104:D104"/>
    <mergeCell ref="B105:D105"/>
    <mergeCell ref="B106:D106"/>
    <mergeCell ref="B133:D133"/>
    <mergeCell ref="C9:G9"/>
    <mergeCell ref="C10:G10"/>
    <mergeCell ref="C11:G11"/>
    <mergeCell ref="B13:H13"/>
    <mergeCell ref="B30:D30"/>
  </mergeCells>
  <pageMargins left="0.75" right="0.75" top="1" bottom="1" header="0.5" footer="0.5"/>
  <pageSetup scale="59"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156"/>
  <sheetViews>
    <sheetView showGridLines="0" zoomScale="70" zoomScaleNormal="70" zoomScaleSheetLayoutView="80" workbookViewId="0"/>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86" t="s">
        <v>256</v>
      </c>
      <c r="D5" s="1387"/>
      <c r="E5" s="1387"/>
      <c r="F5" s="1387"/>
      <c r="G5" s="1388"/>
      <c r="H5" s="742"/>
      <c r="I5" s="742"/>
      <c r="J5" s="742"/>
      <c r="K5" s="742"/>
    </row>
    <row r="6" spans="1:11" ht="18" customHeight="1" x14ac:dyDescent="0.3">
      <c r="A6" s="742"/>
      <c r="B6" s="733" t="s">
        <v>3</v>
      </c>
      <c r="C6" s="1365">
        <v>32</v>
      </c>
      <c r="D6" s="1366"/>
      <c r="E6" s="1366"/>
      <c r="F6" s="1366"/>
      <c r="G6" s="1367"/>
      <c r="H6" s="742"/>
      <c r="I6" s="742"/>
      <c r="J6" s="742"/>
      <c r="K6" s="742"/>
    </row>
    <row r="7" spans="1:11" ht="18" customHeight="1" x14ac:dyDescent="0.3">
      <c r="A7" s="742"/>
      <c r="B7" s="733" t="s">
        <v>4</v>
      </c>
      <c r="C7" s="1368">
        <v>1133</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61" t="s">
        <v>632</v>
      </c>
      <c r="D9" s="1362"/>
      <c r="E9" s="1362"/>
      <c r="F9" s="1362"/>
      <c r="G9" s="1364"/>
      <c r="H9" s="742"/>
      <c r="I9" s="742"/>
      <c r="J9" s="742"/>
      <c r="K9" s="742"/>
    </row>
    <row r="10" spans="1:11" ht="18" customHeight="1" x14ac:dyDescent="0.3">
      <c r="A10" s="742"/>
      <c r="B10" s="733" t="s">
        <v>2</v>
      </c>
      <c r="C10" s="1371" t="s">
        <v>556</v>
      </c>
      <c r="D10" s="1372"/>
      <c r="E10" s="1372"/>
      <c r="F10" s="1372"/>
      <c r="G10" s="1373"/>
      <c r="H10" s="742"/>
      <c r="I10" s="742"/>
      <c r="J10" s="742"/>
      <c r="K10" s="742"/>
    </row>
    <row r="11" spans="1:11" ht="18" customHeight="1" x14ac:dyDescent="0.3">
      <c r="A11" s="742"/>
      <c r="B11" s="733" t="s">
        <v>32</v>
      </c>
      <c r="C11" s="1361" t="s">
        <v>633</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646" t="s">
        <v>73</v>
      </c>
      <c r="G18" s="646" t="s">
        <v>73</v>
      </c>
      <c r="H18" s="647">
        <v>3597016.38501667</v>
      </c>
      <c r="I18" s="673">
        <v>0</v>
      </c>
      <c r="J18" s="647">
        <v>3040188.64539822</v>
      </c>
      <c r="K18" s="648">
        <f>(H18+I18)-J18</f>
        <v>556827.73961844994</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646">
        <v>755.86</v>
      </c>
      <c r="G21" s="646">
        <v>2343</v>
      </c>
      <c r="H21" s="647">
        <v>18844</v>
      </c>
      <c r="I21" s="673">
        <v>4191</v>
      </c>
      <c r="J21" s="647">
        <v>1200</v>
      </c>
      <c r="K21" s="648">
        <f t="shared" ref="K21:K34" si="0">(H21+I21)-J21</f>
        <v>21835</v>
      </c>
    </row>
    <row r="22" spans="1:11" ht="18" customHeight="1" x14ac:dyDescent="0.3">
      <c r="A22" s="733" t="s">
        <v>76</v>
      </c>
      <c r="B22" s="742" t="s">
        <v>6</v>
      </c>
      <c r="C22" s="742"/>
      <c r="D22" s="742"/>
      <c r="E22" s="742"/>
      <c r="F22" s="646">
        <v>307.33999999999997</v>
      </c>
      <c r="G22" s="646">
        <v>534</v>
      </c>
      <c r="H22" s="647">
        <v>9381</v>
      </c>
      <c r="I22" s="673">
        <v>4561</v>
      </c>
      <c r="J22" s="647">
        <v>0</v>
      </c>
      <c r="K22" s="648">
        <f t="shared" si="0"/>
        <v>13942</v>
      </c>
    </row>
    <row r="23" spans="1:11" ht="18" customHeight="1" x14ac:dyDescent="0.3">
      <c r="A23" s="733" t="s">
        <v>77</v>
      </c>
      <c r="B23" s="742" t="s">
        <v>43</v>
      </c>
      <c r="C23" s="742"/>
      <c r="D23" s="742"/>
      <c r="E23" s="742"/>
      <c r="F23" s="646"/>
      <c r="G23" s="646"/>
      <c r="H23" s="647"/>
      <c r="I23" s="673">
        <f t="shared" ref="I23:I34" si="1">H23*F$114</f>
        <v>0</v>
      </c>
      <c r="J23" s="647"/>
      <c r="K23" s="648">
        <f t="shared" si="0"/>
        <v>0</v>
      </c>
    </row>
    <row r="24" spans="1:11" ht="18" customHeight="1" x14ac:dyDescent="0.3">
      <c r="A24" s="733" t="s">
        <v>78</v>
      </c>
      <c r="B24" s="742" t="s">
        <v>44</v>
      </c>
      <c r="C24" s="742"/>
      <c r="D24" s="742"/>
      <c r="E24" s="742"/>
      <c r="F24" s="646"/>
      <c r="G24" s="646"/>
      <c r="H24" s="647"/>
      <c r="I24" s="673">
        <f t="shared" si="1"/>
        <v>0</v>
      </c>
      <c r="J24" s="647"/>
      <c r="K24" s="648">
        <f t="shared" si="0"/>
        <v>0</v>
      </c>
    </row>
    <row r="25" spans="1:11" ht="18" customHeight="1" x14ac:dyDescent="0.3">
      <c r="A25" s="733" t="s">
        <v>79</v>
      </c>
      <c r="B25" s="742" t="s">
        <v>5</v>
      </c>
      <c r="C25" s="742"/>
      <c r="D25" s="742"/>
      <c r="E25" s="742"/>
      <c r="F25" s="646">
        <v>75.5</v>
      </c>
      <c r="G25" s="646">
        <v>92</v>
      </c>
      <c r="H25" s="647">
        <v>4015</v>
      </c>
      <c r="I25" s="673">
        <v>2663</v>
      </c>
      <c r="J25" s="647">
        <v>0</v>
      </c>
      <c r="K25" s="648">
        <f t="shared" si="0"/>
        <v>6678</v>
      </c>
    </row>
    <row r="26" spans="1:11" ht="18" customHeight="1" x14ac:dyDescent="0.3">
      <c r="A26" s="733" t="s">
        <v>80</v>
      </c>
      <c r="B26" s="742" t="s">
        <v>45</v>
      </c>
      <c r="C26" s="742"/>
      <c r="D26" s="742"/>
      <c r="E26" s="742"/>
      <c r="F26" s="646">
        <v>249.27</v>
      </c>
      <c r="G26" s="646">
        <v>463</v>
      </c>
      <c r="H26" s="647">
        <v>8823</v>
      </c>
      <c r="I26" s="673">
        <v>125</v>
      </c>
      <c r="J26" s="647">
        <v>0</v>
      </c>
      <c r="K26" s="648">
        <f t="shared" si="0"/>
        <v>8948</v>
      </c>
    </row>
    <row r="27" spans="1:11" ht="18" customHeight="1" x14ac:dyDescent="0.3">
      <c r="A27" s="733" t="s">
        <v>81</v>
      </c>
      <c r="B27" s="742" t="s">
        <v>46</v>
      </c>
      <c r="C27" s="742"/>
      <c r="D27" s="742"/>
      <c r="E27" s="742"/>
      <c r="F27" s="646"/>
      <c r="G27" s="646"/>
      <c r="H27" s="647"/>
      <c r="I27" s="673">
        <f t="shared" si="1"/>
        <v>0</v>
      </c>
      <c r="J27" s="647"/>
      <c r="K27" s="648">
        <f t="shared" si="0"/>
        <v>0</v>
      </c>
    </row>
    <row r="28" spans="1:11" ht="18" customHeight="1" x14ac:dyDescent="0.3">
      <c r="A28" s="733" t="s">
        <v>82</v>
      </c>
      <c r="B28" s="742" t="s">
        <v>47</v>
      </c>
      <c r="C28" s="742"/>
      <c r="D28" s="742"/>
      <c r="E28" s="742"/>
      <c r="F28" s="646"/>
      <c r="G28" s="646"/>
      <c r="H28" s="647"/>
      <c r="I28" s="673">
        <f t="shared" si="1"/>
        <v>0</v>
      </c>
      <c r="J28" s="647"/>
      <c r="K28" s="648">
        <f t="shared" si="0"/>
        <v>0</v>
      </c>
    </row>
    <row r="29" spans="1:11" ht="18" customHeight="1" x14ac:dyDescent="0.3">
      <c r="A29" s="733" t="s">
        <v>83</v>
      </c>
      <c r="B29" s="742" t="s">
        <v>48</v>
      </c>
      <c r="C29" s="742"/>
      <c r="D29" s="742"/>
      <c r="E29" s="742"/>
      <c r="F29" s="646">
        <v>378.6</v>
      </c>
      <c r="G29" s="646">
        <v>1283</v>
      </c>
      <c r="H29" s="647">
        <v>243599</v>
      </c>
      <c r="I29" s="673">
        <v>7459</v>
      </c>
      <c r="J29" s="647">
        <v>0</v>
      </c>
      <c r="K29" s="648">
        <f t="shared" si="0"/>
        <v>251058</v>
      </c>
    </row>
    <row r="30" spans="1:11" ht="18" customHeight="1" x14ac:dyDescent="0.3">
      <c r="A30" s="733" t="s">
        <v>84</v>
      </c>
      <c r="B30" s="1351" t="s">
        <v>791</v>
      </c>
      <c r="C30" s="1352"/>
      <c r="D30" s="1353"/>
      <c r="E30" s="742"/>
      <c r="F30" s="646">
        <v>469.5</v>
      </c>
      <c r="G30" s="646">
        <v>534</v>
      </c>
      <c r="H30" s="647">
        <v>27028</v>
      </c>
      <c r="I30" s="673">
        <v>64</v>
      </c>
      <c r="J30" s="647">
        <v>0</v>
      </c>
      <c r="K30" s="648">
        <f t="shared" si="0"/>
        <v>27092</v>
      </c>
    </row>
    <row r="31" spans="1:11" ht="18" customHeight="1" x14ac:dyDescent="0.3">
      <c r="A31" s="733" t="s">
        <v>133</v>
      </c>
      <c r="B31" s="1351"/>
      <c r="C31" s="1352"/>
      <c r="D31" s="1353"/>
      <c r="E31" s="742"/>
      <c r="F31" s="646"/>
      <c r="G31" s="646"/>
      <c r="H31" s="647"/>
      <c r="I31" s="673">
        <f t="shared" si="1"/>
        <v>0</v>
      </c>
      <c r="J31" s="647"/>
      <c r="K31" s="648">
        <f t="shared" si="0"/>
        <v>0</v>
      </c>
    </row>
    <row r="32" spans="1:11" ht="18" customHeight="1" x14ac:dyDescent="0.3">
      <c r="A32" s="733" t="s">
        <v>134</v>
      </c>
      <c r="B32" s="909"/>
      <c r="C32" s="910"/>
      <c r="D32" s="911"/>
      <c r="E32" s="742"/>
      <c r="F32" s="646"/>
      <c r="G32" s="675"/>
      <c r="H32" s="647"/>
      <c r="I32" s="673">
        <f t="shared" si="1"/>
        <v>0</v>
      </c>
      <c r="J32" s="647"/>
      <c r="K32" s="648">
        <f t="shared" si="0"/>
        <v>0</v>
      </c>
    </row>
    <row r="33" spans="1:11" ht="18" customHeight="1" x14ac:dyDescent="0.3">
      <c r="A33" s="733" t="s">
        <v>135</v>
      </c>
      <c r="B33" s="909"/>
      <c r="C33" s="910"/>
      <c r="D33" s="911"/>
      <c r="E33" s="742"/>
      <c r="F33" s="646"/>
      <c r="G33" s="675"/>
      <c r="H33" s="647"/>
      <c r="I33" s="673">
        <f t="shared" si="1"/>
        <v>0</v>
      </c>
      <c r="J33" s="647"/>
      <c r="K33" s="648">
        <f t="shared" si="0"/>
        <v>0</v>
      </c>
    </row>
    <row r="34" spans="1:11" ht="18" customHeight="1" x14ac:dyDescent="0.3">
      <c r="A34" s="733" t="s">
        <v>136</v>
      </c>
      <c r="B34" s="1351"/>
      <c r="C34" s="1352"/>
      <c r="D34" s="1353"/>
      <c r="E34" s="742"/>
      <c r="F34" s="646"/>
      <c r="G34" s="675"/>
      <c r="H34" s="647"/>
      <c r="I34" s="673">
        <f t="shared" si="1"/>
        <v>0</v>
      </c>
      <c r="J34" s="647"/>
      <c r="K34" s="648">
        <f t="shared" si="0"/>
        <v>0</v>
      </c>
    </row>
    <row r="35" spans="1:11" ht="18" customHeight="1" x14ac:dyDescent="0.25">
      <c r="A35" s="742"/>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2236.0700000000002</v>
      </c>
      <c r="G36" s="650">
        <f t="shared" si="2"/>
        <v>5249</v>
      </c>
      <c r="H36" s="650">
        <f t="shared" si="2"/>
        <v>311690</v>
      </c>
      <c r="I36" s="648">
        <f t="shared" si="2"/>
        <v>19063</v>
      </c>
      <c r="J36" s="648">
        <f t="shared" si="2"/>
        <v>1200</v>
      </c>
      <c r="K36" s="648">
        <f t="shared" si="2"/>
        <v>329553</v>
      </c>
    </row>
    <row r="37" spans="1:11" ht="18" customHeight="1" thickBot="1" x14ac:dyDescent="0.35">
      <c r="A37" s="742"/>
      <c r="B37" s="636"/>
      <c r="C37" s="742"/>
      <c r="D37" s="742"/>
      <c r="E37" s="742"/>
      <c r="F37" s="651"/>
      <c r="G37" s="651"/>
      <c r="H37" s="652"/>
      <c r="I37" s="652"/>
      <c r="J37" s="652"/>
      <c r="K37" s="668"/>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646">
        <v>780.4</v>
      </c>
      <c r="G40" s="646">
        <v>21</v>
      </c>
      <c r="H40" s="647">
        <v>45009</v>
      </c>
      <c r="I40" s="673">
        <v>32405</v>
      </c>
      <c r="J40" s="647">
        <v>0</v>
      </c>
      <c r="K40" s="648">
        <f t="shared" ref="K40:K47" si="3">(H40+I40)-J40</f>
        <v>77414</v>
      </c>
    </row>
    <row r="41" spans="1:11" ht="18" customHeight="1" x14ac:dyDescent="0.3">
      <c r="A41" s="733" t="s">
        <v>88</v>
      </c>
      <c r="B41" s="1359" t="s">
        <v>50</v>
      </c>
      <c r="C41" s="1359"/>
      <c r="D41" s="742"/>
      <c r="E41" s="742"/>
      <c r="F41" s="646">
        <v>3359.6</v>
      </c>
      <c r="G41" s="646">
        <v>259</v>
      </c>
      <c r="H41" s="647">
        <v>114815</v>
      </c>
      <c r="I41" s="673">
        <v>82666</v>
      </c>
      <c r="J41" s="647">
        <v>0</v>
      </c>
      <c r="K41" s="648">
        <f t="shared" si="3"/>
        <v>197481</v>
      </c>
    </row>
    <row r="42" spans="1:11" ht="18" customHeight="1" x14ac:dyDescent="0.3">
      <c r="A42" s="733" t="s">
        <v>89</v>
      </c>
      <c r="B42" s="635" t="s">
        <v>11</v>
      </c>
      <c r="C42" s="742"/>
      <c r="D42" s="742"/>
      <c r="E42" s="742"/>
      <c r="F42" s="646">
        <v>3807</v>
      </c>
      <c r="G42" s="646">
        <v>128</v>
      </c>
      <c r="H42" s="647">
        <v>124127</v>
      </c>
      <c r="I42" s="673">
        <v>89371</v>
      </c>
      <c r="J42" s="647">
        <v>0</v>
      </c>
      <c r="K42" s="648">
        <f t="shared" si="3"/>
        <v>213498</v>
      </c>
    </row>
    <row r="43" spans="1:11" ht="18" customHeight="1" x14ac:dyDescent="0.3">
      <c r="A43" s="733" t="s">
        <v>90</v>
      </c>
      <c r="B43" s="670" t="s">
        <v>10</v>
      </c>
      <c r="C43" s="642"/>
      <c r="D43" s="642"/>
      <c r="E43" s="742"/>
      <c r="F43" s="646">
        <v>8</v>
      </c>
      <c r="G43" s="646">
        <v>250</v>
      </c>
      <c r="H43" s="647">
        <v>833</v>
      </c>
      <c r="I43" s="673">
        <v>0</v>
      </c>
      <c r="J43" s="647">
        <v>0</v>
      </c>
      <c r="K43" s="648">
        <f t="shared" si="3"/>
        <v>833</v>
      </c>
    </row>
    <row r="44" spans="1:11" ht="18" customHeight="1" x14ac:dyDescent="0.3">
      <c r="A44" s="733" t="s">
        <v>91</v>
      </c>
      <c r="B44" s="1351"/>
      <c r="C44" s="1352"/>
      <c r="D44" s="1353"/>
      <c r="E44" s="742"/>
      <c r="F44" s="677"/>
      <c r="G44" s="677"/>
      <c r="H44" s="677"/>
      <c r="I44" s="678">
        <v>0</v>
      </c>
      <c r="J44" s="677"/>
      <c r="K44" s="679">
        <f t="shared" si="3"/>
        <v>0</v>
      </c>
    </row>
    <row r="45" spans="1:11" ht="18" customHeight="1" x14ac:dyDescent="0.3">
      <c r="A45" s="733" t="s">
        <v>139</v>
      </c>
      <c r="B45" s="1351"/>
      <c r="C45" s="1352"/>
      <c r="D45" s="1353"/>
      <c r="E45" s="742"/>
      <c r="F45" s="646"/>
      <c r="G45" s="646"/>
      <c r="H45" s="647"/>
      <c r="I45" s="673">
        <v>0</v>
      </c>
      <c r="J45" s="647"/>
      <c r="K45" s="648">
        <f t="shared" si="3"/>
        <v>0</v>
      </c>
    </row>
    <row r="46" spans="1:11" ht="18" customHeight="1" x14ac:dyDescent="0.3">
      <c r="A46" s="733" t="s">
        <v>140</v>
      </c>
      <c r="B46" s="1351"/>
      <c r="C46" s="1352"/>
      <c r="D46" s="1353"/>
      <c r="E46" s="742"/>
      <c r="F46" s="646"/>
      <c r="G46" s="646"/>
      <c r="H46" s="647"/>
      <c r="I46" s="673">
        <v>0</v>
      </c>
      <c r="J46" s="647"/>
      <c r="K46" s="648">
        <f t="shared" si="3"/>
        <v>0</v>
      </c>
    </row>
    <row r="47" spans="1:11" ht="18" customHeight="1" x14ac:dyDescent="0.3">
      <c r="A47" s="733" t="s">
        <v>141</v>
      </c>
      <c r="B47" s="1351"/>
      <c r="C47" s="1352"/>
      <c r="D47" s="1353"/>
      <c r="E47" s="742"/>
      <c r="F47" s="646"/>
      <c r="G47" s="646"/>
      <c r="H47" s="647"/>
      <c r="I47" s="673">
        <v>0</v>
      </c>
      <c r="J47" s="647"/>
      <c r="K47" s="648">
        <f t="shared" si="3"/>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7955</v>
      </c>
      <c r="G49" s="654">
        <f t="shared" si="4"/>
        <v>658</v>
      </c>
      <c r="H49" s="648">
        <f t="shared" si="4"/>
        <v>284784</v>
      </c>
      <c r="I49" s="648">
        <f t="shared" si="4"/>
        <v>204442</v>
      </c>
      <c r="J49" s="648">
        <f t="shared" si="4"/>
        <v>0</v>
      </c>
      <c r="K49" s="648">
        <f t="shared" si="4"/>
        <v>489226</v>
      </c>
    </row>
    <row r="50" spans="1:11" ht="18" customHeight="1" thickBot="1" x14ac:dyDescent="0.3">
      <c r="A50" s="742"/>
      <c r="B50" s="742"/>
      <c r="C50" s="742"/>
      <c r="D50" s="742"/>
      <c r="E50" s="742"/>
      <c r="F50" s="742"/>
      <c r="G50" s="655"/>
      <c r="H50" s="655"/>
      <c r="I50" s="655"/>
      <c r="J50" s="655"/>
      <c r="K50" s="655"/>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c r="C53" s="1355"/>
      <c r="D53" s="1356"/>
      <c r="E53" s="742"/>
      <c r="F53" s="646"/>
      <c r="G53" s="646"/>
      <c r="H53" s="647"/>
      <c r="I53" s="673">
        <v>0</v>
      </c>
      <c r="J53" s="647"/>
      <c r="K53" s="648">
        <f t="shared" ref="K53:K62" si="5">(H53+I53)-J53</f>
        <v>0</v>
      </c>
    </row>
    <row r="54" spans="1:11" ht="18" customHeight="1" x14ac:dyDescent="0.3">
      <c r="A54" s="733" t="s">
        <v>93</v>
      </c>
      <c r="B54" s="912"/>
      <c r="C54" s="913"/>
      <c r="D54" s="914"/>
      <c r="E54" s="742"/>
      <c r="F54" s="646"/>
      <c r="G54" s="646"/>
      <c r="H54" s="647"/>
      <c r="I54" s="673">
        <v>0</v>
      </c>
      <c r="J54" s="647"/>
      <c r="K54" s="648">
        <f t="shared" si="5"/>
        <v>0</v>
      </c>
    </row>
    <row r="55" spans="1:11" ht="18" customHeight="1" x14ac:dyDescent="0.3">
      <c r="A55" s="733" t="s">
        <v>94</v>
      </c>
      <c r="B55" s="1455" t="s">
        <v>387</v>
      </c>
      <c r="C55" s="1456"/>
      <c r="D55" s="1457"/>
      <c r="E55" s="742"/>
      <c r="F55" s="646">
        <v>30</v>
      </c>
      <c r="G55" s="646">
        <v>15</v>
      </c>
      <c r="H55" s="647">
        <v>9763674</v>
      </c>
      <c r="I55" s="673">
        <v>1158</v>
      </c>
      <c r="J55" s="647">
        <v>5322390</v>
      </c>
      <c r="K55" s="648">
        <f t="shared" si="5"/>
        <v>4442442</v>
      </c>
    </row>
    <row r="56" spans="1:11" ht="18" customHeight="1" x14ac:dyDescent="0.3">
      <c r="A56" s="733" t="s">
        <v>95</v>
      </c>
      <c r="B56" s="1354"/>
      <c r="C56" s="1355"/>
      <c r="D56" s="1356"/>
      <c r="E56" s="742"/>
      <c r="F56" s="646"/>
      <c r="G56" s="646"/>
      <c r="H56" s="647"/>
      <c r="I56" s="673">
        <v>0</v>
      </c>
      <c r="J56" s="647"/>
      <c r="K56" s="648">
        <f t="shared" si="5"/>
        <v>0</v>
      </c>
    </row>
    <row r="57" spans="1:11" ht="18" customHeight="1" x14ac:dyDescent="0.3">
      <c r="A57" s="733" t="s">
        <v>96</v>
      </c>
      <c r="B57" s="1354"/>
      <c r="C57" s="1355"/>
      <c r="D57" s="1356"/>
      <c r="E57" s="742"/>
      <c r="F57" s="646"/>
      <c r="G57" s="646"/>
      <c r="H57" s="647"/>
      <c r="I57" s="673">
        <v>0</v>
      </c>
      <c r="J57" s="647"/>
      <c r="K57" s="648">
        <f t="shared" si="5"/>
        <v>0</v>
      </c>
    </row>
    <row r="58" spans="1:11" ht="18" customHeight="1" x14ac:dyDescent="0.3">
      <c r="A58" s="733" t="s">
        <v>97</v>
      </c>
      <c r="B58" s="912"/>
      <c r="C58" s="913"/>
      <c r="D58" s="914"/>
      <c r="E58" s="742"/>
      <c r="F58" s="646"/>
      <c r="G58" s="646"/>
      <c r="H58" s="647"/>
      <c r="I58" s="673">
        <v>0</v>
      </c>
      <c r="J58" s="647"/>
      <c r="K58" s="648">
        <f t="shared" si="5"/>
        <v>0</v>
      </c>
    </row>
    <row r="59" spans="1:11" ht="18" customHeight="1" x14ac:dyDescent="0.3">
      <c r="A59" s="733" t="s">
        <v>98</v>
      </c>
      <c r="B59" s="1455" t="s">
        <v>395</v>
      </c>
      <c r="C59" s="1456"/>
      <c r="D59" s="1457"/>
      <c r="E59" s="742"/>
      <c r="F59" s="646">
        <v>18554.77</v>
      </c>
      <c r="G59" s="646">
        <v>88</v>
      </c>
      <c r="H59" s="647">
        <v>642492</v>
      </c>
      <c r="I59" s="673">
        <v>0</v>
      </c>
      <c r="J59" s="647">
        <v>452260</v>
      </c>
      <c r="K59" s="648">
        <f t="shared" si="5"/>
        <v>190232</v>
      </c>
    </row>
    <row r="60" spans="1:11" ht="18" customHeight="1" x14ac:dyDescent="0.3">
      <c r="A60" s="733" t="s">
        <v>99</v>
      </c>
      <c r="B60" s="912"/>
      <c r="C60" s="913"/>
      <c r="D60" s="914"/>
      <c r="E60" s="742"/>
      <c r="F60" s="646"/>
      <c r="G60" s="646"/>
      <c r="H60" s="647"/>
      <c r="I60" s="673">
        <v>0</v>
      </c>
      <c r="J60" s="647"/>
      <c r="K60" s="648">
        <f t="shared" si="5"/>
        <v>0</v>
      </c>
    </row>
    <row r="61" spans="1:11" ht="18" customHeight="1" x14ac:dyDescent="0.3">
      <c r="A61" s="733" t="s">
        <v>100</v>
      </c>
      <c r="B61" s="928" t="s">
        <v>476</v>
      </c>
      <c r="C61" s="913"/>
      <c r="D61" s="914"/>
      <c r="E61" s="742"/>
      <c r="F61" s="646">
        <v>0</v>
      </c>
      <c r="G61" s="646">
        <v>0</v>
      </c>
      <c r="H61" s="647">
        <v>13920</v>
      </c>
      <c r="I61" s="673">
        <v>0</v>
      </c>
      <c r="J61" s="647">
        <v>0</v>
      </c>
      <c r="K61" s="648">
        <f t="shared" si="5"/>
        <v>13920</v>
      </c>
    </row>
    <row r="62" spans="1:11" ht="18" customHeight="1" x14ac:dyDescent="0.3">
      <c r="A62" s="733" t="s">
        <v>101</v>
      </c>
      <c r="B62" s="1354"/>
      <c r="C62" s="1355"/>
      <c r="D62" s="1356"/>
      <c r="E62" s="742"/>
      <c r="F62" s="646"/>
      <c r="G62" s="646"/>
      <c r="H62" s="647"/>
      <c r="I62" s="673">
        <v>0</v>
      </c>
      <c r="J62" s="647"/>
      <c r="K62" s="648">
        <f t="shared" si="5"/>
        <v>0</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6">SUM(F53:F62)</f>
        <v>18584.77</v>
      </c>
      <c r="G64" s="650">
        <f t="shared" si="6"/>
        <v>103</v>
      </c>
      <c r="H64" s="648">
        <f t="shared" si="6"/>
        <v>10420086</v>
      </c>
      <c r="I64" s="648">
        <f t="shared" si="6"/>
        <v>1158</v>
      </c>
      <c r="J64" s="648">
        <f t="shared" si="6"/>
        <v>5774650</v>
      </c>
      <c r="K64" s="648">
        <f t="shared" si="6"/>
        <v>4646594</v>
      </c>
    </row>
    <row r="65" spans="1:11" ht="18" customHeight="1" x14ac:dyDescent="0.25">
      <c r="A65" s="742"/>
      <c r="B65" s="742"/>
      <c r="C65" s="742"/>
      <c r="D65" s="742"/>
      <c r="E65" s="742"/>
      <c r="F65" s="671"/>
      <c r="G65" s="671"/>
      <c r="H65" s="671"/>
      <c r="I65" s="671"/>
      <c r="J65" s="671"/>
      <c r="K65" s="671"/>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674">
        <v>0</v>
      </c>
      <c r="G68" s="674">
        <v>0</v>
      </c>
      <c r="H68" s="674">
        <v>7568</v>
      </c>
      <c r="I68" s="673">
        <v>0</v>
      </c>
      <c r="J68" s="674">
        <v>0</v>
      </c>
      <c r="K68" s="648">
        <f>(H68+I68)-J68</f>
        <v>7568</v>
      </c>
    </row>
    <row r="69" spans="1:11" ht="18" customHeight="1" x14ac:dyDescent="0.3">
      <c r="A69" s="733" t="s">
        <v>104</v>
      </c>
      <c r="B69" s="635" t="s">
        <v>53</v>
      </c>
      <c r="C69" s="742"/>
      <c r="D69" s="742"/>
      <c r="E69" s="742"/>
      <c r="F69" s="674"/>
      <c r="G69" s="674"/>
      <c r="H69" s="674"/>
      <c r="I69" s="673">
        <v>0</v>
      </c>
      <c r="J69" s="674"/>
      <c r="K69" s="648">
        <f>(H69+I69)-J69</f>
        <v>0</v>
      </c>
    </row>
    <row r="70" spans="1:11" ht="18" customHeight="1" x14ac:dyDescent="0.3">
      <c r="A70" s="733" t="s">
        <v>178</v>
      </c>
      <c r="B70" s="912"/>
      <c r="C70" s="913"/>
      <c r="D70" s="914"/>
      <c r="E70" s="636"/>
      <c r="F70" s="658"/>
      <c r="G70" s="658"/>
      <c r="H70" s="659"/>
      <c r="I70" s="673">
        <v>0</v>
      </c>
      <c r="J70" s="659"/>
      <c r="K70" s="648">
        <f>(H70+I70)-J70</f>
        <v>0</v>
      </c>
    </row>
    <row r="71" spans="1:11" ht="18" customHeight="1" x14ac:dyDescent="0.3">
      <c r="A71" s="733" t="s">
        <v>179</v>
      </c>
      <c r="B71" s="912"/>
      <c r="C71" s="913"/>
      <c r="D71" s="914"/>
      <c r="E71" s="636"/>
      <c r="F71" s="658"/>
      <c r="G71" s="658"/>
      <c r="H71" s="659"/>
      <c r="I71" s="673">
        <v>0</v>
      </c>
      <c r="J71" s="659"/>
      <c r="K71" s="648">
        <f>(H71+I71)-J71</f>
        <v>0</v>
      </c>
    </row>
    <row r="72" spans="1:11" ht="18" customHeight="1" x14ac:dyDescent="0.3">
      <c r="A72" s="733" t="s">
        <v>180</v>
      </c>
      <c r="B72" s="930"/>
      <c r="C72" s="929"/>
      <c r="D72" s="657"/>
      <c r="E72" s="636"/>
      <c r="F72" s="646"/>
      <c r="G72" s="646"/>
      <c r="H72" s="647"/>
      <c r="I72" s="673">
        <v>0</v>
      </c>
      <c r="J72" s="647"/>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7568</v>
      </c>
      <c r="I74" s="676">
        <f t="shared" si="7"/>
        <v>0</v>
      </c>
      <c r="J74" s="653">
        <f t="shared" si="7"/>
        <v>0</v>
      </c>
      <c r="K74" s="649">
        <f t="shared" si="7"/>
        <v>7568</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646"/>
      <c r="G77" s="646"/>
      <c r="H77" s="647"/>
      <c r="I77" s="673">
        <v>0</v>
      </c>
      <c r="J77" s="647"/>
      <c r="K77" s="648">
        <f>(H77+I77)-J77</f>
        <v>0</v>
      </c>
    </row>
    <row r="78" spans="1:11" ht="18" customHeight="1" x14ac:dyDescent="0.3">
      <c r="A78" s="733" t="s">
        <v>108</v>
      </c>
      <c r="B78" s="635" t="s">
        <v>55</v>
      </c>
      <c r="C78" s="742"/>
      <c r="D78" s="742"/>
      <c r="E78" s="742"/>
      <c r="F78" s="646"/>
      <c r="G78" s="646"/>
      <c r="H78" s="647"/>
      <c r="I78" s="673">
        <v>0</v>
      </c>
      <c r="J78" s="647"/>
      <c r="K78" s="648">
        <f>(H78+I78)-J78</f>
        <v>0</v>
      </c>
    </row>
    <row r="79" spans="1:11" ht="18" customHeight="1" x14ac:dyDescent="0.3">
      <c r="A79" s="733" t="s">
        <v>109</v>
      </c>
      <c r="B79" s="635" t="s">
        <v>13</v>
      </c>
      <c r="C79" s="742"/>
      <c r="D79" s="742"/>
      <c r="E79" s="742"/>
      <c r="F79" s="646">
        <v>29859.58</v>
      </c>
      <c r="G79" s="646">
        <v>36721</v>
      </c>
      <c r="H79" s="647">
        <v>350086</v>
      </c>
      <c r="I79" s="673">
        <v>6659</v>
      </c>
      <c r="J79" s="647">
        <v>166581</v>
      </c>
      <c r="K79" s="648">
        <f>(H79+I79)-J79</f>
        <v>190164</v>
      </c>
    </row>
    <row r="80" spans="1:11" ht="18" customHeight="1" x14ac:dyDescent="0.3">
      <c r="A80" s="733" t="s">
        <v>110</v>
      </c>
      <c r="B80" s="635" t="s">
        <v>56</v>
      </c>
      <c r="C80" s="742"/>
      <c r="D80" s="742"/>
      <c r="E80" s="742"/>
      <c r="F80" s="646"/>
      <c r="G80" s="646"/>
      <c r="H80" s="647"/>
      <c r="I80" s="673">
        <v>0</v>
      </c>
      <c r="J80" s="647"/>
      <c r="K80" s="648">
        <f>(H80+I80)-J80</f>
        <v>0</v>
      </c>
    </row>
    <row r="81" spans="1:11" ht="18" customHeight="1" x14ac:dyDescent="0.3">
      <c r="A81" s="733"/>
      <c r="B81" s="742"/>
      <c r="C81" s="742"/>
      <c r="D81" s="742"/>
      <c r="E81" s="742"/>
      <c r="F81" s="742"/>
      <c r="G81" s="742"/>
      <c r="H81" s="742"/>
      <c r="I81" s="742"/>
      <c r="J81" s="742"/>
      <c r="K81" s="663"/>
    </row>
    <row r="82" spans="1:11" ht="18" customHeight="1" x14ac:dyDescent="0.3">
      <c r="A82" s="733" t="s">
        <v>148</v>
      </c>
      <c r="B82" s="636" t="s">
        <v>149</v>
      </c>
      <c r="C82" s="742"/>
      <c r="D82" s="742"/>
      <c r="E82" s="636" t="s">
        <v>7</v>
      </c>
      <c r="F82" s="653">
        <f t="shared" ref="F82:K82" si="8">SUM(F77:F80)</f>
        <v>29859.58</v>
      </c>
      <c r="G82" s="653">
        <f t="shared" si="8"/>
        <v>36721</v>
      </c>
      <c r="H82" s="649">
        <f t="shared" si="8"/>
        <v>350086</v>
      </c>
      <c r="I82" s="649">
        <f t="shared" si="8"/>
        <v>6659</v>
      </c>
      <c r="J82" s="649">
        <f t="shared" si="8"/>
        <v>166581</v>
      </c>
      <c r="K82" s="649">
        <f t="shared" si="8"/>
        <v>190164</v>
      </c>
    </row>
    <row r="83" spans="1:11" ht="18" customHeight="1" thickBot="1" x14ac:dyDescent="0.35">
      <c r="A83" s="733"/>
      <c r="B83" s="742"/>
      <c r="C83" s="742"/>
      <c r="D83" s="742"/>
      <c r="E83" s="742"/>
      <c r="F83" s="655"/>
      <c r="G83" s="655"/>
      <c r="H83" s="655"/>
      <c r="I83" s="655"/>
      <c r="J83" s="655"/>
      <c r="K83" s="655"/>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733" t="s">
        <v>114</v>
      </c>
      <c r="B87" s="635" t="s">
        <v>14</v>
      </c>
      <c r="C87" s="742"/>
      <c r="D87" s="742"/>
      <c r="E87" s="742"/>
      <c r="F87" s="646">
        <v>67</v>
      </c>
      <c r="G87" s="646">
        <v>225</v>
      </c>
      <c r="H87" s="647">
        <v>12004</v>
      </c>
      <c r="I87" s="673">
        <f t="shared" si="9"/>
        <v>8642.8799999999992</v>
      </c>
      <c r="J87" s="647">
        <v>0</v>
      </c>
      <c r="K87" s="648">
        <f t="shared" si="10"/>
        <v>20646.879999999997</v>
      </c>
    </row>
    <row r="88" spans="1:11" ht="18" customHeight="1" x14ac:dyDescent="0.3">
      <c r="A88" s="733" t="s">
        <v>115</v>
      </c>
      <c r="B88" s="635" t="s">
        <v>116</v>
      </c>
      <c r="C88" s="742"/>
      <c r="D88" s="742"/>
      <c r="E88" s="742"/>
      <c r="F88" s="646">
        <v>91.5</v>
      </c>
      <c r="G88" s="646">
        <v>135</v>
      </c>
      <c r="H88" s="647">
        <v>12674</v>
      </c>
      <c r="I88" s="673">
        <f t="shared" si="9"/>
        <v>9125.2799999999988</v>
      </c>
      <c r="J88" s="647">
        <v>0</v>
      </c>
      <c r="K88" s="648">
        <f t="shared" si="10"/>
        <v>21799.279999999999</v>
      </c>
    </row>
    <row r="89" spans="1:11" ht="18" customHeight="1" x14ac:dyDescent="0.3">
      <c r="A89" s="733" t="s">
        <v>117</v>
      </c>
      <c r="B89" s="635" t="s">
        <v>58</v>
      </c>
      <c r="C89" s="742"/>
      <c r="D89" s="742"/>
      <c r="E89" s="742"/>
      <c r="F89" s="646">
        <v>2</v>
      </c>
      <c r="G89" s="646">
        <v>20</v>
      </c>
      <c r="H89" s="647">
        <v>0</v>
      </c>
      <c r="I89" s="673">
        <f t="shared" si="9"/>
        <v>0</v>
      </c>
      <c r="J89" s="647">
        <v>0</v>
      </c>
      <c r="K89" s="648">
        <f t="shared" si="10"/>
        <v>0</v>
      </c>
    </row>
    <row r="90" spans="1:11" ht="18" customHeight="1" x14ac:dyDescent="0.3">
      <c r="A90" s="733" t="s">
        <v>118</v>
      </c>
      <c r="B90" s="1359" t="s">
        <v>59</v>
      </c>
      <c r="C90" s="1359"/>
      <c r="D90" s="742"/>
      <c r="E90" s="742"/>
      <c r="F90" s="646">
        <v>20.5</v>
      </c>
      <c r="G90" s="646">
        <v>27</v>
      </c>
      <c r="H90" s="647">
        <v>1311</v>
      </c>
      <c r="I90" s="673">
        <v>944</v>
      </c>
      <c r="J90" s="647">
        <v>0</v>
      </c>
      <c r="K90" s="648">
        <f t="shared" si="10"/>
        <v>2255</v>
      </c>
    </row>
    <row r="91" spans="1:11" ht="18" customHeight="1" x14ac:dyDescent="0.3">
      <c r="A91" s="733" t="s">
        <v>119</v>
      </c>
      <c r="B91" s="635" t="s">
        <v>60</v>
      </c>
      <c r="C91" s="742"/>
      <c r="D91" s="742"/>
      <c r="E91" s="742"/>
      <c r="F91" s="646"/>
      <c r="G91" s="646"/>
      <c r="H91" s="647"/>
      <c r="I91" s="673">
        <f t="shared" si="9"/>
        <v>0</v>
      </c>
      <c r="J91" s="647"/>
      <c r="K91" s="648">
        <f t="shared" si="10"/>
        <v>0</v>
      </c>
    </row>
    <row r="92" spans="1:11" ht="18" customHeight="1" x14ac:dyDescent="0.3">
      <c r="A92" s="733" t="s">
        <v>120</v>
      </c>
      <c r="B92" s="635" t="s">
        <v>121</v>
      </c>
      <c r="C92" s="742"/>
      <c r="D92" s="742"/>
      <c r="E92" s="742"/>
      <c r="F92" s="661"/>
      <c r="G92" s="661"/>
      <c r="H92" s="662"/>
      <c r="I92" s="673">
        <f t="shared" si="9"/>
        <v>0</v>
      </c>
      <c r="J92" s="662"/>
      <c r="K92" s="648">
        <f t="shared" si="10"/>
        <v>0</v>
      </c>
    </row>
    <row r="93" spans="1:11" ht="18" customHeight="1" x14ac:dyDescent="0.3">
      <c r="A93" s="733" t="s">
        <v>122</v>
      </c>
      <c r="B93" s="635" t="s">
        <v>123</v>
      </c>
      <c r="C93" s="742"/>
      <c r="D93" s="742"/>
      <c r="E93" s="742"/>
      <c r="F93" s="646">
        <v>1747</v>
      </c>
      <c r="G93" s="646">
        <v>201</v>
      </c>
      <c r="H93" s="647">
        <v>34314</v>
      </c>
      <c r="I93" s="673">
        <v>22403</v>
      </c>
      <c r="J93" s="647">
        <v>0</v>
      </c>
      <c r="K93" s="648">
        <f t="shared" si="10"/>
        <v>56717</v>
      </c>
    </row>
    <row r="94" spans="1:11" ht="18" customHeight="1" x14ac:dyDescent="0.3">
      <c r="A94" s="733" t="s">
        <v>124</v>
      </c>
      <c r="B94" s="1354"/>
      <c r="C94" s="1355"/>
      <c r="D94" s="1356"/>
      <c r="E94" s="742"/>
      <c r="F94" s="646"/>
      <c r="G94" s="646"/>
      <c r="H94" s="647"/>
      <c r="I94" s="673">
        <f t="shared" si="9"/>
        <v>0</v>
      </c>
      <c r="J94" s="647"/>
      <c r="K94" s="648">
        <f t="shared" si="10"/>
        <v>0</v>
      </c>
    </row>
    <row r="95" spans="1:11" ht="18" customHeight="1" x14ac:dyDescent="0.3">
      <c r="A95" s="733" t="s">
        <v>125</v>
      </c>
      <c r="B95" s="1354"/>
      <c r="C95" s="1355"/>
      <c r="D95" s="1356"/>
      <c r="E95" s="742"/>
      <c r="F95" s="646"/>
      <c r="G95" s="646"/>
      <c r="H95" s="647"/>
      <c r="I95" s="673">
        <f t="shared" si="9"/>
        <v>0</v>
      </c>
      <c r="J95" s="647"/>
      <c r="K95" s="648">
        <f t="shared" si="10"/>
        <v>0</v>
      </c>
    </row>
    <row r="96" spans="1:11" ht="18" customHeight="1" x14ac:dyDescent="0.3">
      <c r="A96" s="733" t="s">
        <v>126</v>
      </c>
      <c r="B96" s="1354"/>
      <c r="C96" s="1355"/>
      <c r="D96" s="1356"/>
      <c r="E96" s="742"/>
      <c r="F96" s="646"/>
      <c r="G96" s="646"/>
      <c r="H96" s="647"/>
      <c r="I96" s="673">
        <f t="shared" si="9"/>
        <v>0</v>
      </c>
      <c r="J96" s="647"/>
      <c r="K96" s="648">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1928</v>
      </c>
      <c r="G98" s="650">
        <f t="shared" si="11"/>
        <v>608</v>
      </c>
      <c r="H98" s="650">
        <f t="shared" si="11"/>
        <v>60303</v>
      </c>
      <c r="I98" s="650">
        <f t="shared" si="11"/>
        <v>41115.159999999996</v>
      </c>
      <c r="J98" s="650">
        <f t="shared" si="11"/>
        <v>0</v>
      </c>
      <c r="K98" s="650">
        <f t="shared" si="11"/>
        <v>101418.16</v>
      </c>
    </row>
    <row r="99" spans="1:11" ht="18" customHeight="1" thickBot="1" x14ac:dyDescent="0.35">
      <c r="A99" s="742"/>
      <c r="B99" s="636"/>
      <c r="C99" s="742"/>
      <c r="D99" s="742"/>
      <c r="E99" s="742"/>
      <c r="F99" s="655"/>
      <c r="G99" s="655"/>
      <c r="H99" s="655"/>
      <c r="I99" s="655"/>
      <c r="J99" s="655"/>
      <c r="K99" s="655"/>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646">
        <v>2184</v>
      </c>
      <c r="G102" s="646">
        <v>0</v>
      </c>
      <c r="H102" s="647">
        <v>73862</v>
      </c>
      <c r="I102" s="673">
        <f>H102*F$114</f>
        <v>53180.639999999999</v>
      </c>
      <c r="J102" s="647">
        <v>0</v>
      </c>
      <c r="K102" s="648">
        <f>(H102+I102)-J102</f>
        <v>127042.64</v>
      </c>
    </row>
    <row r="103" spans="1:11" ht="18" customHeight="1" x14ac:dyDescent="0.3">
      <c r="A103" s="733" t="s">
        <v>132</v>
      </c>
      <c r="B103" s="1357" t="s">
        <v>62</v>
      </c>
      <c r="C103" s="1357"/>
      <c r="D103" s="742"/>
      <c r="E103" s="742"/>
      <c r="F103" s="646">
        <v>0</v>
      </c>
      <c r="G103" s="646">
        <v>15</v>
      </c>
      <c r="H103" s="647">
        <v>0</v>
      </c>
      <c r="I103" s="673">
        <f>H103*F$114</f>
        <v>0</v>
      </c>
      <c r="J103" s="647">
        <v>0</v>
      </c>
      <c r="K103" s="648">
        <f>(H103+I103)-J103</f>
        <v>0</v>
      </c>
    </row>
    <row r="104" spans="1:11" ht="18" customHeight="1" x14ac:dyDescent="0.3">
      <c r="A104" s="733" t="s">
        <v>128</v>
      </c>
      <c r="B104" s="1455" t="s">
        <v>389</v>
      </c>
      <c r="C104" s="1456"/>
      <c r="D104" s="1457"/>
      <c r="E104" s="742"/>
      <c r="F104" s="646">
        <v>0</v>
      </c>
      <c r="G104" s="646">
        <v>0</v>
      </c>
      <c r="H104" s="647">
        <v>10950</v>
      </c>
      <c r="I104" s="673">
        <f>H104*F$114</f>
        <v>7884</v>
      </c>
      <c r="J104" s="647">
        <v>0</v>
      </c>
      <c r="K104" s="648">
        <f>(H104+I104)-J104</f>
        <v>18834</v>
      </c>
    </row>
    <row r="105" spans="1:11" ht="18" customHeight="1" x14ac:dyDescent="0.3">
      <c r="A105" s="733" t="s">
        <v>127</v>
      </c>
      <c r="B105" s="1354"/>
      <c r="C105" s="1355"/>
      <c r="D105" s="1356"/>
      <c r="E105" s="742"/>
      <c r="F105" s="646"/>
      <c r="G105" s="646"/>
      <c r="H105" s="647"/>
      <c r="I105" s="673">
        <f>H105*F$114</f>
        <v>0</v>
      </c>
      <c r="J105" s="647"/>
      <c r="K105" s="648">
        <f>(H105+I105)-J105</f>
        <v>0</v>
      </c>
    </row>
    <row r="106" spans="1:11" ht="18" customHeight="1" x14ac:dyDescent="0.3">
      <c r="A106" s="733" t="s">
        <v>129</v>
      </c>
      <c r="B106" s="1354"/>
      <c r="C106" s="1355"/>
      <c r="D106" s="1356"/>
      <c r="E106" s="742"/>
      <c r="F106" s="646"/>
      <c r="G106" s="646"/>
      <c r="H106" s="647"/>
      <c r="I106" s="673">
        <f>H106*F$114</f>
        <v>0</v>
      </c>
      <c r="J106" s="647"/>
      <c r="K106" s="648">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2184</v>
      </c>
      <c r="G108" s="650">
        <f t="shared" si="12"/>
        <v>15</v>
      </c>
      <c r="H108" s="648">
        <f t="shared" si="12"/>
        <v>84812</v>
      </c>
      <c r="I108" s="648">
        <f t="shared" si="12"/>
        <v>61064.639999999999</v>
      </c>
      <c r="J108" s="648">
        <f t="shared" si="12"/>
        <v>0</v>
      </c>
      <c r="K108" s="648">
        <f t="shared" si="12"/>
        <v>145876.64000000001</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1411673</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656">
        <v>0.72</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647">
        <v>159374030</v>
      </c>
      <c r="G117" s="740"/>
      <c r="H117" s="740"/>
      <c r="I117" s="740"/>
      <c r="J117" s="740"/>
      <c r="K117" s="740"/>
    </row>
    <row r="118" spans="1:11" ht="18" customHeight="1" x14ac:dyDescent="0.3">
      <c r="A118" s="733" t="s">
        <v>173</v>
      </c>
      <c r="B118" s="742" t="s">
        <v>18</v>
      </c>
      <c r="C118" s="742"/>
      <c r="D118" s="742"/>
      <c r="E118" s="742"/>
      <c r="F118" s="647">
        <v>4122587</v>
      </c>
      <c r="G118" s="740"/>
      <c r="H118" s="740"/>
      <c r="I118" s="740"/>
      <c r="J118" s="740"/>
      <c r="K118" s="740"/>
    </row>
    <row r="119" spans="1:11" ht="18" customHeight="1" x14ac:dyDescent="0.3">
      <c r="A119" s="733" t="s">
        <v>174</v>
      </c>
      <c r="B119" s="636" t="s">
        <v>19</v>
      </c>
      <c r="C119" s="742"/>
      <c r="D119" s="742"/>
      <c r="E119" s="742"/>
      <c r="F119" s="649">
        <f>SUM(F117:F118)</f>
        <v>163496617</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647">
        <v>157260383</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647">
        <v>963061</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647">
        <v>5015738</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647">
        <v>5978799</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646">
        <v>0</v>
      </c>
      <c r="G131" s="646">
        <v>118</v>
      </c>
      <c r="H131" s="647">
        <v>13713</v>
      </c>
      <c r="I131" s="673">
        <v>0</v>
      </c>
      <c r="J131" s="647">
        <v>13713</v>
      </c>
      <c r="K131" s="648">
        <f>(H131+I131)-J131</f>
        <v>0</v>
      </c>
    </row>
    <row r="132" spans="1:11" ht="18" customHeight="1" x14ac:dyDescent="0.3">
      <c r="A132" s="733" t="s">
        <v>159</v>
      </c>
      <c r="B132" s="742" t="s">
        <v>25</v>
      </c>
      <c r="C132" s="742"/>
      <c r="D132" s="742"/>
      <c r="E132" s="742"/>
      <c r="F132" s="646"/>
      <c r="G132" s="646"/>
      <c r="H132" s="647"/>
      <c r="I132" s="673">
        <v>0</v>
      </c>
      <c r="J132" s="647"/>
      <c r="K132" s="648">
        <f>(H132+I132)-J132</f>
        <v>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118</v>
      </c>
      <c r="H137" s="648">
        <f t="shared" si="13"/>
        <v>13713</v>
      </c>
      <c r="I137" s="648">
        <f t="shared" si="13"/>
        <v>0</v>
      </c>
      <c r="J137" s="648">
        <f t="shared" si="13"/>
        <v>13713</v>
      </c>
      <c r="K137" s="648">
        <f t="shared" si="13"/>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664">
        <f t="shared" ref="F141:K141" si="14">F36</f>
        <v>2236.0700000000002</v>
      </c>
      <c r="G141" s="664">
        <f t="shared" si="14"/>
        <v>5249</v>
      </c>
      <c r="H141" s="664">
        <f t="shared" si="14"/>
        <v>311690</v>
      </c>
      <c r="I141" s="664">
        <f t="shared" si="14"/>
        <v>19063</v>
      </c>
      <c r="J141" s="664">
        <f t="shared" si="14"/>
        <v>1200</v>
      </c>
      <c r="K141" s="664">
        <f t="shared" si="14"/>
        <v>329553</v>
      </c>
    </row>
    <row r="142" spans="1:11" ht="18" customHeight="1" x14ac:dyDescent="0.3">
      <c r="A142" s="733" t="s">
        <v>142</v>
      </c>
      <c r="B142" s="636" t="s">
        <v>65</v>
      </c>
      <c r="C142" s="742"/>
      <c r="D142" s="742"/>
      <c r="E142" s="742"/>
      <c r="F142" s="664">
        <f t="shared" ref="F142:K142" si="15">F49</f>
        <v>7955</v>
      </c>
      <c r="G142" s="664">
        <f t="shared" si="15"/>
        <v>658</v>
      </c>
      <c r="H142" s="664">
        <f t="shared" si="15"/>
        <v>284784</v>
      </c>
      <c r="I142" s="664">
        <f t="shared" si="15"/>
        <v>204442</v>
      </c>
      <c r="J142" s="664">
        <f t="shared" si="15"/>
        <v>0</v>
      </c>
      <c r="K142" s="664">
        <f t="shared" si="15"/>
        <v>489226</v>
      </c>
    </row>
    <row r="143" spans="1:11" ht="18" customHeight="1" x14ac:dyDescent="0.3">
      <c r="A143" s="733" t="s">
        <v>144</v>
      </c>
      <c r="B143" s="636" t="s">
        <v>66</v>
      </c>
      <c r="C143" s="742"/>
      <c r="D143" s="742"/>
      <c r="E143" s="742"/>
      <c r="F143" s="664">
        <f t="shared" ref="F143:K143" si="16">F64</f>
        <v>18584.77</v>
      </c>
      <c r="G143" s="664">
        <f t="shared" si="16"/>
        <v>103</v>
      </c>
      <c r="H143" s="664">
        <f t="shared" si="16"/>
        <v>10420086</v>
      </c>
      <c r="I143" s="664">
        <f t="shared" si="16"/>
        <v>1158</v>
      </c>
      <c r="J143" s="664">
        <f t="shared" si="16"/>
        <v>5774650</v>
      </c>
      <c r="K143" s="664">
        <f t="shared" si="16"/>
        <v>4646594</v>
      </c>
    </row>
    <row r="144" spans="1:11" ht="18" customHeight="1" x14ac:dyDescent="0.3">
      <c r="A144" s="733" t="s">
        <v>146</v>
      </c>
      <c r="B144" s="636" t="s">
        <v>67</v>
      </c>
      <c r="C144" s="742"/>
      <c r="D144" s="742"/>
      <c r="E144" s="742"/>
      <c r="F144" s="664">
        <f t="shared" ref="F144:K144" si="17">F74</f>
        <v>0</v>
      </c>
      <c r="G144" s="664">
        <f t="shared" si="17"/>
        <v>0</v>
      </c>
      <c r="H144" s="664">
        <f t="shared" si="17"/>
        <v>7568</v>
      </c>
      <c r="I144" s="664">
        <f t="shared" si="17"/>
        <v>0</v>
      </c>
      <c r="J144" s="664">
        <f t="shared" si="17"/>
        <v>0</v>
      </c>
      <c r="K144" s="664">
        <f t="shared" si="17"/>
        <v>7568</v>
      </c>
    </row>
    <row r="145" spans="1:11" ht="18" customHeight="1" x14ac:dyDescent="0.3">
      <c r="A145" s="733" t="s">
        <v>148</v>
      </c>
      <c r="B145" s="636" t="s">
        <v>68</v>
      </c>
      <c r="C145" s="742"/>
      <c r="D145" s="742"/>
      <c r="E145" s="742"/>
      <c r="F145" s="664">
        <f t="shared" ref="F145:K145" si="18">F82</f>
        <v>29859.58</v>
      </c>
      <c r="G145" s="664">
        <f t="shared" si="18"/>
        <v>36721</v>
      </c>
      <c r="H145" s="664">
        <f t="shared" si="18"/>
        <v>350086</v>
      </c>
      <c r="I145" s="664">
        <f t="shared" si="18"/>
        <v>6659</v>
      </c>
      <c r="J145" s="664">
        <f t="shared" si="18"/>
        <v>166581</v>
      </c>
      <c r="K145" s="664">
        <f t="shared" si="18"/>
        <v>190164</v>
      </c>
    </row>
    <row r="146" spans="1:11" ht="18" customHeight="1" x14ac:dyDescent="0.3">
      <c r="A146" s="733" t="s">
        <v>150</v>
      </c>
      <c r="B146" s="636" t="s">
        <v>69</v>
      </c>
      <c r="C146" s="742"/>
      <c r="D146" s="742"/>
      <c r="E146" s="742"/>
      <c r="F146" s="664">
        <f t="shared" ref="F146:K146" si="19">F98</f>
        <v>1928</v>
      </c>
      <c r="G146" s="664">
        <f t="shared" si="19"/>
        <v>608</v>
      </c>
      <c r="H146" s="664">
        <f t="shared" si="19"/>
        <v>60303</v>
      </c>
      <c r="I146" s="664">
        <f t="shared" si="19"/>
        <v>41115.159999999996</v>
      </c>
      <c r="J146" s="664">
        <f t="shared" si="19"/>
        <v>0</v>
      </c>
      <c r="K146" s="664">
        <f t="shared" si="19"/>
        <v>101418.16</v>
      </c>
    </row>
    <row r="147" spans="1:11" ht="18" customHeight="1" x14ac:dyDescent="0.3">
      <c r="A147" s="733" t="s">
        <v>153</v>
      </c>
      <c r="B147" s="636" t="s">
        <v>61</v>
      </c>
      <c r="C147" s="742"/>
      <c r="D147" s="742"/>
      <c r="E147" s="742"/>
      <c r="F147" s="650">
        <f t="shared" ref="F147:K147" si="20">F108</f>
        <v>2184</v>
      </c>
      <c r="G147" s="650">
        <f t="shared" si="20"/>
        <v>15</v>
      </c>
      <c r="H147" s="650">
        <f t="shared" si="20"/>
        <v>84812</v>
      </c>
      <c r="I147" s="650">
        <f t="shared" si="20"/>
        <v>61064.639999999999</v>
      </c>
      <c r="J147" s="650">
        <f t="shared" si="20"/>
        <v>0</v>
      </c>
      <c r="K147" s="650">
        <f t="shared" si="20"/>
        <v>145876.64000000001</v>
      </c>
    </row>
    <row r="148" spans="1:11" ht="18" customHeight="1" x14ac:dyDescent="0.3">
      <c r="A148" s="733" t="s">
        <v>155</v>
      </c>
      <c r="B148" s="636" t="s">
        <v>70</v>
      </c>
      <c r="C148" s="742"/>
      <c r="D148" s="742"/>
      <c r="E148" s="742"/>
      <c r="F148" s="665" t="s">
        <v>73</v>
      </c>
      <c r="G148" s="665" t="s">
        <v>73</v>
      </c>
      <c r="H148" s="666" t="s">
        <v>73</v>
      </c>
      <c r="I148" s="666" t="s">
        <v>73</v>
      </c>
      <c r="J148" s="666" t="s">
        <v>73</v>
      </c>
      <c r="K148" s="660">
        <f>F111</f>
        <v>1411673</v>
      </c>
    </row>
    <row r="149" spans="1:11" ht="18" customHeight="1" x14ac:dyDescent="0.3">
      <c r="A149" s="733" t="s">
        <v>163</v>
      </c>
      <c r="B149" s="636" t="s">
        <v>71</v>
      </c>
      <c r="C149" s="742"/>
      <c r="D149" s="742"/>
      <c r="E149" s="742"/>
      <c r="F149" s="650">
        <f t="shared" ref="F149:K149" si="21">F137</f>
        <v>0</v>
      </c>
      <c r="G149" s="650">
        <f t="shared" si="21"/>
        <v>118</v>
      </c>
      <c r="H149" s="650">
        <f t="shared" si="21"/>
        <v>13713</v>
      </c>
      <c r="I149" s="650">
        <f t="shared" si="21"/>
        <v>0</v>
      </c>
      <c r="J149" s="650">
        <f t="shared" si="21"/>
        <v>13713</v>
      </c>
      <c r="K149" s="650">
        <f t="shared" si="21"/>
        <v>0</v>
      </c>
    </row>
    <row r="150" spans="1:11" ht="18" customHeight="1" x14ac:dyDescent="0.3">
      <c r="A150" s="733" t="s">
        <v>185</v>
      </c>
      <c r="B150" s="636" t="s">
        <v>186</v>
      </c>
      <c r="C150" s="742"/>
      <c r="D150" s="742"/>
      <c r="E150" s="742"/>
      <c r="F150" s="665" t="s">
        <v>73</v>
      </c>
      <c r="G150" s="665" t="s">
        <v>73</v>
      </c>
      <c r="H150" s="650">
        <f>H18</f>
        <v>3597016.38501667</v>
      </c>
      <c r="I150" s="650">
        <f>I18</f>
        <v>0</v>
      </c>
      <c r="J150" s="650">
        <f>J18</f>
        <v>3040188.64539822</v>
      </c>
      <c r="K150" s="650">
        <f>K18</f>
        <v>556827.73961844994</v>
      </c>
    </row>
    <row r="151" spans="1:11" ht="18" customHeight="1" x14ac:dyDescent="0.3">
      <c r="A151" s="742"/>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62747.42</v>
      </c>
      <c r="G152" s="672">
        <f t="shared" si="22"/>
        <v>43472</v>
      </c>
      <c r="H152" s="672">
        <f t="shared" si="22"/>
        <v>15130058.38501667</v>
      </c>
      <c r="I152" s="672">
        <f t="shared" si="22"/>
        <v>333501.8</v>
      </c>
      <c r="J152" s="672">
        <f t="shared" si="22"/>
        <v>8996332.64539822</v>
      </c>
      <c r="K152" s="672">
        <f t="shared" si="22"/>
        <v>7878900.5396184493</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5.0100987860486446E-2</v>
      </c>
      <c r="G154" s="742"/>
      <c r="H154" s="742"/>
      <c r="I154" s="742"/>
      <c r="J154" s="742"/>
      <c r="K154" s="742"/>
    </row>
    <row r="155" spans="1:11" ht="18" customHeight="1" x14ac:dyDescent="0.3">
      <c r="A155" s="639" t="s">
        <v>169</v>
      </c>
      <c r="B155" s="636" t="s">
        <v>72</v>
      </c>
      <c r="C155" s="742"/>
      <c r="D155" s="742"/>
      <c r="E155" s="742"/>
      <c r="F155" s="687">
        <f>K152/F127</f>
        <v>1.317806559414098</v>
      </c>
      <c r="G155" s="636"/>
      <c r="H155" s="742"/>
      <c r="I155" s="742"/>
      <c r="J155" s="742"/>
      <c r="K155" s="742"/>
    </row>
    <row r="156" spans="1:11" ht="18" customHeight="1" x14ac:dyDescent="0.3">
      <c r="A156" s="438"/>
      <c r="B156" s="438"/>
      <c r="C156" s="438"/>
      <c r="D156" s="438"/>
      <c r="E156" s="438"/>
      <c r="F156" s="438"/>
      <c r="G156" s="439"/>
      <c r="H156" s="438"/>
      <c r="I156" s="438"/>
      <c r="J156" s="438"/>
      <c r="K156" s="438"/>
    </row>
  </sheetData>
  <sheetProtection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K156"/>
  <sheetViews>
    <sheetView showGridLines="0" zoomScale="70" zoomScaleNormal="70" zoomScaleSheetLayoutView="80" workbookViewId="0"/>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61" t="s">
        <v>557</v>
      </c>
      <c r="D5" s="1362"/>
      <c r="E5" s="1362"/>
      <c r="F5" s="1362"/>
      <c r="G5" s="1364"/>
      <c r="H5" s="742"/>
      <c r="I5" s="742"/>
      <c r="J5" s="742"/>
      <c r="K5" s="742"/>
    </row>
    <row r="6" spans="1:11" ht="18" customHeight="1" x14ac:dyDescent="0.3">
      <c r="A6" s="742"/>
      <c r="B6" s="733" t="s">
        <v>3</v>
      </c>
      <c r="C6" s="1365" t="s">
        <v>322</v>
      </c>
      <c r="D6" s="1366"/>
      <c r="E6" s="1366"/>
      <c r="F6" s="1366"/>
      <c r="G6" s="1367"/>
      <c r="H6" s="742"/>
      <c r="I6" s="742"/>
      <c r="J6" s="742"/>
      <c r="K6" s="742"/>
    </row>
    <row r="7" spans="1:11" ht="18" customHeight="1" x14ac:dyDescent="0.3">
      <c r="A7" s="742"/>
      <c r="B7" s="733" t="s">
        <v>4</v>
      </c>
      <c r="C7" s="1368">
        <v>1759</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61" t="s">
        <v>323</v>
      </c>
      <c r="D9" s="1362"/>
      <c r="E9" s="1362"/>
      <c r="F9" s="1362"/>
      <c r="G9" s="1364"/>
      <c r="H9" s="742"/>
      <c r="I9" s="742"/>
      <c r="J9" s="742"/>
      <c r="K9" s="742"/>
    </row>
    <row r="10" spans="1:11" ht="18" customHeight="1" x14ac:dyDescent="0.3">
      <c r="A10" s="742"/>
      <c r="B10" s="733" t="s">
        <v>2</v>
      </c>
      <c r="C10" s="1371" t="s">
        <v>324</v>
      </c>
      <c r="D10" s="1372"/>
      <c r="E10" s="1372"/>
      <c r="F10" s="1372"/>
      <c r="G10" s="1373"/>
      <c r="H10" s="742"/>
      <c r="I10" s="742"/>
      <c r="J10" s="742"/>
      <c r="K10" s="742"/>
    </row>
    <row r="11" spans="1:11" ht="18" customHeight="1" x14ac:dyDescent="0.3">
      <c r="A11" s="742"/>
      <c r="B11" s="733" t="s">
        <v>32</v>
      </c>
      <c r="C11" s="1361" t="s">
        <v>325</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646" t="s">
        <v>73</v>
      </c>
      <c r="G18" s="646" t="s">
        <v>73</v>
      </c>
      <c r="H18" s="647">
        <v>5817442</v>
      </c>
      <c r="I18" s="673">
        <v>0</v>
      </c>
      <c r="J18" s="647">
        <v>4916886</v>
      </c>
      <c r="K18" s="648">
        <f>(H18+I18)-J18</f>
        <v>900556</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646">
        <v>32120</v>
      </c>
      <c r="G21" s="646">
        <v>99896</v>
      </c>
      <c r="H21" s="647">
        <v>1477258</v>
      </c>
      <c r="I21" s="673">
        <f t="shared" ref="I21:I34" si="0">H21*F$114</f>
        <v>738629</v>
      </c>
      <c r="J21" s="647">
        <v>175305</v>
      </c>
      <c r="K21" s="648">
        <f t="shared" ref="K21:K34" si="1">(H21+I21)-J21</f>
        <v>2040582</v>
      </c>
    </row>
    <row r="22" spans="1:11" ht="18" customHeight="1" x14ac:dyDescent="0.3">
      <c r="A22" s="733" t="s">
        <v>76</v>
      </c>
      <c r="B22" s="742" t="s">
        <v>6</v>
      </c>
      <c r="C22" s="742"/>
      <c r="D22" s="742"/>
      <c r="E22" s="742"/>
      <c r="F22" s="646"/>
      <c r="G22" s="646">
        <v>2424</v>
      </c>
      <c r="H22" s="647">
        <v>950</v>
      </c>
      <c r="I22" s="673">
        <f t="shared" si="0"/>
        <v>475</v>
      </c>
      <c r="J22" s="647"/>
      <c r="K22" s="648">
        <f t="shared" si="1"/>
        <v>1425</v>
      </c>
    </row>
    <row r="23" spans="1:11" ht="18" customHeight="1" x14ac:dyDescent="0.3">
      <c r="A23" s="733" t="s">
        <v>77</v>
      </c>
      <c r="B23" s="742" t="s">
        <v>43</v>
      </c>
      <c r="C23" s="742"/>
      <c r="D23" s="742"/>
      <c r="E23" s="742"/>
      <c r="F23" s="646">
        <v>260.2</v>
      </c>
      <c r="G23" s="646">
        <v>126</v>
      </c>
      <c r="H23" s="647">
        <v>15428</v>
      </c>
      <c r="I23" s="673">
        <f t="shared" si="0"/>
        <v>7714</v>
      </c>
      <c r="J23" s="647"/>
      <c r="K23" s="648">
        <f t="shared" si="1"/>
        <v>23142</v>
      </c>
    </row>
    <row r="24" spans="1:11" ht="18" customHeight="1" x14ac:dyDescent="0.3">
      <c r="A24" s="733" t="s">
        <v>78</v>
      </c>
      <c r="B24" s="742" t="s">
        <v>44</v>
      </c>
      <c r="C24" s="742"/>
      <c r="D24" s="742"/>
      <c r="E24" s="742"/>
      <c r="F24" s="646"/>
      <c r="G24" s="646"/>
      <c r="H24" s="647"/>
      <c r="I24" s="673">
        <f t="shared" si="0"/>
        <v>0</v>
      </c>
      <c r="J24" s="647"/>
      <c r="K24" s="648">
        <f t="shared" si="1"/>
        <v>0</v>
      </c>
    </row>
    <row r="25" spans="1:11" ht="18" customHeight="1" x14ac:dyDescent="0.3">
      <c r="A25" s="733" t="s">
        <v>79</v>
      </c>
      <c r="B25" s="742" t="s">
        <v>5</v>
      </c>
      <c r="C25" s="742"/>
      <c r="D25" s="742"/>
      <c r="E25" s="742"/>
      <c r="F25" s="646"/>
      <c r="G25" s="646">
        <v>2782</v>
      </c>
      <c r="H25" s="647"/>
      <c r="I25" s="673">
        <f t="shared" si="0"/>
        <v>0</v>
      </c>
      <c r="J25" s="647"/>
      <c r="K25" s="648">
        <f t="shared" si="1"/>
        <v>0</v>
      </c>
    </row>
    <row r="26" spans="1:11" ht="18" customHeight="1" x14ac:dyDescent="0.3">
      <c r="A26" s="733" t="s">
        <v>80</v>
      </c>
      <c r="B26" s="742" t="s">
        <v>45</v>
      </c>
      <c r="C26" s="742"/>
      <c r="D26" s="742"/>
      <c r="E26" s="742"/>
      <c r="F26" s="646"/>
      <c r="G26" s="646"/>
      <c r="H26" s="647"/>
      <c r="I26" s="673">
        <f t="shared" si="0"/>
        <v>0</v>
      </c>
      <c r="J26" s="647"/>
      <c r="K26" s="648">
        <f t="shared" si="1"/>
        <v>0</v>
      </c>
    </row>
    <row r="27" spans="1:11" ht="18" customHeight="1" x14ac:dyDescent="0.3">
      <c r="A27" s="733" t="s">
        <v>81</v>
      </c>
      <c r="B27" s="742" t="s">
        <v>46</v>
      </c>
      <c r="C27" s="742"/>
      <c r="D27" s="742"/>
      <c r="E27" s="742"/>
      <c r="F27" s="646"/>
      <c r="G27" s="646"/>
      <c r="H27" s="647"/>
      <c r="I27" s="673">
        <f t="shared" si="0"/>
        <v>0</v>
      </c>
      <c r="J27" s="647"/>
      <c r="K27" s="648">
        <f t="shared" si="1"/>
        <v>0</v>
      </c>
    </row>
    <row r="28" spans="1:11" ht="18" customHeight="1" x14ac:dyDescent="0.3">
      <c r="A28" s="733" t="s">
        <v>82</v>
      </c>
      <c r="B28" s="742" t="s">
        <v>47</v>
      </c>
      <c r="C28" s="742"/>
      <c r="D28" s="742"/>
      <c r="E28" s="742"/>
      <c r="F28" s="646"/>
      <c r="G28" s="646"/>
      <c r="H28" s="647"/>
      <c r="I28" s="673">
        <f t="shared" si="0"/>
        <v>0</v>
      </c>
      <c r="J28" s="647"/>
      <c r="K28" s="648">
        <f t="shared" si="1"/>
        <v>0</v>
      </c>
    </row>
    <row r="29" spans="1:11" ht="18" customHeight="1" x14ac:dyDescent="0.3">
      <c r="A29" s="733" t="s">
        <v>83</v>
      </c>
      <c r="B29" s="742" t="s">
        <v>48</v>
      </c>
      <c r="C29" s="742"/>
      <c r="D29" s="742"/>
      <c r="E29" s="742"/>
      <c r="F29" s="646">
        <v>2195</v>
      </c>
      <c r="G29" s="646">
        <v>1609</v>
      </c>
      <c r="H29" s="647">
        <v>374211</v>
      </c>
      <c r="I29" s="673">
        <f t="shared" si="0"/>
        <v>187105.5</v>
      </c>
      <c r="J29" s="647"/>
      <c r="K29" s="648">
        <f t="shared" si="1"/>
        <v>561316.5</v>
      </c>
    </row>
    <row r="30" spans="1:11" ht="18" customHeight="1" x14ac:dyDescent="0.3">
      <c r="A30" s="733" t="s">
        <v>84</v>
      </c>
      <c r="B30" s="1474" t="s">
        <v>326</v>
      </c>
      <c r="C30" s="1475"/>
      <c r="D30" s="1476"/>
      <c r="E30" s="742"/>
      <c r="F30" s="646"/>
      <c r="G30" s="646">
        <v>313</v>
      </c>
      <c r="H30" s="647">
        <v>81938</v>
      </c>
      <c r="I30" s="673">
        <v>0</v>
      </c>
      <c r="J30" s="647"/>
      <c r="K30" s="648">
        <f t="shared" si="1"/>
        <v>81938</v>
      </c>
    </row>
    <row r="31" spans="1:11" ht="18" customHeight="1" x14ac:dyDescent="0.3">
      <c r="A31" s="733" t="s">
        <v>133</v>
      </c>
      <c r="B31" s="1474" t="s">
        <v>327</v>
      </c>
      <c r="C31" s="1475"/>
      <c r="D31" s="1476"/>
      <c r="E31" s="742"/>
      <c r="F31" s="646">
        <v>2151.3000000000002</v>
      </c>
      <c r="G31" s="646">
        <v>55</v>
      </c>
      <c r="H31" s="647">
        <v>166196</v>
      </c>
      <c r="I31" s="673">
        <f t="shared" si="0"/>
        <v>83098</v>
      </c>
      <c r="J31" s="647"/>
      <c r="K31" s="648">
        <f t="shared" si="1"/>
        <v>249294</v>
      </c>
    </row>
    <row r="32" spans="1:11" ht="18" customHeight="1" x14ac:dyDescent="0.3">
      <c r="A32" s="733" t="s">
        <v>134</v>
      </c>
      <c r="B32" s="909"/>
      <c r="C32" s="910"/>
      <c r="D32" s="911"/>
      <c r="E32" s="742"/>
      <c r="F32" s="646"/>
      <c r="G32" s="675"/>
      <c r="H32" s="647"/>
      <c r="I32" s="673">
        <f t="shared" si="0"/>
        <v>0</v>
      </c>
      <c r="J32" s="647"/>
      <c r="K32" s="648">
        <f t="shared" si="1"/>
        <v>0</v>
      </c>
    </row>
    <row r="33" spans="1:11" ht="18" customHeight="1" x14ac:dyDescent="0.3">
      <c r="A33" s="733" t="s">
        <v>135</v>
      </c>
      <c r="B33" s="909"/>
      <c r="C33" s="910"/>
      <c r="D33" s="911"/>
      <c r="E33" s="742"/>
      <c r="F33" s="646"/>
      <c r="G33" s="675"/>
      <c r="H33" s="647"/>
      <c r="I33" s="673">
        <f t="shared" si="0"/>
        <v>0</v>
      </c>
      <c r="J33" s="647"/>
      <c r="K33" s="648">
        <f t="shared" si="1"/>
        <v>0</v>
      </c>
    </row>
    <row r="34" spans="1:11" ht="18" customHeight="1" x14ac:dyDescent="0.3">
      <c r="A34" s="733" t="s">
        <v>136</v>
      </c>
      <c r="B34" s="1351"/>
      <c r="C34" s="1352"/>
      <c r="D34" s="1353"/>
      <c r="E34" s="742"/>
      <c r="F34" s="646"/>
      <c r="G34" s="675"/>
      <c r="H34" s="647"/>
      <c r="I34" s="673">
        <f t="shared" si="0"/>
        <v>0</v>
      </c>
      <c r="J34" s="647"/>
      <c r="K34" s="648">
        <f t="shared" si="1"/>
        <v>0</v>
      </c>
    </row>
    <row r="35" spans="1:11" ht="18" customHeight="1" x14ac:dyDescent="0.25">
      <c r="A35" s="742"/>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36726.5</v>
      </c>
      <c r="G36" s="650">
        <f t="shared" si="2"/>
        <v>107205</v>
      </c>
      <c r="H36" s="650">
        <f t="shared" si="2"/>
        <v>2115981</v>
      </c>
      <c r="I36" s="648">
        <f t="shared" si="2"/>
        <v>1017021.5</v>
      </c>
      <c r="J36" s="648">
        <f t="shared" si="2"/>
        <v>175305</v>
      </c>
      <c r="K36" s="648">
        <f t="shared" si="2"/>
        <v>2957697.5</v>
      </c>
    </row>
    <row r="37" spans="1:11" ht="18" customHeight="1" thickBot="1" x14ac:dyDescent="0.35">
      <c r="A37" s="742"/>
      <c r="B37" s="636"/>
      <c r="C37" s="742"/>
      <c r="D37" s="742"/>
      <c r="E37" s="742"/>
      <c r="F37" s="651"/>
      <c r="G37" s="651"/>
      <c r="H37" s="652"/>
      <c r="I37" s="652"/>
      <c r="J37" s="652"/>
      <c r="K37" s="668"/>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646"/>
      <c r="G40" s="646"/>
      <c r="H40" s="647"/>
      <c r="I40" s="673">
        <v>0</v>
      </c>
      <c r="J40" s="647"/>
      <c r="K40" s="648">
        <f t="shared" ref="K40:K47" si="3">(H40+I40)-J40</f>
        <v>0</v>
      </c>
    </row>
    <row r="41" spans="1:11" ht="18" customHeight="1" x14ac:dyDescent="0.3">
      <c r="A41" s="733" t="s">
        <v>88</v>
      </c>
      <c r="B41" s="1359" t="s">
        <v>50</v>
      </c>
      <c r="C41" s="1359"/>
      <c r="D41" s="742"/>
      <c r="E41" s="742"/>
      <c r="F41" s="646">
        <v>5577</v>
      </c>
      <c r="G41" s="646">
        <v>114</v>
      </c>
      <c r="H41" s="647">
        <v>171493</v>
      </c>
      <c r="I41" s="673">
        <v>0</v>
      </c>
      <c r="J41" s="647"/>
      <c r="K41" s="648">
        <f t="shared" si="3"/>
        <v>171493</v>
      </c>
    </row>
    <row r="42" spans="1:11" ht="18" customHeight="1" x14ac:dyDescent="0.3">
      <c r="A42" s="733" t="s">
        <v>89</v>
      </c>
      <c r="B42" s="635" t="s">
        <v>11</v>
      </c>
      <c r="C42" s="742"/>
      <c r="D42" s="742"/>
      <c r="E42" s="742"/>
      <c r="F42" s="646">
        <v>11580</v>
      </c>
      <c r="G42" s="646">
        <v>187</v>
      </c>
      <c r="H42" s="647">
        <v>353723</v>
      </c>
      <c r="I42" s="673">
        <v>0</v>
      </c>
      <c r="J42" s="647"/>
      <c r="K42" s="648">
        <f t="shared" si="3"/>
        <v>353723</v>
      </c>
    </row>
    <row r="43" spans="1:11" ht="18" customHeight="1" x14ac:dyDescent="0.3">
      <c r="A43" s="733" t="s">
        <v>90</v>
      </c>
      <c r="B43" s="670" t="s">
        <v>10</v>
      </c>
      <c r="C43" s="642"/>
      <c r="D43" s="642"/>
      <c r="E43" s="742"/>
      <c r="F43" s="646">
        <v>12</v>
      </c>
      <c r="G43" s="646">
        <v>10</v>
      </c>
      <c r="H43" s="647">
        <v>14386</v>
      </c>
      <c r="I43" s="673">
        <v>0</v>
      </c>
      <c r="J43" s="647"/>
      <c r="K43" s="648">
        <f t="shared" si="3"/>
        <v>14386</v>
      </c>
    </row>
    <row r="44" spans="1:11" ht="18" customHeight="1" x14ac:dyDescent="0.3">
      <c r="A44" s="733" t="s">
        <v>91</v>
      </c>
      <c r="B44" s="1351" t="s">
        <v>328</v>
      </c>
      <c r="C44" s="1352"/>
      <c r="D44" s="1353"/>
      <c r="E44" s="742"/>
      <c r="F44" s="677">
        <v>238</v>
      </c>
      <c r="G44" s="677">
        <v>43</v>
      </c>
      <c r="H44" s="677">
        <v>4391</v>
      </c>
      <c r="I44" s="678">
        <v>0</v>
      </c>
      <c r="J44" s="677"/>
      <c r="K44" s="679">
        <f t="shared" si="3"/>
        <v>4391</v>
      </c>
    </row>
    <row r="45" spans="1:11" ht="18" customHeight="1" x14ac:dyDescent="0.3">
      <c r="A45" s="733" t="s">
        <v>139</v>
      </c>
      <c r="B45" s="1351"/>
      <c r="C45" s="1352"/>
      <c r="D45" s="1353"/>
      <c r="E45" s="742"/>
      <c r="F45" s="646"/>
      <c r="G45" s="646"/>
      <c r="H45" s="647"/>
      <c r="I45" s="673">
        <v>0</v>
      </c>
      <c r="J45" s="647"/>
      <c r="K45" s="648">
        <f t="shared" si="3"/>
        <v>0</v>
      </c>
    </row>
    <row r="46" spans="1:11" ht="18" customHeight="1" x14ac:dyDescent="0.3">
      <c r="A46" s="733" t="s">
        <v>140</v>
      </c>
      <c r="B46" s="1351"/>
      <c r="C46" s="1352"/>
      <c r="D46" s="1353"/>
      <c r="E46" s="742"/>
      <c r="F46" s="646"/>
      <c r="G46" s="646"/>
      <c r="H46" s="647"/>
      <c r="I46" s="673">
        <v>0</v>
      </c>
      <c r="J46" s="647"/>
      <c r="K46" s="648">
        <f t="shared" si="3"/>
        <v>0</v>
      </c>
    </row>
    <row r="47" spans="1:11" ht="18" customHeight="1" x14ac:dyDescent="0.3">
      <c r="A47" s="733" t="s">
        <v>141</v>
      </c>
      <c r="B47" s="1351"/>
      <c r="C47" s="1352"/>
      <c r="D47" s="1353"/>
      <c r="E47" s="742"/>
      <c r="F47" s="646"/>
      <c r="G47" s="646"/>
      <c r="H47" s="647"/>
      <c r="I47" s="673">
        <v>0</v>
      </c>
      <c r="J47" s="647"/>
      <c r="K47" s="648">
        <f t="shared" si="3"/>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17407</v>
      </c>
      <c r="G49" s="654">
        <f t="shared" si="4"/>
        <v>354</v>
      </c>
      <c r="H49" s="648">
        <f t="shared" si="4"/>
        <v>543993</v>
      </c>
      <c r="I49" s="648">
        <f t="shared" si="4"/>
        <v>0</v>
      </c>
      <c r="J49" s="648">
        <f t="shared" si="4"/>
        <v>0</v>
      </c>
      <c r="K49" s="648">
        <f t="shared" si="4"/>
        <v>543993</v>
      </c>
    </row>
    <row r="50" spans="1:11" ht="18" customHeight="1" thickBot="1" x14ac:dyDescent="0.3">
      <c r="A50" s="742"/>
      <c r="B50" s="742"/>
      <c r="C50" s="742"/>
      <c r="D50" s="742"/>
      <c r="E50" s="742"/>
      <c r="F50" s="742"/>
      <c r="G50" s="655"/>
      <c r="H50" s="655"/>
      <c r="I50" s="655"/>
      <c r="J50" s="655"/>
      <c r="K50" s="655"/>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477" t="s">
        <v>329</v>
      </c>
      <c r="C53" s="1478"/>
      <c r="D53" s="1479"/>
      <c r="E53" s="742"/>
      <c r="F53" s="646">
        <v>6240</v>
      </c>
      <c r="G53" s="646">
        <v>15268</v>
      </c>
      <c r="H53" s="647">
        <v>416193</v>
      </c>
      <c r="I53" s="673">
        <v>0</v>
      </c>
      <c r="J53" s="647"/>
      <c r="K53" s="648">
        <f t="shared" ref="K53:K62" si="5">(H53+I53)-J53</f>
        <v>416193</v>
      </c>
    </row>
    <row r="54" spans="1:11" ht="18" customHeight="1" x14ac:dyDescent="0.3">
      <c r="A54" s="733" t="s">
        <v>93</v>
      </c>
      <c r="B54" s="936" t="s">
        <v>330</v>
      </c>
      <c r="C54" s="937"/>
      <c r="D54" s="935"/>
      <c r="E54" s="742"/>
      <c r="F54" s="646">
        <v>90239</v>
      </c>
      <c r="G54" s="646">
        <v>46627</v>
      </c>
      <c r="H54" s="647">
        <v>8670381</v>
      </c>
      <c r="I54" s="673">
        <v>0</v>
      </c>
      <c r="J54" s="647"/>
      <c r="K54" s="648">
        <f t="shared" si="5"/>
        <v>8670381</v>
      </c>
    </row>
    <row r="55" spans="1:11" ht="18" customHeight="1" x14ac:dyDescent="0.3">
      <c r="A55" s="733" t="s">
        <v>94</v>
      </c>
      <c r="B55" s="1477" t="s">
        <v>331</v>
      </c>
      <c r="C55" s="1478"/>
      <c r="D55" s="1479"/>
      <c r="E55" s="742"/>
      <c r="F55" s="646"/>
      <c r="G55" s="646"/>
      <c r="H55" s="647">
        <v>185500</v>
      </c>
      <c r="I55" s="673">
        <v>0</v>
      </c>
      <c r="J55" s="647"/>
      <c r="K55" s="648">
        <f t="shared" si="5"/>
        <v>185500</v>
      </c>
    </row>
    <row r="56" spans="1:11" ht="18" customHeight="1" x14ac:dyDescent="0.3">
      <c r="A56" s="733" t="s">
        <v>95</v>
      </c>
      <c r="B56" s="1354"/>
      <c r="C56" s="1355"/>
      <c r="D56" s="1356"/>
      <c r="E56" s="742"/>
      <c r="F56" s="646"/>
      <c r="G56" s="646"/>
      <c r="H56" s="647"/>
      <c r="I56" s="673">
        <v>0</v>
      </c>
      <c r="J56" s="647"/>
      <c r="K56" s="648">
        <f t="shared" si="5"/>
        <v>0</v>
      </c>
    </row>
    <row r="57" spans="1:11" ht="18" customHeight="1" x14ac:dyDescent="0.3">
      <c r="A57" s="733" t="s">
        <v>96</v>
      </c>
      <c r="B57" s="1354"/>
      <c r="C57" s="1355"/>
      <c r="D57" s="1356"/>
      <c r="E57" s="742"/>
      <c r="F57" s="646"/>
      <c r="G57" s="646"/>
      <c r="H57" s="647"/>
      <c r="I57" s="673">
        <v>0</v>
      </c>
      <c r="J57" s="647"/>
      <c r="K57" s="648">
        <f t="shared" si="5"/>
        <v>0</v>
      </c>
    </row>
    <row r="58" spans="1:11" ht="18" customHeight="1" x14ac:dyDescent="0.3">
      <c r="A58" s="733" t="s">
        <v>97</v>
      </c>
      <c r="B58" s="912"/>
      <c r="C58" s="913"/>
      <c r="D58" s="914"/>
      <c r="E58" s="742"/>
      <c r="F58" s="646"/>
      <c r="G58" s="646"/>
      <c r="H58" s="647"/>
      <c r="I58" s="673">
        <v>0</v>
      </c>
      <c r="J58" s="647"/>
      <c r="K58" s="648">
        <f t="shared" si="5"/>
        <v>0</v>
      </c>
    </row>
    <row r="59" spans="1:11" ht="18" customHeight="1" x14ac:dyDescent="0.3">
      <c r="A59" s="733" t="s">
        <v>98</v>
      </c>
      <c r="B59" s="1354"/>
      <c r="C59" s="1355"/>
      <c r="D59" s="1356"/>
      <c r="E59" s="742"/>
      <c r="F59" s="646"/>
      <c r="G59" s="646"/>
      <c r="H59" s="647"/>
      <c r="I59" s="673">
        <v>0</v>
      </c>
      <c r="J59" s="647"/>
      <c r="K59" s="648">
        <f t="shared" si="5"/>
        <v>0</v>
      </c>
    </row>
    <row r="60" spans="1:11" ht="18" customHeight="1" x14ac:dyDescent="0.3">
      <c r="A60" s="733" t="s">
        <v>99</v>
      </c>
      <c r="B60" s="912"/>
      <c r="C60" s="913"/>
      <c r="D60" s="914"/>
      <c r="E60" s="742"/>
      <c r="F60" s="646"/>
      <c r="G60" s="646"/>
      <c r="H60" s="647"/>
      <c r="I60" s="673">
        <v>0</v>
      </c>
      <c r="J60" s="647"/>
      <c r="K60" s="648">
        <f t="shared" si="5"/>
        <v>0</v>
      </c>
    </row>
    <row r="61" spans="1:11" ht="18" customHeight="1" x14ac:dyDescent="0.3">
      <c r="A61" s="733" t="s">
        <v>100</v>
      </c>
      <c r="B61" s="912"/>
      <c r="C61" s="913"/>
      <c r="D61" s="914"/>
      <c r="E61" s="742"/>
      <c r="F61" s="646"/>
      <c r="G61" s="646"/>
      <c r="H61" s="647"/>
      <c r="I61" s="673">
        <v>0</v>
      </c>
      <c r="J61" s="647"/>
      <c r="K61" s="648">
        <f t="shared" si="5"/>
        <v>0</v>
      </c>
    </row>
    <row r="62" spans="1:11" ht="18" customHeight="1" x14ac:dyDescent="0.3">
      <c r="A62" s="733" t="s">
        <v>101</v>
      </c>
      <c r="B62" s="1354"/>
      <c r="C62" s="1355"/>
      <c r="D62" s="1356"/>
      <c r="E62" s="742"/>
      <c r="F62" s="646"/>
      <c r="G62" s="646"/>
      <c r="H62" s="647"/>
      <c r="I62" s="673">
        <v>0</v>
      </c>
      <c r="J62" s="647"/>
      <c r="K62" s="648">
        <f t="shared" si="5"/>
        <v>0</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6">SUM(F53:F62)</f>
        <v>96479</v>
      </c>
      <c r="G64" s="650">
        <f t="shared" si="6"/>
        <v>61895</v>
      </c>
      <c r="H64" s="648">
        <f t="shared" si="6"/>
        <v>9272074</v>
      </c>
      <c r="I64" s="648">
        <f t="shared" si="6"/>
        <v>0</v>
      </c>
      <c r="J64" s="648">
        <f t="shared" si="6"/>
        <v>0</v>
      </c>
      <c r="K64" s="648">
        <f t="shared" si="6"/>
        <v>9272074</v>
      </c>
    </row>
    <row r="65" spans="1:11" ht="18" customHeight="1" x14ac:dyDescent="0.25">
      <c r="A65" s="742"/>
      <c r="B65" s="742"/>
      <c r="C65" s="742"/>
      <c r="D65" s="742"/>
      <c r="E65" s="742"/>
      <c r="F65" s="671"/>
      <c r="G65" s="671"/>
      <c r="H65" s="671"/>
      <c r="I65" s="671"/>
      <c r="J65" s="671"/>
      <c r="K65" s="671"/>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674"/>
      <c r="G68" s="674"/>
      <c r="H68" s="674"/>
      <c r="I68" s="673">
        <v>0</v>
      </c>
      <c r="J68" s="674"/>
      <c r="K68" s="648">
        <f>(H68+I68)-J68</f>
        <v>0</v>
      </c>
    </row>
    <row r="69" spans="1:11" ht="18" customHeight="1" x14ac:dyDescent="0.3">
      <c r="A69" s="733" t="s">
        <v>104</v>
      </c>
      <c r="B69" s="635" t="s">
        <v>53</v>
      </c>
      <c r="C69" s="742"/>
      <c r="D69" s="742"/>
      <c r="E69" s="742"/>
      <c r="F69" s="674">
        <v>5280.1</v>
      </c>
      <c r="G69" s="674"/>
      <c r="H69" s="674">
        <v>163759</v>
      </c>
      <c r="I69" s="673">
        <v>0</v>
      </c>
      <c r="J69" s="674"/>
      <c r="K69" s="648">
        <f>(H69+I69)-J69</f>
        <v>163759</v>
      </c>
    </row>
    <row r="70" spans="1:11" ht="18" customHeight="1" x14ac:dyDescent="0.3">
      <c r="A70" s="733" t="s">
        <v>178</v>
      </c>
      <c r="B70" s="912"/>
      <c r="C70" s="913"/>
      <c r="D70" s="914"/>
      <c r="E70" s="636"/>
      <c r="F70" s="658"/>
      <c r="G70" s="658"/>
      <c r="H70" s="659"/>
      <c r="I70" s="673">
        <v>0</v>
      </c>
      <c r="J70" s="659"/>
      <c r="K70" s="648">
        <f>(H70+I70)-J70</f>
        <v>0</v>
      </c>
    </row>
    <row r="71" spans="1:11" ht="18" customHeight="1" x14ac:dyDescent="0.3">
      <c r="A71" s="733" t="s">
        <v>179</v>
      </c>
      <c r="B71" s="912"/>
      <c r="C71" s="913"/>
      <c r="D71" s="914"/>
      <c r="E71" s="636"/>
      <c r="F71" s="658"/>
      <c r="G71" s="658"/>
      <c r="H71" s="659"/>
      <c r="I71" s="673">
        <v>0</v>
      </c>
      <c r="J71" s="659"/>
      <c r="K71" s="648">
        <f>(H71+I71)-J71</f>
        <v>0</v>
      </c>
    </row>
    <row r="72" spans="1:11" ht="18" customHeight="1" x14ac:dyDescent="0.3">
      <c r="A72" s="733" t="s">
        <v>180</v>
      </c>
      <c r="B72" s="930"/>
      <c r="C72" s="929"/>
      <c r="D72" s="657"/>
      <c r="E72" s="636"/>
      <c r="F72" s="646"/>
      <c r="G72" s="646"/>
      <c r="H72" s="647"/>
      <c r="I72" s="673">
        <v>0</v>
      </c>
      <c r="J72" s="647"/>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5280.1</v>
      </c>
      <c r="G74" s="653">
        <f t="shared" si="7"/>
        <v>0</v>
      </c>
      <c r="H74" s="653">
        <f t="shared" si="7"/>
        <v>163759</v>
      </c>
      <c r="I74" s="676">
        <f t="shared" si="7"/>
        <v>0</v>
      </c>
      <c r="J74" s="653">
        <f t="shared" si="7"/>
        <v>0</v>
      </c>
      <c r="K74" s="649">
        <f t="shared" si="7"/>
        <v>163759</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646"/>
      <c r="G77" s="646"/>
      <c r="H77" s="673">
        <v>126090</v>
      </c>
      <c r="I77" s="673">
        <v>0</v>
      </c>
      <c r="J77" s="647"/>
      <c r="K77" s="648">
        <f>(H77+I77)-J77</f>
        <v>126090</v>
      </c>
    </row>
    <row r="78" spans="1:11" ht="18" customHeight="1" x14ac:dyDescent="0.3">
      <c r="A78" s="733" t="s">
        <v>108</v>
      </c>
      <c r="B78" s="635" t="s">
        <v>55</v>
      </c>
      <c r="C78" s="742"/>
      <c r="D78" s="742"/>
      <c r="E78" s="742"/>
      <c r="F78" s="646"/>
      <c r="G78" s="646"/>
      <c r="H78" s="647"/>
      <c r="I78" s="673">
        <v>0</v>
      </c>
      <c r="J78" s="647"/>
      <c r="K78" s="648">
        <f>(H78+I78)-J78</f>
        <v>0</v>
      </c>
    </row>
    <row r="79" spans="1:11" ht="18" customHeight="1" x14ac:dyDescent="0.3">
      <c r="A79" s="733" t="s">
        <v>109</v>
      </c>
      <c r="B79" s="635" t="s">
        <v>13</v>
      </c>
      <c r="C79" s="742"/>
      <c r="D79" s="742"/>
      <c r="E79" s="742"/>
      <c r="F79" s="646">
        <v>979.5</v>
      </c>
      <c r="G79" s="646">
        <v>8588</v>
      </c>
      <c r="H79" s="647">
        <v>109078</v>
      </c>
      <c r="I79" s="673">
        <v>0</v>
      </c>
      <c r="J79" s="647"/>
      <c r="K79" s="648">
        <f>(H79+I79)-J79</f>
        <v>109078</v>
      </c>
    </row>
    <row r="80" spans="1:11" ht="18" customHeight="1" x14ac:dyDescent="0.3">
      <c r="A80" s="733" t="s">
        <v>110</v>
      </c>
      <c r="B80" s="635" t="s">
        <v>56</v>
      </c>
      <c r="C80" s="742"/>
      <c r="D80" s="742"/>
      <c r="E80" s="742"/>
      <c r="F80" s="646"/>
      <c r="G80" s="646"/>
      <c r="H80" s="647"/>
      <c r="I80" s="673">
        <v>0</v>
      </c>
      <c r="J80" s="647"/>
      <c r="K80" s="648">
        <f>(H80+I80)-J80</f>
        <v>0</v>
      </c>
    </row>
    <row r="81" spans="1:11" ht="18" customHeight="1" x14ac:dyDescent="0.3">
      <c r="A81" s="733"/>
      <c r="B81" s="742"/>
      <c r="C81" s="742"/>
      <c r="D81" s="742"/>
      <c r="E81" s="742"/>
      <c r="F81" s="742"/>
      <c r="G81" s="742"/>
      <c r="H81" s="742"/>
      <c r="I81" s="742"/>
      <c r="J81" s="742"/>
      <c r="K81" s="663"/>
    </row>
    <row r="82" spans="1:11" ht="18" customHeight="1" x14ac:dyDescent="0.3">
      <c r="A82" s="733" t="s">
        <v>148</v>
      </c>
      <c r="B82" s="636" t="s">
        <v>149</v>
      </c>
      <c r="C82" s="742"/>
      <c r="D82" s="742"/>
      <c r="E82" s="636" t="s">
        <v>7</v>
      </c>
      <c r="F82" s="653">
        <f t="shared" ref="F82:K82" si="8">SUM(F77:F80)</f>
        <v>979.5</v>
      </c>
      <c r="G82" s="653">
        <f t="shared" si="8"/>
        <v>8588</v>
      </c>
      <c r="H82" s="649">
        <f t="shared" si="8"/>
        <v>235168</v>
      </c>
      <c r="I82" s="649">
        <f t="shared" si="8"/>
        <v>0</v>
      </c>
      <c r="J82" s="649">
        <f t="shared" si="8"/>
        <v>0</v>
      </c>
      <c r="K82" s="649">
        <f t="shared" si="8"/>
        <v>235168</v>
      </c>
    </row>
    <row r="83" spans="1:11" ht="18" customHeight="1" thickBot="1" x14ac:dyDescent="0.35">
      <c r="A83" s="733"/>
      <c r="B83" s="742"/>
      <c r="C83" s="742"/>
      <c r="D83" s="742"/>
      <c r="E83" s="742"/>
      <c r="F83" s="655"/>
      <c r="G83" s="655"/>
      <c r="H83" s="655"/>
      <c r="I83" s="655"/>
      <c r="J83" s="655"/>
      <c r="K83" s="655"/>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733" t="s">
        <v>114</v>
      </c>
      <c r="B87" s="635" t="s">
        <v>14</v>
      </c>
      <c r="C87" s="742"/>
      <c r="D87" s="742"/>
      <c r="E87" s="742"/>
      <c r="F87" s="646"/>
      <c r="G87" s="646"/>
      <c r="H87" s="647"/>
      <c r="I87" s="673">
        <f t="shared" si="9"/>
        <v>0</v>
      </c>
      <c r="J87" s="647"/>
      <c r="K87" s="648">
        <f t="shared" si="10"/>
        <v>0</v>
      </c>
    </row>
    <row r="88" spans="1:11" ht="18" customHeight="1" x14ac:dyDescent="0.3">
      <c r="A88" s="733" t="s">
        <v>115</v>
      </c>
      <c r="B88" s="635" t="s">
        <v>116</v>
      </c>
      <c r="C88" s="742"/>
      <c r="D88" s="742"/>
      <c r="E88" s="742"/>
      <c r="F88" s="646"/>
      <c r="G88" s="646"/>
      <c r="H88" s="647"/>
      <c r="I88" s="673">
        <f t="shared" si="9"/>
        <v>0</v>
      </c>
      <c r="J88" s="647"/>
      <c r="K88" s="648">
        <f t="shared" si="10"/>
        <v>0</v>
      </c>
    </row>
    <row r="89" spans="1:11" ht="18" customHeight="1" x14ac:dyDescent="0.3">
      <c r="A89" s="733" t="s">
        <v>117</v>
      </c>
      <c r="B89" s="635" t="s">
        <v>58</v>
      </c>
      <c r="C89" s="742"/>
      <c r="D89" s="742"/>
      <c r="E89" s="742"/>
      <c r="F89" s="646"/>
      <c r="G89" s="646"/>
      <c r="H89" s="647"/>
      <c r="I89" s="673">
        <f t="shared" si="9"/>
        <v>0</v>
      </c>
      <c r="J89" s="647"/>
      <c r="K89" s="648">
        <f t="shared" si="10"/>
        <v>0</v>
      </c>
    </row>
    <row r="90" spans="1:11" ht="18" customHeight="1" x14ac:dyDescent="0.3">
      <c r="A90" s="733" t="s">
        <v>118</v>
      </c>
      <c r="B90" s="1359" t="s">
        <v>59</v>
      </c>
      <c r="C90" s="1359"/>
      <c r="D90" s="742"/>
      <c r="E90" s="742"/>
      <c r="F90" s="646"/>
      <c r="G90" s="646"/>
      <c r="H90" s="647"/>
      <c r="I90" s="673">
        <f t="shared" si="9"/>
        <v>0</v>
      </c>
      <c r="J90" s="647"/>
      <c r="K90" s="648">
        <f t="shared" si="10"/>
        <v>0</v>
      </c>
    </row>
    <row r="91" spans="1:11" ht="18" customHeight="1" x14ac:dyDescent="0.3">
      <c r="A91" s="733" t="s">
        <v>119</v>
      </c>
      <c r="B91" s="635" t="s">
        <v>60</v>
      </c>
      <c r="C91" s="742"/>
      <c r="D91" s="742"/>
      <c r="E91" s="742"/>
      <c r="F91" s="646">
        <v>2056</v>
      </c>
      <c r="G91" s="646">
        <v>5016</v>
      </c>
      <c r="H91" s="647">
        <v>385936</v>
      </c>
      <c r="I91" s="673">
        <f t="shared" si="9"/>
        <v>192968</v>
      </c>
      <c r="J91" s="647"/>
      <c r="K91" s="648">
        <f t="shared" si="10"/>
        <v>578904</v>
      </c>
    </row>
    <row r="92" spans="1:11" ht="18" customHeight="1" x14ac:dyDescent="0.3">
      <c r="A92" s="733" t="s">
        <v>120</v>
      </c>
      <c r="B92" s="635" t="s">
        <v>121</v>
      </c>
      <c r="C92" s="742"/>
      <c r="D92" s="742"/>
      <c r="E92" s="742"/>
      <c r="F92" s="661"/>
      <c r="G92" s="661"/>
      <c r="H92" s="662"/>
      <c r="I92" s="673">
        <f t="shared" si="9"/>
        <v>0</v>
      </c>
      <c r="J92" s="662"/>
      <c r="K92" s="648">
        <f t="shared" si="10"/>
        <v>0</v>
      </c>
    </row>
    <row r="93" spans="1:11" ht="18" customHeight="1" x14ac:dyDescent="0.3">
      <c r="A93" s="733" t="s">
        <v>122</v>
      </c>
      <c r="B93" s="635" t="s">
        <v>123</v>
      </c>
      <c r="C93" s="742"/>
      <c r="D93" s="742"/>
      <c r="E93" s="742"/>
      <c r="F93" s="646"/>
      <c r="G93" s="646"/>
      <c r="H93" s="647"/>
      <c r="I93" s="673">
        <f t="shared" si="9"/>
        <v>0</v>
      </c>
      <c r="J93" s="647"/>
      <c r="K93" s="648">
        <f t="shared" si="10"/>
        <v>0</v>
      </c>
    </row>
    <row r="94" spans="1:11" ht="18" customHeight="1" x14ac:dyDescent="0.3">
      <c r="A94" s="733" t="s">
        <v>124</v>
      </c>
      <c r="B94" s="1354"/>
      <c r="C94" s="1355"/>
      <c r="D94" s="1356"/>
      <c r="E94" s="742"/>
      <c r="F94" s="646"/>
      <c r="G94" s="646"/>
      <c r="H94" s="647"/>
      <c r="I94" s="673">
        <f t="shared" si="9"/>
        <v>0</v>
      </c>
      <c r="J94" s="647"/>
      <c r="K94" s="648">
        <f t="shared" si="10"/>
        <v>0</v>
      </c>
    </row>
    <row r="95" spans="1:11" ht="18" customHeight="1" x14ac:dyDescent="0.3">
      <c r="A95" s="733" t="s">
        <v>125</v>
      </c>
      <c r="B95" s="1354"/>
      <c r="C95" s="1355"/>
      <c r="D95" s="1356"/>
      <c r="E95" s="742"/>
      <c r="F95" s="646"/>
      <c r="G95" s="646"/>
      <c r="H95" s="647"/>
      <c r="I95" s="673">
        <f t="shared" si="9"/>
        <v>0</v>
      </c>
      <c r="J95" s="647"/>
      <c r="K95" s="648">
        <f t="shared" si="10"/>
        <v>0</v>
      </c>
    </row>
    <row r="96" spans="1:11" ht="18" customHeight="1" x14ac:dyDescent="0.3">
      <c r="A96" s="733" t="s">
        <v>126</v>
      </c>
      <c r="B96" s="1354"/>
      <c r="C96" s="1355"/>
      <c r="D96" s="1356"/>
      <c r="E96" s="742"/>
      <c r="F96" s="646"/>
      <c r="G96" s="646"/>
      <c r="H96" s="647"/>
      <c r="I96" s="673">
        <f t="shared" si="9"/>
        <v>0</v>
      </c>
      <c r="J96" s="647"/>
      <c r="K96" s="648">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2056</v>
      </c>
      <c r="G98" s="650">
        <f t="shared" si="11"/>
        <v>5016</v>
      </c>
      <c r="H98" s="650">
        <f t="shared" si="11"/>
        <v>385936</v>
      </c>
      <c r="I98" s="650">
        <f t="shared" si="11"/>
        <v>192968</v>
      </c>
      <c r="J98" s="650">
        <f t="shared" si="11"/>
        <v>0</v>
      </c>
      <c r="K98" s="650">
        <f t="shared" si="11"/>
        <v>578904</v>
      </c>
    </row>
    <row r="99" spans="1:11" ht="18" customHeight="1" thickBot="1" x14ac:dyDescent="0.35">
      <c r="A99" s="742"/>
      <c r="B99" s="636"/>
      <c r="C99" s="742"/>
      <c r="D99" s="742"/>
      <c r="E99" s="742"/>
      <c r="F99" s="655"/>
      <c r="G99" s="655"/>
      <c r="H99" s="655"/>
      <c r="I99" s="655"/>
      <c r="J99" s="655"/>
      <c r="K99" s="655"/>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646">
        <v>2080</v>
      </c>
      <c r="G102" s="646"/>
      <c r="H102" s="647">
        <v>127920</v>
      </c>
      <c r="I102" s="673">
        <f>H102*F$114</f>
        <v>63960</v>
      </c>
      <c r="J102" s="647"/>
      <c r="K102" s="648">
        <f>(H102+I102)-J102</f>
        <v>191880</v>
      </c>
    </row>
    <row r="103" spans="1:11" ht="18" customHeight="1" x14ac:dyDescent="0.3">
      <c r="A103" s="733" t="s">
        <v>132</v>
      </c>
      <c r="B103" s="1357" t="s">
        <v>62</v>
      </c>
      <c r="C103" s="1357"/>
      <c r="D103" s="742"/>
      <c r="E103" s="742"/>
      <c r="F103" s="646"/>
      <c r="G103" s="646"/>
      <c r="H103" s="647"/>
      <c r="I103" s="673">
        <f>H103*F$114</f>
        <v>0</v>
      </c>
      <c r="J103" s="647"/>
      <c r="K103" s="648">
        <f>(H103+I103)-J103</f>
        <v>0</v>
      </c>
    </row>
    <row r="104" spans="1:11" ht="18" customHeight="1" x14ac:dyDescent="0.3">
      <c r="A104" s="733" t="s">
        <v>128</v>
      </c>
      <c r="B104" s="1354"/>
      <c r="C104" s="1355"/>
      <c r="D104" s="1356"/>
      <c r="E104" s="742"/>
      <c r="F104" s="646"/>
      <c r="G104" s="646"/>
      <c r="H104" s="647"/>
      <c r="I104" s="673">
        <f>H104*F$114</f>
        <v>0</v>
      </c>
      <c r="J104" s="647"/>
      <c r="K104" s="648">
        <f>(H104+I104)-J104</f>
        <v>0</v>
      </c>
    </row>
    <row r="105" spans="1:11" ht="18" customHeight="1" x14ac:dyDescent="0.3">
      <c r="A105" s="733" t="s">
        <v>127</v>
      </c>
      <c r="B105" s="1354"/>
      <c r="C105" s="1355"/>
      <c r="D105" s="1356"/>
      <c r="E105" s="742"/>
      <c r="F105" s="646"/>
      <c r="G105" s="646"/>
      <c r="H105" s="647"/>
      <c r="I105" s="673">
        <f>H105*F$114</f>
        <v>0</v>
      </c>
      <c r="J105" s="647"/>
      <c r="K105" s="648">
        <f>(H105+I105)-J105</f>
        <v>0</v>
      </c>
    </row>
    <row r="106" spans="1:11" ht="18" customHeight="1" x14ac:dyDescent="0.3">
      <c r="A106" s="733" t="s">
        <v>129</v>
      </c>
      <c r="B106" s="1354"/>
      <c r="C106" s="1355"/>
      <c r="D106" s="1356"/>
      <c r="E106" s="742"/>
      <c r="F106" s="646"/>
      <c r="G106" s="646"/>
      <c r="H106" s="647"/>
      <c r="I106" s="673">
        <f>H106*F$114</f>
        <v>0</v>
      </c>
      <c r="J106" s="647"/>
      <c r="K106" s="648">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2080</v>
      </c>
      <c r="G108" s="650">
        <f t="shared" si="12"/>
        <v>0</v>
      </c>
      <c r="H108" s="648">
        <f t="shared" si="12"/>
        <v>127920</v>
      </c>
      <c r="I108" s="648">
        <f t="shared" si="12"/>
        <v>63960</v>
      </c>
      <c r="J108" s="648">
        <f t="shared" si="12"/>
        <v>0</v>
      </c>
      <c r="K108" s="648">
        <f t="shared" si="12"/>
        <v>191880</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790716</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656">
        <v>0.5</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647">
        <v>207064000</v>
      </c>
      <c r="G117" s="740"/>
      <c r="H117" s="740"/>
      <c r="I117" s="740"/>
      <c r="J117" s="740"/>
      <c r="K117" s="740"/>
    </row>
    <row r="118" spans="1:11" ht="18" customHeight="1" x14ac:dyDescent="0.3">
      <c r="A118" s="733" t="s">
        <v>173</v>
      </c>
      <c r="B118" s="742" t="s">
        <v>18</v>
      </c>
      <c r="C118" s="742"/>
      <c r="D118" s="742"/>
      <c r="E118" s="742"/>
      <c r="F118" s="647">
        <v>8901000</v>
      </c>
      <c r="G118" s="740"/>
      <c r="H118" s="740"/>
      <c r="I118" s="740"/>
      <c r="J118" s="740"/>
      <c r="K118" s="740"/>
    </row>
    <row r="119" spans="1:11" ht="18" customHeight="1" x14ac:dyDescent="0.3">
      <c r="A119" s="733" t="s">
        <v>174</v>
      </c>
      <c r="B119" s="636" t="s">
        <v>19</v>
      </c>
      <c r="C119" s="742"/>
      <c r="D119" s="742"/>
      <c r="E119" s="742"/>
      <c r="F119" s="649">
        <f>SUM(F117:F118)</f>
        <v>215965000</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647">
        <v>197802000</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647">
        <v>18163000</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647">
        <v>5741000</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647">
        <v>23904000</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646"/>
      <c r="G131" s="646"/>
      <c r="H131" s="647"/>
      <c r="I131" s="673">
        <v>0</v>
      </c>
      <c r="J131" s="647"/>
      <c r="K131" s="648">
        <f>(H131+I131)-J131</f>
        <v>0</v>
      </c>
    </row>
    <row r="132" spans="1:11" ht="18" customHeight="1" x14ac:dyDescent="0.3">
      <c r="A132" s="733" t="s">
        <v>159</v>
      </c>
      <c r="B132" s="742" t="s">
        <v>25</v>
      </c>
      <c r="C132" s="742"/>
      <c r="D132" s="742"/>
      <c r="E132" s="742"/>
      <c r="F132" s="646"/>
      <c r="G132" s="646"/>
      <c r="H132" s="647"/>
      <c r="I132" s="673">
        <v>0</v>
      </c>
      <c r="J132" s="647"/>
      <c r="K132" s="648">
        <f>(H132+I132)-J132</f>
        <v>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664">
        <f t="shared" ref="F141:K141" si="14">F36</f>
        <v>36726.5</v>
      </c>
      <c r="G141" s="664">
        <f t="shared" si="14"/>
        <v>107205</v>
      </c>
      <c r="H141" s="664">
        <f t="shared" si="14"/>
        <v>2115981</v>
      </c>
      <c r="I141" s="664">
        <f t="shared" si="14"/>
        <v>1017021.5</v>
      </c>
      <c r="J141" s="664">
        <f t="shared" si="14"/>
        <v>175305</v>
      </c>
      <c r="K141" s="664">
        <f t="shared" si="14"/>
        <v>2957697.5</v>
      </c>
    </row>
    <row r="142" spans="1:11" ht="18" customHeight="1" x14ac:dyDescent="0.3">
      <c r="A142" s="733" t="s">
        <v>142</v>
      </c>
      <c r="B142" s="636" t="s">
        <v>65</v>
      </c>
      <c r="C142" s="742"/>
      <c r="D142" s="742"/>
      <c r="E142" s="742"/>
      <c r="F142" s="664">
        <f t="shared" ref="F142:K142" si="15">F49</f>
        <v>17407</v>
      </c>
      <c r="G142" s="664">
        <f t="shared" si="15"/>
        <v>354</v>
      </c>
      <c r="H142" s="664">
        <f t="shared" si="15"/>
        <v>543993</v>
      </c>
      <c r="I142" s="664">
        <f t="shared" si="15"/>
        <v>0</v>
      </c>
      <c r="J142" s="664">
        <f t="shared" si="15"/>
        <v>0</v>
      </c>
      <c r="K142" s="664">
        <f t="shared" si="15"/>
        <v>543993</v>
      </c>
    </row>
    <row r="143" spans="1:11" ht="18" customHeight="1" x14ac:dyDescent="0.3">
      <c r="A143" s="733" t="s">
        <v>144</v>
      </c>
      <c r="B143" s="636" t="s">
        <v>66</v>
      </c>
      <c r="C143" s="742"/>
      <c r="D143" s="742"/>
      <c r="E143" s="742"/>
      <c r="F143" s="664">
        <f t="shared" ref="F143:K143" si="16">F64</f>
        <v>96479</v>
      </c>
      <c r="G143" s="664">
        <f t="shared" si="16"/>
        <v>61895</v>
      </c>
      <c r="H143" s="664">
        <f t="shared" si="16"/>
        <v>9272074</v>
      </c>
      <c r="I143" s="664">
        <f t="shared" si="16"/>
        <v>0</v>
      </c>
      <c r="J143" s="664">
        <f t="shared" si="16"/>
        <v>0</v>
      </c>
      <c r="K143" s="664">
        <f t="shared" si="16"/>
        <v>9272074</v>
      </c>
    </row>
    <row r="144" spans="1:11" ht="18" customHeight="1" x14ac:dyDescent="0.3">
      <c r="A144" s="733" t="s">
        <v>146</v>
      </c>
      <c r="B144" s="636" t="s">
        <v>67</v>
      </c>
      <c r="C144" s="742"/>
      <c r="D144" s="742"/>
      <c r="E144" s="742"/>
      <c r="F144" s="664">
        <f t="shared" ref="F144:K144" si="17">F74</f>
        <v>5280.1</v>
      </c>
      <c r="G144" s="664">
        <f t="shared" si="17"/>
        <v>0</v>
      </c>
      <c r="H144" s="664">
        <f t="shared" si="17"/>
        <v>163759</v>
      </c>
      <c r="I144" s="664">
        <f t="shared" si="17"/>
        <v>0</v>
      </c>
      <c r="J144" s="664">
        <f t="shared" si="17"/>
        <v>0</v>
      </c>
      <c r="K144" s="664">
        <f t="shared" si="17"/>
        <v>163759</v>
      </c>
    </row>
    <row r="145" spans="1:11" ht="18" customHeight="1" x14ac:dyDescent="0.3">
      <c r="A145" s="733" t="s">
        <v>148</v>
      </c>
      <c r="B145" s="636" t="s">
        <v>68</v>
      </c>
      <c r="C145" s="742"/>
      <c r="D145" s="742"/>
      <c r="E145" s="742"/>
      <c r="F145" s="664">
        <f t="shared" ref="F145:K145" si="18">F82</f>
        <v>979.5</v>
      </c>
      <c r="G145" s="664">
        <f t="shared" si="18"/>
        <v>8588</v>
      </c>
      <c r="H145" s="664">
        <f t="shared" si="18"/>
        <v>235168</v>
      </c>
      <c r="I145" s="664">
        <f t="shared" si="18"/>
        <v>0</v>
      </c>
      <c r="J145" s="664">
        <f t="shared" si="18"/>
        <v>0</v>
      </c>
      <c r="K145" s="664">
        <f t="shared" si="18"/>
        <v>235168</v>
      </c>
    </row>
    <row r="146" spans="1:11" ht="18" customHeight="1" x14ac:dyDescent="0.3">
      <c r="A146" s="733" t="s">
        <v>150</v>
      </c>
      <c r="B146" s="636" t="s">
        <v>69</v>
      </c>
      <c r="C146" s="742"/>
      <c r="D146" s="742"/>
      <c r="E146" s="742"/>
      <c r="F146" s="664">
        <f t="shared" ref="F146:K146" si="19">F98</f>
        <v>2056</v>
      </c>
      <c r="G146" s="664">
        <f t="shared" si="19"/>
        <v>5016</v>
      </c>
      <c r="H146" s="664">
        <f t="shared" si="19"/>
        <v>385936</v>
      </c>
      <c r="I146" s="664">
        <f t="shared" si="19"/>
        <v>192968</v>
      </c>
      <c r="J146" s="664">
        <f t="shared" si="19"/>
        <v>0</v>
      </c>
      <c r="K146" s="664">
        <f t="shared" si="19"/>
        <v>578904</v>
      </c>
    </row>
    <row r="147" spans="1:11" ht="18" customHeight="1" x14ac:dyDescent="0.3">
      <c r="A147" s="733" t="s">
        <v>153</v>
      </c>
      <c r="B147" s="636" t="s">
        <v>61</v>
      </c>
      <c r="C147" s="742"/>
      <c r="D147" s="742"/>
      <c r="E147" s="742"/>
      <c r="F147" s="650">
        <f t="shared" ref="F147:K147" si="20">F108</f>
        <v>2080</v>
      </c>
      <c r="G147" s="650">
        <f t="shared" si="20"/>
        <v>0</v>
      </c>
      <c r="H147" s="650">
        <f t="shared" si="20"/>
        <v>127920</v>
      </c>
      <c r="I147" s="650">
        <f t="shared" si="20"/>
        <v>63960</v>
      </c>
      <c r="J147" s="650">
        <f t="shared" si="20"/>
        <v>0</v>
      </c>
      <c r="K147" s="650">
        <f t="shared" si="20"/>
        <v>191880</v>
      </c>
    </row>
    <row r="148" spans="1:11" ht="18" customHeight="1" x14ac:dyDescent="0.3">
      <c r="A148" s="733" t="s">
        <v>155</v>
      </c>
      <c r="B148" s="636" t="s">
        <v>70</v>
      </c>
      <c r="C148" s="742"/>
      <c r="D148" s="742"/>
      <c r="E148" s="742"/>
      <c r="F148" s="665" t="s">
        <v>73</v>
      </c>
      <c r="G148" s="665" t="s">
        <v>73</v>
      </c>
      <c r="H148" s="666" t="s">
        <v>73</v>
      </c>
      <c r="I148" s="666" t="s">
        <v>73</v>
      </c>
      <c r="J148" s="666" t="s">
        <v>73</v>
      </c>
      <c r="K148" s="660">
        <f>F111</f>
        <v>790716</v>
      </c>
    </row>
    <row r="149" spans="1:11" ht="18" customHeight="1" x14ac:dyDescent="0.3">
      <c r="A149" s="733"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733" t="s">
        <v>185</v>
      </c>
      <c r="B150" s="636" t="s">
        <v>186</v>
      </c>
      <c r="C150" s="742"/>
      <c r="D150" s="742"/>
      <c r="E150" s="742"/>
      <c r="F150" s="665" t="s">
        <v>73</v>
      </c>
      <c r="G150" s="665" t="s">
        <v>73</v>
      </c>
      <c r="H150" s="650">
        <f>H18</f>
        <v>5817442</v>
      </c>
      <c r="I150" s="650">
        <f>I18</f>
        <v>0</v>
      </c>
      <c r="J150" s="650">
        <f>J18</f>
        <v>4916886</v>
      </c>
      <c r="K150" s="650">
        <f>K18</f>
        <v>900556</v>
      </c>
    </row>
    <row r="151" spans="1:11" ht="18" customHeight="1" x14ac:dyDescent="0.3">
      <c r="A151" s="742"/>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161008.1</v>
      </c>
      <c r="G152" s="672">
        <f t="shared" si="22"/>
        <v>183058</v>
      </c>
      <c r="H152" s="672">
        <f t="shared" si="22"/>
        <v>18662273</v>
      </c>
      <c r="I152" s="672">
        <f t="shared" si="22"/>
        <v>1273949.5</v>
      </c>
      <c r="J152" s="672">
        <f t="shared" si="22"/>
        <v>5092191</v>
      </c>
      <c r="K152" s="672">
        <f t="shared" si="22"/>
        <v>15634747.5</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7.904241362574696E-2</v>
      </c>
      <c r="G154" s="742"/>
      <c r="H154" s="742"/>
      <c r="I154" s="742"/>
      <c r="J154" s="742"/>
      <c r="K154" s="742"/>
    </row>
    <row r="155" spans="1:11" ht="18" customHeight="1" x14ac:dyDescent="0.3">
      <c r="A155" s="639" t="s">
        <v>169</v>
      </c>
      <c r="B155" s="636" t="s">
        <v>72</v>
      </c>
      <c r="C155" s="742"/>
      <c r="D155" s="742"/>
      <c r="E155" s="742"/>
      <c r="F155" s="687">
        <f>K152/F127</f>
        <v>0.65406406877510037</v>
      </c>
      <c r="G155" s="636"/>
      <c r="H155" s="742"/>
      <c r="I155" s="742"/>
      <c r="J155" s="742"/>
      <c r="K155" s="742"/>
    </row>
    <row r="156" spans="1:11" ht="18" customHeight="1" x14ac:dyDescent="0.3">
      <c r="A156" s="440"/>
      <c r="B156" s="440"/>
      <c r="C156" s="440"/>
      <c r="D156" s="440"/>
      <c r="E156" s="440"/>
      <c r="F156" s="440"/>
      <c r="G156" s="441"/>
      <c r="H156" s="440"/>
      <c r="I156" s="440"/>
      <c r="J156" s="440"/>
      <c r="K156" s="440"/>
    </row>
  </sheetData>
  <sheetProtection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K157"/>
  <sheetViews>
    <sheetView zoomScale="70" zoomScaleNormal="70" workbookViewId="0"/>
  </sheetViews>
  <sheetFormatPr defaultColWidth="9.26953125" defaultRowHeight="18" customHeight="1" x14ac:dyDescent="0.35"/>
  <cols>
    <col min="1" max="1" width="8.26953125" style="100" customWidth="1"/>
    <col min="2" max="2" width="55.453125" style="98" bestFit="1" customWidth="1"/>
    <col min="3" max="3" width="9.54296875" style="98" customWidth="1"/>
    <col min="4" max="4" width="9.26953125" style="98"/>
    <col min="5" max="5" width="12.453125" style="98" customWidth="1"/>
    <col min="6" max="6" width="18.54296875" style="98" customWidth="1"/>
    <col min="7" max="7" width="23.54296875" style="98" customWidth="1"/>
    <col min="8" max="8" width="17.26953125" style="98" customWidth="1"/>
    <col min="9" max="9" width="21.26953125" style="98" customWidth="1"/>
    <col min="10" max="10" width="19.7265625" style="98" customWidth="1"/>
    <col min="11" max="11" width="17.54296875" style="98" customWidth="1"/>
    <col min="12" max="16384" width="9.26953125" style="98"/>
  </cols>
  <sheetData>
    <row r="1" spans="1:11" ht="18" customHeight="1" x14ac:dyDescent="0.35">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5">
      <c r="A3" s="742"/>
      <c r="B3" s="636" t="s">
        <v>0</v>
      </c>
      <c r="C3" s="742"/>
      <c r="D3" s="742"/>
      <c r="E3" s="742"/>
      <c r="F3" s="742"/>
      <c r="G3" s="742"/>
      <c r="H3" s="742"/>
      <c r="I3" s="742"/>
      <c r="J3" s="742"/>
      <c r="K3" s="742"/>
    </row>
    <row r="5" spans="1:11" ht="18" customHeight="1" x14ac:dyDescent="0.35">
      <c r="A5" s="742"/>
      <c r="B5" s="733" t="s">
        <v>40</v>
      </c>
      <c r="C5" s="1361" t="s">
        <v>258</v>
      </c>
      <c r="D5" s="1362"/>
      <c r="E5" s="1362"/>
      <c r="F5" s="1362"/>
      <c r="G5" s="1364"/>
      <c r="H5" s="742"/>
      <c r="I5" s="742"/>
      <c r="J5" s="742"/>
      <c r="K5" s="742"/>
    </row>
    <row r="6" spans="1:11" ht="18" customHeight="1" x14ac:dyDescent="0.35">
      <c r="A6" s="742"/>
      <c r="B6" s="733" t="s">
        <v>3</v>
      </c>
      <c r="C6" s="1365">
        <v>34</v>
      </c>
      <c r="D6" s="1366"/>
      <c r="E6" s="1366"/>
      <c r="F6" s="1366"/>
      <c r="G6" s="1367"/>
      <c r="H6" s="742"/>
      <c r="I6" s="742"/>
      <c r="J6" s="742"/>
      <c r="K6" s="742"/>
    </row>
    <row r="7" spans="1:11" ht="18" customHeight="1" x14ac:dyDescent="0.35">
      <c r="A7" s="742"/>
      <c r="B7" s="733" t="s">
        <v>4</v>
      </c>
      <c r="C7" s="1368">
        <v>1139</v>
      </c>
      <c r="D7" s="1369"/>
      <c r="E7" s="1369"/>
      <c r="F7" s="1369"/>
      <c r="G7" s="1370"/>
      <c r="H7" s="742"/>
      <c r="I7" s="742"/>
      <c r="J7" s="742"/>
      <c r="K7" s="742"/>
    </row>
    <row r="9" spans="1:11" ht="18" customHeight="1" x14ac:dyDescent="0.35">
      <c r="A9" s="742"/>
      <c r="B9" s="733" t="s">
        <v>1</v>
      </c>
      <c r="C9" s="1361" t="s">
        <v>614</v>
      </c>
      <c r="D9" s="1362"/>
      <c r="E9" s="1362"/>
      <c r="F9" s="1362"/>
      <c r="G9" s="1364"/>
      <c r="H9" s="742"/>
      <c r="I9" s="742"/>
      <c r="J9" s="742"/>
      <c r="K9" s="742"/>
    </row>
    <row r="10" spans="1:11" ht="18" customHeight="1" x14ac:dyDescent="0.35">
      <c r="A10" s="742"/>
      <c r="B10" s="733" t="s">
        <v>2</v>
      </c>
      <c r="C10" s="1371" t="s">
        <v>615</v>
      </c>
      <c r="D10" s="1372"/>
      <c r="E10" s="1372"/>
      <c r="F10" s="1372"/>
      <c r="G10" s="1373"/>
      <c r="H10" s="742"/>
      <c r="I10" s="742"/>
      <c r="J10" s="742"/>
      <c r="K10" s="742"/>
    </row>
    <row r="11" spans="1:11" ht="18" customHeight="1" x14ac:dyDescent="0.35">
      <c r="A11" s="742"/>
      <c r="B11" s="733" t="s">
        <v>32</v>
      </c>
      <c r="C11" s="1361" t="s">
        <v>616</v>
      </c>
      <c r="D11" s="1362"/>
      <c r="E11" s="1362"/>
      <c r="F11" s="1362"/>
      <c r="G11" s="1362"/>
      <c r="H11" s="742"/>
      <c r="I11" s="742"/>
      <c r="J11" s="742"/>
      <c r="K11" s="742"/>
    </row>
    <row r="12" spans="1:11" ht="18" customHeight="1" x14ac:dyDescent="0.35">
      <c r="A12" s="742"/>
      <c r="B12" s="733"/>
      <c r="C12" s="733"/>
      <c r="D12" s="733"/>
      <c r="E12" s="733"/>
      <c r="F12" s="733"/>
      <c r="G12" s="733"/>
      <c r="H12" s="742"/>
      <c r="I12" s="742"/>
      <c r="J12" s="742"/>
      <c r="K12" s="742"/>
    </row>
    <row r="13" spans="1:11" ht="24.65" customHeight="1" x14ac:dyDescent="0.35">
      <c r="A13" s="742"/>
      <c r="B13" s="1363"/>
      <c r="C13" s="1363"/>
      <c r="D13" s="1363"/>
      <c r="E13" s="1363"/>
      <c r="F13" s="1363"/>
      <c r="G13" s="1363"/>
      <c r="H13" s="1363"/>
      <c r="I13" s="888"/>
      <c r="J13" s="742"/>
      <c r="K13" s="742"/>
    </row>
    <row r="14" spans="1:11" ht="18" customHeight="1" x14ac:dyDescent="0.35">
      <c r="A14" s="742"/>
      <c r="B14" s="640"/>
      <c r="C14" s="742"/>
      <c r="D14" s="742"/>
      <c r="E14" s="742"/>
      <c r="F14" s="742"/>
      <c r="G14" s="742"/>
      <c r="H14" s="742"/>
      <c r="I14" s="742"/>
      <c r="J14" s="742"/>
      <c r="K14" s="742"/>
    </row>
    <row r="15" spans="1:11" ht="18" customHeight="1" x14ac:dyDescent="0.35">
      <c r="A15" s="742"/>
      <c r="B15" s="640"/>
      <c r="C15" s="742"/>
      <c r="D15" s="742"/>
      <c r="E15" s="742"/>
      <c r="F15" s="742"/>
      <c r="G15" s="742"/>
      <c r="H15" s="742"/>
      <c r="I15" s="742"/>
      <c r="J15" s="742"/>
      <c r="K15" s="742"/>
    </row>
    <row r="16" spans="1:11" ht="45" customHeight="1" x14ac:dyDescent="0.35">
      <c r="A16" s="889" t="s">
        <v>181</v>
      </c>
      <c r="B16" s="888"/>
      <c r="C16" s="888"/>
      <c r="D16" s="888"/>
      <c r="E16" s="888"/>
      <c r="F16" s="641" t="s">
        <v>9</v>
      </c>
      <c r="G16" s="641" t="s">
        <v>37</v>
      </c>
      <c r="H16" s="641" t="s">
        <v>29</v>
      </c>
      <c r="I16" s="641" t="s">
        <v>30</v>
      </c>
      <c r="J16" s="641" t="s">
        <v>33</v>
      </c>
      <c r="K16" s="641" t="s">
        <v>34</v>
      </c>
    </row>
    <row r="17" spans="1:11" ht="18" customHeight="1" x14ac:dyDescent="0.35">
      <c r="A17" s="639" t="s">
        <v>184</v>
      </c>
      <c r="B17" s="636" t="s">
        <v>182</v>
      </c>
      <c r="C17" s="742"/>
      <c r="D17" s="742"/>
      <c r="E17" s="742"/>
      <c r="F17" s="742"/>
      <c r="G17" s="742"/>
      <c r="H17" s="742"/>
      <c r="I17" s="742"/>
      <c r="J17" s="742"/>
      <c r="K17" s="742"/>
    </row>
    <row r="18" spans="1:11" ht="18" customHeight="1" x14ac:dyDescent="0.35">
      <c r="A18" s="733" t="s">
        <v>185</v>
      </c>
      <c r="B18" s="635" t="s">
        <v>183</v>
      </c>
      <c r="C18" s="742"/>
      <c r="D18" s="742"/>
      <c r="E18" s="742"/>
      <c r="F18" s="646" t="s">
        <v>73</v>
      </c>
      <c r="G18" s="646" t="s">
        <v>73</v>
      </c>
      <c r="H18" s="647">
        <v>4099546</v>
      </c>
      <c r="I18" s="673"/>
      <c r="J18" s="647">
        <v>3464925</v>
      </c>
      <c r="K18" s="648">
        <f>(H18+I18)-J18</f>
        <v>634621</v>
      </c>
    </row>
    <row r="19" spans="1:11" ht="45" customHeight="1" x14ac:dyDescent="0.35">
      <c r="A19" s="889" t="s">
        <v>8</v>
      </c>
      <c r="B19" s="888"/>
      <c r="C19" s="888"/>
      <c r="D19" s="888"/>
      <c r="E19" s="888"/>
      <c r="F19" s="641" t="s">
        <v>9</v>
      </c>
      <c r="G19" s="641" t="s">
        <v>37</v>
      </c>
      <c r="H19" s="641" t="s">
        <v>29</v>
      </c>
      <c r="I19" s="641" t="s">
        <v>30</v>
      </c>
      <c r="J19" s="641" t="s">
        <v>33</v>
      </c>
      <c r="K19" s="641" t="s">
        <v>34</v>
      </c>
    </row>
    <row r="20" spans="1:11" ht="18" customHeight="1" x14ac:dyDescent="0.35">
      <c r="A20" s="639" t="s">
        <v>74</v>
      </c>
      <c r="B20" s="636" t="s">
        <v>41</v>
      </c>
      <c r="C20" s="742"/>
      <c r="D20" s="742"/>
      <c r="E20" s="742"/>
      <c r="F20" s="742"/>
      <c r="G20" s="742"/>
      <c r="H20" s="742"/>
      <c r="I20" s="742"/>
      <c r="J20" s="742"/>
      <c r="K20" s="742"/>
    </row>
    <row r="21" spans="1:11" ht="18" customHeight="1" x14ac:dyDescent="0.35">
      <c r="A21" s="733" t="s">
        <v>75</v>
      </c>
      <c r="B21" s="635" t="s">
        <v>42</v>
      </c>
      <c r="C21" s="742"/>
      <c r="D21" s="742"/>
      <c r="E21" s="742"/>
      <c r="F21" s="646">
        <v>276.8</v>
      </c>
      <c r="G21" s="646">
        <v>3053</v>
      </c>
      <c r="H21" s="647">
        <v>93649</v>
      </c>
      <c r="I21" s="673">
        <v>3761</v>
      </c>
      <c r="J21" s="647"/>
      <c r="K21" s="648">
        <f t="shared" ref="K21:K34" si="0">(H21+I21)-J21</f>
        <v>97410</v>
      </c>
    </row>
    <row r="22" spans="1:11" ht="18" customHeight="1" x14ac:dyDescent="0.35">
      <c r="A22" s="733" t="s">
        <v>76</v>
      </c>
      <c r="B22" s="742" t="s">
        <v>6</v>
      </c>
      <c r="C22" s="742"/>
      <c r="D22" s="742"/>
      <c r="E22" s="742"/>
      <c r="F22" s="646"/>
      <c r="G22" s="646"/>
      <c r="H22" s="647">
        <v>600</v>
      </c>
      <c r="I22" s="673">
        <v>481</v>
      </c>
      <c r="J22" s="647"/>
      <c r="K22" s="648">
        <f t="shared" si="0"/>
        <v>1081</v>
      </c>
    </row>
    <row r="23" spans="1:11" ht="18" customHeight="1" x14ac:dyDescent="0.35">
      <c r="A23" s="733" t="s">
        <v>77</v>
      </c>
      <c r="B23" s="742" t="s">
        <v>43</v>
      </c>
      <c r="C23" s="742"/>
      <c r="D23" s="742"/>
      <c r="E23" s="742"/>
      <c r="F23" s="646">
        <v>6</v>
      </c>
      <c r="G23" s="646">
        <v>5</v>
      </c>
      <c r="H23" s="647">
        <v>1213</v>
      </c>
      <c r="I23" s="673">
        <v>972</v>
      </c>
      <c r="J23" s="647"/>
      <c r="K23" s="648">
        <f t="shared" si="0"/>
        <v>2185</v>
      </c>
    </row>
    <row r="24" spans="1:11" ht="18" customHeight="1" x14ac:dyDescent="0.35">
      <c r="A24" s="733" t="s">
        <v>78</v>
      </c>
      <c r="B24" s="742" t="s">
        <v>44</v>
      </c>
      <c r="C24" s="742"/>
      <c r="D24" s="742"/>
      <c r="E24" s="742"/>
      <c r="F24" s="646">
        <v>7710</v>
      </c>
      <c r="G24" s="646">
        <v>856</v>
      </c>
      <c r="H24" s="647">
        <v>932114</v>
      </c>
      <c r="I24" s="673">
        <v>746381</v>
      </c>
      <c r="J24" s="647">
        <v>895159</v>
      </c>
      <c r="K24" s="648">
        <f t="shared" si="0"/>
        <v>783336</v>
      </c>
    </row>
    <row r="25" spans="1:11" ht="18" customHeight="1" x14ac:dyDescent="0.35">
      <c r="A25" s="733" t="s">
        <v>79</v>
      </c>
      <c r="B25" s="742" t="s">
        <v>5</v>
      </c>
      <c r="C25" s="742"/>
      <c r="D25" s="742"/>
      <c r="E25" s="742"/>
      <c r="F25" s="646">
        <v>4084.7</v>
      </c>
      <c r="G25" s="646">
        <v>49384</v>
      </c>
      <c r="H25" s="647">
        <v>182705</v>
      </c>
      <c r="I25" s="673">
        <v>139642</v>
      </c>
      <c r="J25" s="647"/>
      <c r="K25" s="648">
        <f t="shared" si="0"/>
        <v>322347</v>
      </c>
    </row>
    <row r="26" spans="1:11" ht="18" customHeight="1" x14ac:dyDescent="0.35">
      <c r="A26" s="733" t="s">
        <v>80</v>
      </c>
      <c r="B26" s="742" t="s">
        <v>45</v>
      </c>
      <c r="C26" s="742"/>
      <c r="D26" s="742"/>
      <c r="E26" s="742"/>
      <c r="F26" s="646"/>
      <c r="G26" s="646"/>
      <c r="H26" s="647"/>
      <c r="I26" s="673">
        <f t="shared" ref="I26:I34" si="1">H26*F$114</f>
        <v>0</v>
      </c>
      <c r="J26" s="647"/>
      <c r="K26" s="648">
        <f t="shared" si="0"/>
        <v>0</v>
      </c>
    </row>
    <row r="27" spans="1:11" ht="18" customHeight="1" x14ac:dyDescent="0.35">
      <c r="A27" s="733" t="s">
        <v>81</v>
      </c>
      <c r="B27" s="742" t="s">
        <v>710</v>
      </c>
      <c r="C27" s="742"/>
      <c r="D27" s="742"/>
      <c r="E27" s="742"/>
      <c r="F27" s="646"/>
      <c r="G27" s="646"/>
      <c r="H27" s="647"/>
      <c r="I27" s="673">
        <f t="shared" si="1"/>
        <v>0</v>
      </c>
      <c r="J27" s="647"/>
      <c r="K27" s="648">
        <f t="shared" si="0"/>
        <v>0</v>
      </c>
    </row>
    <row r="28" spans="1:11" ht="18" customHeight="1" x14ac:dyDescent="0.35">
      <c r="A28" s="733" t="s">
        <v>82</v>
      </c>
      <c r="B28" s="742" t="s">
        <v>47</v>
      </c>
      <c r="C28" s="742"/>
      <c r="D28" s="742"/>
      <c r="E28" s="742"/>
      <c r="F28" s="646"/>
      <c r="G28" s="646"/>
      <c r="H28" s="647"/>
      <c r="I28" s="673">
        <f t="shared" si="1"/>
        <v>0</v>
      </c>
      <c r="J28" s="647"/>
      <c r="K28" s="648">
        <f t="shared" si="0"/>
        <v>0</v>
      </c>
    </row>
    <row r="29" spans="1:11" ht="18" customHeight="1" x14ac:dyDescent="0.35">
      <c r="A29" s="733" t="s">
        <v>83</v>
      </c>
      <c r="B29" s="742" t="s">
        <v>48</v>
      </c>
      <c r="C29" s="742"/>
      <c r="D29" s="742"/>
      <c r="E29" s="742"/>
      <c r="F29" s="646">
        <v>53</v>
      </c>
      <c r="G29" s="646"/>
      <c r="H29" s="647">
        <v>250906</v>
      </c>
      <c r="I29" s="673">
        <v>42654</v>
      </c>
      <c r="J29" s="647">
        <v>9642</v>
      </c>
      <c r="K29" s="648">
        <f t="shared" si="0"/>
        <v>283918</v>
      </c>
    </row>
    <row r="30" spans="1:11" ht="18" customHeight="1" x14ac:dyDescent="0.35">
      <c r="A30" s="733" t="s">
        <v>84</v>
      </c>
      <c r="B30" s="1351" t="s">
        <v>279</v>
      </c>
      <c r="C30" s="1352"/>
      <c r="D30" s="1353"/>
      <c r="E30" s="742"/>
      <c r="F30" s="646"/>
      <c r="G30" s="646"/>
      <c r="H30" s="647">
        <v>17167</v>
      </c>
      <c r="I30" s="673">
        <v>13751</v>
      </c>
      <c r="J30" s="647"/>
      <c r="K30" s="648">
        <f t="shared" si="0"/>
        <v>30918</v>
      </c>
    </row>
    <row r="31" spans="1:11" ht="18" customHeight="1" x14ac:dyDescent="0.35">
      <c r="A31" s="733" t="s">
        <v>133</v>
      </c>
      <c r="B31" s="1351"/>
      <c r="C31" s="1352"/>
      <c r="D31" s="1353"/>
      <c r="E31" s="742"/>
      <c r="F31" s="646"/>
      <c r="G31" s="646"/>
      <c r="H31" s="647"/>
      <c r="I31" s="673">
        <f t="shared" si="1"/>
        <v>0</v>
      </c>
      <c r="J31" s="647"/>
      <c r="K31" s="648">
        <f t="shared" si="0"/>
        <v>0</v>
      </c>
    </row>
    <row r="32" spans="1:11" ht="18" customHeight="1" x14ac:dyDescent="0.35">
      <c r="A32" s="733" t="s">
        <v>134</v>
      </c>
      <c r="B32" s="909"/>
      <c r="C32" s="910"/>
      <c r="D32" s="911"/>
      <c r="E32" s="742"/>
      <c r="F32" s="646"/>
      <c r="G32" s="675"/>
      <c r="H32" s="647"/>
      <c r="I32" s="673">
        <f t="shared" si="1"/>
        <v>0</v>
      </c>
      <c r="J32" s="647"/>
      <c r="K32" s="648">
        <f t="shared" si="0"/>
        <v>0</v>
      </c>
    </row>
    <row r="33" spans="1:11" ht="18" customHeight="1" x14ac:dyDescent="0.35">
      <c r="A33" s="733" t="s">
        <v>135</v>
      </c>
      <c r="B33" s="909"/>
      <c r="C33" s="910"/>
      <c r="D33" s="911"/>
      <c r="E33" s="742"/>
      <c r="F33" s="646"/>
      <c r="G33" s="675"/>
      <c r="H33" s="647"/>
      <c r="I33" s="673">
        <f t="shared" si="1"/>
        <v>0</v>
      </c>
      <c r="J33" s="647"/>
      <c r="K33" s="648">
        <f t="shared" si="0"/>
        <v>0</v>
      </c>
    </row>
    <row r="34" spans="1:11" ht="18" customHeight="1" x14ac:dyDescent="0.35">
      <c r="A34" s="733" t="s">
        <v>136</v>
      </c>
      <c r="B34" s="1351"/>
      <c r="C34" s="1352"/>
      <c r="D34" s="1353"/>
      <c r="E34" s="742"/>
      <c r="F34" s="646"/>
      <c r="G34" s="675"/>
      <c r="H34" s="647"/>
      <c r="I34" s="673">
        <f t="shared" si="1"/>
        <v>0</v>
      </c>
      <c r="J34" s="647"/>
      <c r="K34" s="648">
        <f t="shared" si="0"/>
        <v>0</v>
      </c>
    </row>
    <row r="35" spans="1:11" ht="18" customHeight="1" x14ac:dyDescent="0.35">
      <c r="A35" s="742"/>
      <c r="B35" s="742"/>
      <c r="C35" s="742"/>
      <c r="D35" s="742"/>
      <c r="E35" s="742"/>
      <c r="F35" s="742"/>
      <c r="G35" s="742"/>
      <c r="H35" s="742"/>
      <c r="I35" s="742"/>
      <c r="J35" s="742"/>
      <c r="K35" s="667"/>
    </row>
    <row r="36" spans="1:11" ht="18" customHeight="1" x14ac:dyDescent="0.35">
      <c r="A36" s="639" t="s">
        <v>137</v>
      </c>
      <c r="B36" s="636" t="s">
        <v>138</v>
      </c>
      <c r="C36" s="742"/>
      <c r="D36" s="742"/>
      <c r="E36" s="636" t="s">
        <v>7</v>
      </c>
      <c r="F36" s="650">
        <f t="shared" ref="F36:K36" si="2">SUM(F21:F34)</f>
        <v>12130.5</v>
      </c>
      <c r="G36" s="650">
        <f t="shared" si="2"/>
        <v>53298</v>
      </c>
      <c r="H36" s="650">
        <f t="shared" si="2"/>
        <v>1478354</v>
      </c>
      <c r="I36" s="648">
        <f t="shared" si="2"/>
        <v>947642</v>
      </c>
      <c r="J36" s="648">
        <f t="shared" si="2"/>
        <v>904801</v>
      </c>
      <c r="K36" s="648">
        <f t="shared" si="2"/>
        <v>1521195</v>
      </c>
    </row>
    <row r="37" spans="1:11" ht="18" customHeight="1" thickBot="1" x14ac:dyDescent="0.4">
      <c r="A37" s="742"/>
      <c r="B37" s="636"/>
      <c r="C37" s="742"/>
      <c r="D37" s="742"/>
      <c r="E37" s="742"/>
      <c r="F37" s="651"/>
      <c r="G37" s="651"/>
      <c r="H37" s="652"/>
      <c r="I37" s="652"/>
      <c r="J37" s="652"/>
      <c r="K37" s="668"/>
    </row>
    <row r="38" spans="1:11" ht="42.75" customHeight="1" x14ac:dyDescent="0.35">
      <c r="A38" s="742"/>
      <c r="B38" s="742"/>
      <c r="C38" s="742"/>
      <c r="D38" s="742"/>
      <c r="E38" s="742"/>
      <c r="F38" s="641" t="s">
        <v>9</v>
      </c>
      <c r="G38" s="641" t="s">
        <v>37</v>
      </c>
      <c r="H38" s="641" t="s">
        <v>29</v>
      </c>
      <c r="I38" s="641" t="s">
        <v>30</v>
      </c>
      <c r="J38" s="641" t="s">
        <v>33</v>
      </c>
      <c r="K38" s="641" t="s">
        <v>34</v>
      </c>
    </row>
    <row r="39" spans="1:11" ht="18.75" customHeight="1" x14ac:dyDescent="0.35">
      <c r="A39" s="639" t="s">
        <v>86</v>
      </c>
      <c r="B39" s="636" t="s">
        <v>49</v>
      </c>
      <c r="C39" s="742"/>
      <c r="D39" s="742"/>
      <c r="E39" s="742"/>
      <c r="F39" s="742"/>
      <c r="G39" s="742"/>
      <c r="H39" s="742"/>
      <c r="I39" s="742"/>
      <c r="J39" s="742"/>
      <c r="K39" s="742"/>
    </row>
    <row r="40" spans="1:11" ht="18" customHeight="1" x14ac:dyDescent="0.35">
      <c r="A40" s="733" t="s">
        <v>87</v>
      </c>
      <c r="B40" s="742" t="s">
        <v>31</v>
      </c>
      <c r="C40" s="742"/>
      <c r="D40" s="742"/>
      <c r="E40" s="742"/>
      <c r="F40" s="646">
        <v>104961</v>
      </c>
      <c r="G40" s="646"/>
      <c r="H40" s="647">
        <v>5463518</v>
      </c>
      <c r="I40" s="673">
        <v>4376278</v>
      </c>
      <c r="J40" s="647">
        <v>0</v>
      </c>
      <c r="K40" s="648">
        <f t="shared" ref="K40:K47" si="3">(H40+I40)-J40</f>
        <v>9839796</v>
      </c>
    </row>
    <row r="41" spans="1:11" ht="18" customHeight="1" x14ac:dyDescent="0.35">
      <c r="A41" s="733" t="s">
        <v>88</v>
      </c>
      <c r="B41" s="1359" t="s">
        <v>50</v>
      </c>
      <c r="C41" s="1359"/>
      <c r="D41" s="742"/>
      <c r="E41" s="742"/>
      <c r="F41" s="646">
        <v>4401</v>
      </c>
      <c r="G41" s="646">
        <v>66</v>
      </c>
      <c r="H41" s="647">
        <v>190920</v>
      </c>
      <c r="I41" s="673">
        <v>152927</v>
      </c>
      <c r="J41" s="647"/>
      <c r="K41" s="648">
        <f t="shared" si="3"/>
        <v>343847</v>
      </c>
    </row>
    <row r="42" spans="1:11" ht="18" customHeight="1" x14ac:dyDescent="0.35">
      <c r="A42" s="733" t="s">
        <v>89</v>
      </c>
      <c r="B42" s="635" t="s">
        <v>11</v>
      </c>
      <c r="C42" s="742"/>
      <c r="D42" s="742"/>
      <c r="E42" s="742"/>
      <c r="F42" s="646"/>
      <c r="G42" s="646"/>
      <c r="H42" s="647">
        <v>9019</v>
      </c>
      <c r="I42" s="673">
        <v>7224</v>
      </c>
      <c r="J42" s="647"/>
      <c r="K42" s="648">
        <f t="shared" si="3"/>
        <v>16243</v>
      </c>
    </row>
    <row r="43" spans="1:11" ht="18" customHeight="1" x14ac:dyDescent="0.35">
      <c r="A43" s="733" t="s">
        <v>90</v>
      </c>
      <c r="B43" s="670" t="s">
        <v>10</v>
      </c>
      <c r="C43" s="642"/>
      <c r="D43" s="642"/>
      <c r="E43" s="742"/>
      <c r="F43" s="646"/>
      <c r="G43" s="646"/>
      <c r="H43" s="647"/>
      <c r="I43" s="673">
        <v>0</v>
      </c>
      <c r="J43" s="647"/>
      <c r="K43" s="648">
        <f t="shared" si="3"/>
        <v>0</v>
      </c>
    </row>
    <row r="44" spans="1:11" ht="18" customHeight="1" x14ac:dyDescent="0.35">
      <c r="A44" s="733" t="s">
        <v>91</v>
      </c>
      <c r="B44" s="1351" t="s">
        <v>279</v>
      </c>
      <c r="C44" s="1352"/>
      <c r="D44" s="1353"/>
      <c r="E44" s="742"/>
      <c r="F44" s="677">
        <v>100</v>
      </c>
      <c r="G44" s="677">
        <v>71</v>
      </c>
      <c r="H44" s="677">
        <v>16362</v>
      </c>
      <c r="I44" s="678">
        <v>13106</v>
      </c>
      <c r="J44" s="677">
        <v>3060</v>
      </c>
      <c r="K44" s="679">
        <f t="shared" si="3"/>
        <v>26408</v>
      </c>
    </row>
    <row r="45" spans="1:11" ht="18" customHeight="1" x14ac:dyDescent="0.35">
      <c r="A45" s="733" t="s">
        <v>139</v>
      </c>
      <c r="B45" s="1351"/>
      <c r="C45" s="1352"/>
      <c r="D45" s="1353"/>
      <c r="E45" s="742"/>
      <c r="F45" s="646"/>
      <c r="G45" s="646"/>
      <c r="H45" s="647"/>
      <c r="I45" s="673">
        <v>0</v>
      </c>
      <c r="J45" s="647"/>
      <c r="K45" s="648">
        <f t="shared" si="3"/>
        <v>0</v>
      </c>
    </row>
    <row r="46" spans="1:11" ht="18" customHeight="1" x14ac:dyDescent="0.35">
      <c r="A46" s="733" t="s">
        <v>140</v>
      </c>
      <c r="B46" s="1351"/>
      <c r="C46" s="1352"/>
      <c r="D46" s="1353"/>
      <c r="E46" s="742"/>
      <c r="F46" s="646"/>
      <c r="G46" s="646"/>
      <c r="H46" s="647"/>
      <c r="I46" s="673">
        <v>0</v>
      </c>
      <c r="J46" s="647"/>
      <c r="K46" s="648">
        <f t="shared" si="3"/>
        <v>0</v>
      </c>
    </row>
    <row r="47" spans="1:11" ht="18" customHeight="1" x14ac:dyDescent="0.35">
      <c r="A47" s="733" t="s">
        <v>141</v>
      </c>
      <c r="B47" s="1351"/>
      <c r="C47" s="1352"/>
      <c r="D47" s="1353"/>
      <c r="E47" s="742"/>
      <c r="F47" s="646"/>
      <c r="G47" s="646"/>
      <c r="H47" s="647"/>
      <c r="I47" s="673">
        <v>0</v>
      </c>
      <c r="J47" s="647"/>
      <c r="K47" s="648">
        <f t="shared" si="3"/>
        <v>0</v>
      </c>
    </row>
    <row r="49" spans="1:11" ht="18" customHeight="1" x14ac:dyDescent="0.35">
      <c r="A49" s="639" t="s">
        <v>142</v>
      </c>
      <c r="B49" s="636" t="s">
        <v>143</v>
      </c>
      <c r="C49" s="742"/>
      <c r="D49" s="742"/>
      <c r="E49" s="636" t="s">
        <v>7</v>
      </c>
      <c r="F49" s="654">
        <f t="shared" ref="F49:K49" si="4">SUM(F40:F47)</f>
        <v>109462</v>
      </c>
      <c r="G49" s="654">
        <f t="shared" si="4"/>
        <v>137</v>
      </c>
      <c r="H49" s="648">
        <f t="shared" si="4"/>
        <v>5679819</v>
      </c>
      <c r="I49" s="648">
        <f t="shared" si="4"/>
        <v>4549535</v>
      </c>
      <c r="J49" s="648">
        <f t="shared" si="4"/>
        <v>3060</v>
      </c>
      <c r="K49" s="648">
        <f t="shared" si="4"/>
        <v>10226294</v>
      </c>
    </row>
    <row r="50" spans="1:11" ht="18" customHeight="1" thickBot="1" x14ac:dyDescent="0.4">
      <c r="A50" s="742"/>
      <c r="B50" s="742"/>
      <c r="C50" s="742"/>
      <c r="D50" s="742"/>
      <c r="E50" s="742"/>
      <c r="F50" s="742"/>
      <c r="G50" s="655"/>
      <c r="H50" s="655"/>
      <c r="I50" s="655"/>
      <c r="J50" s="655"/>
      <c r="K50" s="655"/>
    </row>
    <row r="51" spans="1:11" ht="42.75" customHeight="1" x14ac:dyDescent="0.35">
      <c r="A51" s="742"/>
      <c r="B51" s="742"/>
      <c r="C51" s="742"/>
      <c r="D51" s="742"/>
      <c r="E51" s="742"/>
      <c r="F51" s="641" t="s">
        <v>9</v>
      </c>
      <c r="G51" s="641" t="s">
        <v>37</v>
      </c>
      <c r="H51" s="641" t="s">
        <v>29</v>
      </c>
      <c r="I51" s="641" t="s">
        <v>30</v>
      </c>
      <c r="J51" s="641" t="s">
        <v>33</v>
      </c>
      <c r="K51" s="641" t="s">
        <v>34</v>
      </c>
    </row>
    <row r="52" spans="1:11" ht="18" customHeight="1" x14ac:dyDescent="0.35">
      <c r="A52" s="639" t="s">
        <v>92</v>
      </c>
      <c r="B52" s="1358" t="s">
        <v>38</v>
      </c>
      <c r="C52" s="1358"/>
      <c r="D52" s="742"/>
      <c r="E52" s="742"/>
      <c r="F52" s="742"/>
      <c r="G52" s="742"/>
      <c r="H52" s="742"/>
      <c r="I52" s="742"/>
      <c r="J52" s="742"/>
      <c r="K52" s="742"/>
    </row>
    <row r="53" spans="1:11" ht="18" customHeight="1" x14ac:dyDescent="0.35">
      <c r="A53" s="733" t="s">
        <v>51</v>
      </c>
      <c r="B53" s="1455" t="s">
        <v>445</v>
      </c>
      <c r="C53" s="1456"/>
      <c r="D53" s="1457"/>
      <c r="E53" s="742"/>
      <c r="F53" s="646">
        <v>52333</v>
      </c>
      <c r="G53" s="646">
        <v>23288</v>
      </c>
      <c r="H53" s="647">
        <v>3189756</v>
      </c>
      <c r="I53" s="673">
        <v>0</v>
      </c>
      <c r="J53" s="647">
        <v>2383260</v>
      </c>
      <c r="K53" s="648">
        <f t="shared" ref="K53:K62" si="5">(H53+I53)-J53</f>
        <v>806496</v>
      </c>
    </row>
    <row r="54" spans="1:11" ht="18" customHeight="1" x14ac:dyDescent="0.35">
      <c r="A54" s="733" t="s">
        <v>93</v>
      </c>
      <c r="B54" s="912"/>
      <c r="C54" s="913"/>
      <c r="D54" s="914"/>
      <c r="E54" s="742"/>
      <c r="F54" s="646"/>
      <c r="G54" s="646"/>
      <c r="H54" s="647"/>
      <c r="I54" s="673">
        <v>0</v>
      </c>
      <c r="J54" s="647"/>
      <c r="K54" s="648">
        <f t="shared" si="5"/>
        <v>0</v>
      </c>
    </row>
    <row r="55" spans="1:11" ht="18" customHeight="1" x14ac:dyDescent="0.35">
      <c r="A55" s="733" t="s">
        <v>94</v>
      </c>
      <c r="B55" s="1354"/>
      <c r="C55" s="1355"/>
      <c r="D55" s="1356"/>
      <c r="E55" s="742"/>
      <c r="F55" s="646"/>
      <c r="G55" s="646"/>
      <c r="H55" s="647"/>
      <c r="I55" s="673">
        <v>0</v>
      </c>
      <c r="J55" s="647"/>
      <c r="K55" s="648">
        <f t="shared" si="5"/>
        <v>0</v>
      </c>
    </row>
    <row r="56" spans="1:11" ht="18" customHeight="1" x14ac:dyDescent="0.35">
      <c r="A56" s="733" t="s">
        <v>95</v>
      </c>
      <c r="B56" s="1354"/>
      <c r="C56" s="1355"/>
      <c r="D56" s="1356"/>
      <c r="E56" s="742"/>
      <c r="F56" s="646"/>
      <c r="G56" s="646"/>
      <c r="H56" s="647"/>
      <c r="I56" s="673">
        <v>0</v>
      </c>
      <c r="J56" s="647"/>
      <c r="K56" s="648">
        <f t="shared" si="5"/>
        <v>0</v>
      </c>
    </row>
    <row r="57" spans="1:11" ht="18" customHeight="1" x14ac:dyDescent="0.35">
      <c r="A57" s="733" t="s">
        <v>96</v>
      </c>
      <c r="B57" s="1455" t="s">
        <v>388</v>
      </c>
      <c r="C57" s="1456"/>
      <c r="D57" s="1457"/>
      <c r="E57" s="742"/>
      <c r="F57" s="646">
        <v>69555</v>
      </c>
      <c r="G57" s="646">
        <v>21268</v>
      </c>
      <c r="H57" s="647">
        <v>8642888</v>
      </c>
      <c r="I57" s="673">
        <v>0</v>
      </c>
      <c r="J57" s="647">
        <v>2676635</v>
      </c>
      <c r="K57" s="648">
        <f t="shared" si="5"/>
        <v>5966253</v>
      </c>
    </row>
    <row r="58" spans="1:11" ht="18" customHeight="1" x14ac:dyDescent="0.35">
      <c r="A58" s="733" t="s">
        <v>97</v>
      </c>
      <c r="B58" s="912"/>
      <c r="C58" s="913"/>
      <c r="D58" s="914"/>
      <c r="E58" s="742"/>
      <c r="F58" s="646"/>
      <c r="G58" s="646"/>
      <c r="H58" s="647"/>
      <c r="I58" s="673">
        <v>0</v>
      </c>
      <c r="J58" s="647"/>
      <c r="K58" s="648">
        <f t="shared" si="5"/>
        <v>0</v>
      </c>
    </row>
    <row r="59" spans="1:11" ht="18" customHeight="1" x14ac:dyDescent="0.35">
      <c r="A59" s="733" t="s">
        <v>98</v>
      </c>
      <c r="B59" s="1354"/>
      <c r="C59" s="1355"/>
      <c r="D59" s="1356"/>
      <c r="E59" s="742"/>
      <c r="F59" s="646"/>
      <c r="G59" s="646"/>
      <c r="H59" s="647"/>
      <c r="I59" s="673">
        <v>0</v>
      </c>
      <c r="J59" s="647"/>
      <c r="K59" s="648">
        <f t="shared" si="5"/>
        <v>0</v>
      </c>
    </row>
    <row r="60" spans="1:11" ht="18" customHeight="1" x14ac:dyDescent="0.35">
      <c r="A60" s="733" t="s">
        <v>99</v>
      </c>
      <c r="B60" s="928" t="s">
        <v>558</v>
      </c>
      <c r="C60" s="913"/>
      <c r="D60" s="914"/>
      <c r="E60" s="742"/>
      <c r="F60" s="646">
        <v>562</v>
      </c>
      <c r="G60" s="646"/>
      <c r="H60" s="647">
        <v>321066</v>
      </c>
      <c r="I60" s="673">
        <v>0</v>
      </c>
      <c r="J60" s="647"/>
      <c r="K60" s="648">
        <f t="shared" si="5"/>
        <v>321066</v>
      </c>
    </row>
    <row r="61" spans="1:11" ht="18" customHeight="1" x14ac:dyDescent="0.35">
      <c r="A61" s="733" t="s">
        <v>100</v>
      </c>
      <c r="B61" s="912"/>
      <c r="C61" s="913"/>
      <c r="D61" s="914"/>
      <c r="E61" s="742"/>
      <c r="F61" s="646"/>
      <c r="G61" s="646"/>
      <c r="H61" s="647"/>
      <c r="I61" s="673">
        <v>0</v>
      </c>
      <c r="J61" s="647"/>
      <c r="K61" s="648">
        <f t="shared" si="5"/>
        <v>0</v>
      </c>
    </row>
    <row r="62" spans="1:11" ht="18" customHeight="1" x14ac:dyDescent="0.35">
      <c r="A62" s="733" t="s">
        <v>101</v>
      </c>
      <c r="B62" s="1455"/>
      <c r="C62" s="1456"/>
      <c r="D62" s="1457"/>
      <c r="E62" s="742"/>
      <c r="F62" s="646"/>
      <c r="G62" s="646"/>
      <c r="H62" s="647"/>
      <c r="I62" s="673">
        <v>0</v>
      </c>
      <c r="J62" s="647"/>
      <c r="K62" s="648">
        <f t="shared" si="5"/>
        <v>0</v>
      </c>
    </row>
    <row r="63" spans="1:11" ht="18" customHeight="1" x14ac:dyDescent="0.35">
      <c r="A63" s="733"/>
      <c r="B63" s="742"/>
      <c r="C63" s="742"/>
      <c r="D63" s="742"/>
      <c r="E63" s="742"/>
      <c r="F63" s="742"/>
      <c r="G63" s="742"/>
      <c r="H63" s="742"/>
      <c r="I63" s="669"/>
      <c r="J63" s="742"/>
      <c r="K63" s="742"/>
    </row>
    <row r="64" spans="1:11" ht="18" customHeight="1" x14ac:dyDescent="0.35">
      <c r="A64" s="733" t="s">
        <v>144</v>
      </c>
      <c r="B64" s="636" t="s">
        <v>145</v>
      </c>
      <c r="C64" s="742"/>
      <c r="D64" s="742"/>
      <c r="E64" s="636" t="s">
        <v>7</v>
      </c>
      <c r="F64" s="650">
        <f t="shared" ref="F64:K64" si="6">SUM(F53:F62)</f>
        <v>122450</v>
      </c>
      <c r="G64" s="650">
        <f t="shared" si="6"/>
        <v>44556</v>
      </c>
      <c r="H64" s="648">
        <f t="shared" si="6"/>
        <v>12153710</v>
      </c>
      <c r="I64" s="648">
        <f t="shared" si="6"/>
        <v>0</v>
      </c>
      <c r="J64" s="648">
        <f t="shared" si="6"/>
        <v>5059895</v>
      </c>
      <c r="K64" s="648">
        <f t="shared" si="6"/>
        <v>7093815</v>
      </c>
    </row>
    <row r="65" spans="1:11" ht="18" customHeight="1" x14ac:dyDescent="0.35">
      <c r="A65" s="742"/>
      <c r="B65" s="742"/>
      <c r="C65" s="742"/>
      <c r="D65" s="742"/>
      <c r="E65" s="742"/>
      <c r="F65" s="671"/>
      <c r="G65" s="671"/>
      <c r="H65" s="671"/>
      <c r="I65" s="671"/>
      <c r="J65" s="671"/>
      <c r="K65" s="671"/>
    </row>
    <row r="66" spans="1:11" ht="42.75" customHeight="1" x14ac:dyDescent="0.35">
      <c r="A66" s="742"/>
      <c r="B66" s="742"/>
      <c r="C66" s="742"/>
      <c r="D66" s="742"/>
      <c r="E66" s="742"/>
      <c r="F66" s="680" t="s">
        <v>9</v>
      </c>
      <c r="G66" s="680" t="s">
        <v>37</v>
      </c>
      <c r="H66" s="680" t="s">
        <v>29</v>
      </c>
      <c r="I66" s="680" t="s">
        <v>30</v>
      </c>
      <c r="J66" s="680" t="s">
        <v>33</v>
      </c>
      <c r="K66" s="680" t="s">
        <v>34</v>
      </c>
    </row>
    <row r="67" spans="1:11" ht="18" customHeight="1" x14ac:dyDescent="0.35">
      <c r="A67" s="639" t="s">
        <v>102</v>
      </c>
      <c r="B67" s="636" t="s">
        <v>12</v>
      </c>
      <c r="C67" s="742"/>
      <c r="D67" s="742"/>
      <c r="E67" s="742"/>
      <c r="F67" s="681"/>
      <c r="G67" s="681"/>
      <c r="H67" s="681"/>
      <c r="I67" s="682"/>
      <c r="J67" s="681"/>
      <c r="K67" s="683"/>
    </row>
    <row r="68" spans="1:11" ht="18" customHeight="1" x14ac:dyDescent="0.35">
      <c r="A68" s="733" t="s">
        <v>103</v>
      </c>
      <c r="B68" s="742" t="s">
        <v>52</v>
      </c>
      <c r="C68" s="742"/>
      <c r="D68" s="742"/>
      <c r="E68" s="742"/>
      <c r="F68" s="674"/>
      <c r="G68" s="674"/>
      <c r="H68" s="674"/>
      <c r="I68" s="673">
        <v>0</v>
      </c>
      <c r="J68" s="674"/>
      <c r="K68" s="648">
        <f>(H68+I68)-J68</f>
        <v>0</v>
      </c>
    </row>
    <row r="69" spans="1:11" ht="18" customHeight="1" x14ac:dyDescent="0.35">
      <c r="A69" s="733" t="s">
        <v>104</v>
      </c>
      <c r="B69" s="635" t="s">
        <v>53</v>
      </c>
      <c r="C69" s="742"/>
      <c r="D69" s="742"/>
      <c r="E69" s="742"/>
      <c r="F69" s="674"/>
      <c r="G69" s="674"/>
      <c r="H69" s="674"/>
      <c r="I69" s="673">
        <v>0</v>
      </c>
      <c r="J69" s="674"/>
      <c r="K69" s="648">
        <f>(H69+I69)-J69</f>
        <v>0</v>
      </c>
    </row>
    <row r="70" spans="1:11" ht="18" customHeight="1" x14ac:dyDescent="0.35">
      <c r="A70" s="733" t="s">
        <v>178</v>
      </c>
      <c r="B70" s="912"/>
      <c r="C70" s="913"/>
      <c r="D70" s="914"/>
      <c r="E70" s="636"/>
      <c r="F70" s="658"/>
      <c r="G70" s="658"/>
      <c r="H70" s="659"/>
      <c r="I70" s="673">
        <v>0</v>
      </c>
      <c r="J70" s="659"/>
      <c r="K70" s="648">
        <f>(H70+I70)-J70</f>
        <v>0</v>
      </c>
    </row>
    <row r="71" spans="1:11" ht="18" customHeight="1" x14ac:dyDescent="0.35">
      <c r="A71" s="733" t="s">
        <v>179</v>
      </c>
      <c r="B71" s="912"/>
      <c r="C71" s="913"/>
      <c r="D71" s="914"/>
      <c r="E71" s="636"/>
      <c r="F71" s="658"/>
      <c r="G71" s="658"/>
      <c r="H71" s="659"/>
      <c r="I71" s="673">
        <v>0</v>
      </c>
      <c r="J71" s="659"/>
      <c r="K71" s="648">
        <f>(H71+I71)-J71</f>
        <v>0</v>
      </c>
    </row>
    <row r="72" spans="1:11" ht="18" customHeight="1" x14ac:dyDescent="0.35">
      <c r="A72" s="733" t="s">
        <v>180</v>
      </c>
      <c r="B72" s="930"/>
      <c r="C72" s="929"/>
      <c r="D72" s="657"/>
      <c r="E72" s="636"/>
      <c r="F72" s="646"/>
      <c r="G72" s="646"/>
      <c r="H72" s="647"/>
      <c r="I72" s="673">
        <v>0</v>
      </c>
      <c r="J72" s="647"/>
      <c r="K72" s="648">
        <f>(H72+I72)-J72</f>
        <v>0</v>
      </c>
    </row>
    <row r="73" spans="1:11" ht="18" customHeight="1" x14ac:dyDescent="0.35">
      <c r="A73" s="733"/>
      <c r="B73" s="635"/>
      <c r="C73" s="742"/>
      <c r="D73" s="742"/>
      <c r="E73" s="636"/>
      <c r="F73" s="684"/>
      <c r="G73" s="684"/>
      <c r="H73" s="685"/>
      <c r="I73" s="682"/>
      <c r="J73" s="685"/>
      <c r="K73" s="683"/>
    </row>
    <row r="74" spans="1:11" ht="18" customHeight="1" x14ac:dyDescent="0.35">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5">
      <c r="A75" s="742"/>
      <c r="B75" s="742"/>
      <c r="C75" s="742"/>
      <c r="D75" s="742"/>
      <c r="E75" s="742"/>
      <c r="F75" s="641" t="s">
        <v>9</v>
      </c>
      <c r="G75" s="641" t="s">
        <v>37</v>
      </c>
      <c r="H75" s="641" t="s">
        <v>29</v>
      </c>
      <c r="I75" s="641" t="s">
        <v>30</v>
      </c>
      <c r="J75" s="641" t="s">
        <v>33</v>
      </c>
      <c r="K75" s="641" t="s">
        <v>34</v>
      </c>
    </row>
    <row r="76" spans="1:11" ht="18" customHeight="1" x14ac:dyDescent="0.35">
      <c r="A76" s="639" t="s">
        <v>105</v>
      </c>
      <c r="B76" s="636" t="s">
        <v>106</v>
      </c>
      <c r="C76" s="742"/>
      <c r="D76" s="742"/>
      <c r="E76" s="742"/>
      <c r="F76" s="742"/>
      <c r="G76" s="742"/>
      <c r="H76" s="742"/>
      <c r="I76" s="742"/>
      <c r="J76" s="742"/>
      <c r="K76" s="742"/>
    </row>
    <row r="77" spans="1:11" ht="18" customHeight="1" x14ac:dyDescent="0.35">
      <c r="A77" s="733" t="s">
        <v>107</v>
      </c>
      <c r="B77" s="635" t="s">
        <v>54</v>
      </c>
      <c r="C77" s="742"/>
      <c r="D77" s="742"/>
      <c r="E77" s="742"/>
      <c r="F77" s="646">
        <v>2</v>
      </c>
      <c r="G77" s="646"/>
      <c r="H77" s="647">
        <v>33065</v>
      </c>
      <c r="I77" s="673">
        <v>0</v>
      </c>
      <c r="J77" s="647"/>
      <c r="K77" s="648">
        <f>(H77+I77)-J77</f>
        <v>33065</v>
      </c>
    </row>
    <row r="78" spans="1:11" ht="18" customHeight="1" x14ac:dyDescent="0.35">
      <c r="A78" s="733" t="s">
        <v>108</v>
      </c>
      <c r="B78" s="635" t="s">
        <v>55</v>
      </c>
      <c r="C78" s="742"/>
      <c r="D78" s="742"/>
      <c r="E78" s="742"/>
      <c r="F78" s="646"/>
      <c r="G78" s="646"/>
      <c r="H78" s="647"/>
      <c r="I78" s="673">
        <v>0</v>
      </c>
      <c r="J78" s="647"/>
      <c r="K78" s="648">
        <f>(H78+I78)-J78</f>
        <v>0</v>
      </c>
    </row>
    <row r="79" spans="1:11" ht="18" customHeight="1" x14ac:dyDescent="0.35">
      <c r="A79" s="733" t="s">
        <v>109</v>
      </c>
      <c r="B79" s="635" t="s">
        <v>13</v>
      </c>
      <c r="C79" s="742"/>
      <c r="D79" s="742"/>
      <c r="E79" s="742"/>
      <c r="F79" s="646">
        <v>156</v>
      </c>
      <c r="G79" s="646"/>
      <c r="H79" s="647">
        <v>12693</v>
      </c>
      <c r="I79" s="673">
        <v>6538</v>
      </c>
      <c r="J79" s="647"/>
      <c r="K79" s="648">
        <f>(H79+I79)-J79</f>
        <v>19231</v>
      </c>
    </row>
    <row r="80" spans="1:11" ht="18" customHeight="1" x14ac:dyDescent="0.35">
      <c r="A80" s="733" t="s">
        <v>110</v>
      </c>
      <c r="B80" s="635" t="s">
        <v>56</v>
      </c>
      <c r="C80" s="742"/>
      <c r="D80" s="742"/>
      <c r="E80" s="742"/>
      <c r="F80" s="646"/>
      <c r="G80" s="646"/>
      <c r="H80" s="647"/>
      <c r="I80" s="673">
        <v>0</v>
      </c>
      <c r="J80" s="647"/>
      <c r="K80" s="648">
        <f>(H80+I80)-J80</f>
        <v>0</v>
      </c>
    </row>
    <row r="81" spans="1:11" ht="18" customHeight="1" x14ac:dyDescent="0.35">
      <c r="A81" s="733"/>
      <c r="B81" s="742"/>
      <c r="C81" s="742"/>
      <c r="D81" s="742"/>
      <c r="E81" s="742"/>
      <c r="F81" s="742"/>
      <c r="G81" s="742"/>
      <c r="H81" s="742"/>
      <c r="I81" s="742"/>
      <c r="J81" s="742"/>
      <c r="K81" s="663"/>
    </row>
    <row r="82" spans="1:11" ht="18" customHeight="1" x14ac:dyDescent="0.35">
      <c r="A82" s="733" t="s">
        <v>148</v>
      </c>
      <c r="B82" s="636" t="s">
        <v>149</v>
      </c>
      <c r="C82" s="742"/>
      <c r="D82" s="742"/>
      <c r="E82" s="636" t="s">
        <v>7</v>
      </c>
      <c r="F82" s="653">
        <f t="shared" ref="F82:K82" si="8">SUM(F77:F80)</f>
        <v>158</v>
      </c>
      <c r="G82" s="653">
        <f t="shared" si="8"/>
        <v>0</v>
      </c>
      <c r="H82" s="649">
        <f t="shared" si="8"/>
        <v>45758</v>
      </c>
      <c r="I82" s="649">
        <f t="shared" si="8"/>
        <v>6538</v>
      </c>
      <c r="J82" s="649">
        <f t="shared" si="8"/>
        <v>0</v>
      </c>
      <c r="K82" s="649">
        <f t="shared" si="8"/>
        <v>52296</v>
      </c>
    </row>
    <row r="83" spans="1:11" ht="18" customHeight="1" thickBot="1" x14ac:dyDescent="0.4">
      <c r="A83" s="733"/>
      <c r="B83" s="742"/>
      <c r="C83" s="742"/>
      <c r="D83" s="742"/>
      <c r="E83" s="742"/>
      <c r="F83" s="655"/>
      <c r="G83" s="655"/>
      <c r="H83" s="655"/>
      <c r="I83" s="655"/>
      <c r="J83" s="655"/>
      <c r="K83" s="655"/>
    </row>
    <row r="84" spans="1:11" ht="42.75" customHeight="1" x14ac:dyDescent="0.35">
      <c r="A84" s="742"/>
      <c r="B84" s="742"/>
      <c r="C84" s="742"/>
      <c r="D84" s="742"/>
      <c r="E84" s="742"/>
      <c r="F84" s="641" t="s">
        <v>9</v>
      </c>
      <c r="G84" s="641" t="s">
        <v>37</v>
      </c>
      <c r="H84" s="641" t="s">
        <v>29</v>
      </c>
      <c r="I84" s="641" t="s">
        <v>30</v>
      </c>
      <c r="J84" s="641" t="s">
        <v>33</v>
      </c>
      <c r="K84" s="641" t="s">
        <v>34</v>
      </c>
    </row>
    <row r="85" spans="1:11" ht="18" customHeight="1" x14ac:dyDescent="0.35">
      <c r="A85" s="639" t="s">
        <v>111</v>
      </c>
      <c r="B85" s="636" t="s">
        <v>57</v>
      </c>
      <c r="C85" s="742"/>
      <c r="D85" s="742"/>
      <c r="E85" s="742"/>
      <c r="F85" s="742"/>
      <c r="G85" s="742"/>
      <c r="H85" s="742"/>
      <c r="I85" s="742"/>
      <c r="J85" s="742"/>
      <c r="K85" s="742"/>
    </row>
    <row r="86" spans="1:11" ht="18" customHeight="1" x14ac:dyDescent="0.35">
      <c r="A86" s="733" t="s">
        <v>112</v>
      </c>
      <c r="B86" s="635" t="s">
        <v>113</v>
      </c>
      <c r="C86" s="742"/>
      <c r="D86" s="742"/>
      <c r="E86" s="742"/>
      <c r="F86" s="646"/>
      <c r="G86" s="646"/>
      <c r="H86" s="647"/>
      <c r="I86" s="673">
        <f t="shared" ref="I86:I96" si="9">H86*F$114</f>
        <v>0</v>
      </c>
      <c r="J86" s="647"/>
      <c r="K86" s="648">
        <f t="shared" ref="K86:K96" si="10">(H86+I86)-J86</f>
        <v>0</v>
      </c>
    </row>
    <row r="87" spans="1:11" ht="18" customHeight="1" x14ac:dyDescent="0.35">
      <c r="A87" s="733" t="s">
        <v>114</v>
      </c>
      <c r="B87" s="635" t="s">
        <v>14</v>
      </c>
      <c r="C87" s="742"/>
      <c r="D87" s="742"/>
      <c r="E87" s="742"/>
      <c r="F87" s="646">
        <v>36</v>
      </c>
      <c r="G87" s="646"/>
      <c r="H87" s="647">
        <v>1403</v>
      </c>
      <c r="I87" s="673">
        <v>0</v>
      </c>
      <c r="J87" s="647"/>
      <c r="K87" s="648">
        <f t="shared" si="10"/>
        <v>1403</v>
      </c>
    </row>
    <row r="88" spans="1:11" ht="18" customHeight="1" x14ac:dyDescent="0.35">
      <c r="A88" s="733" t="s">
        <v>115</v>
      </c>
      <c r="B88" s="635" t="s">
        <v>116</v>
      </c>
      <c r="C88" s="742"/>
      <c r="D88" s="742"/>
      <c r="E88" s="742"/>
      <c r="F88" s="646">
        <v>10</v>
      </c>
      <c r="G88" s="646"/>
      <c r="H88" s="647">
        <v>1010</v>
      </c>
      <c r="I88" s="673">
        <v>0</v>
      </c>
      <c r="J88" s="647"/>
      <c r="K88" s="648">
        <f t="shared" si="10"/>
        <v>1010</v>
      </c>
    </row>
    <row r="89" spans="1:11" ht="18" customHeight="1" x14ac:dyDescent="0.35">
      <c r="A89" s="733" t="s">
        <v>117</v>
      </c>
      <c r="B89" s="635" t="s">
        <v>58</v>
      </c>
      <c r="C89" s="742"/>
      <c r="D89" s="742"/>
      <c r="E89" s="742"/>
      <c r="F89" s="646">
        <v>261</v>
      </c>
      <c r="G89" s="646"/>
      <c r="H89" s="647">
        <v>13708</v>
      </c>
      <c r="I89" s="673">
        <v>6529</v>
      </c>
      <c r="J89" s="647"/>
      <c r="K89" s="648">
        <f t="shared" si="10"/>
        <v>20237</v>
      </c>
    </row>
    <row r="90" spans="1:11" ht="18" customHeight="1" x14ac:dyDescent="0.35">
      <c r="A90" s="733" t="s">
        <v>118</v>
      </c>
      <c r="B90" s="1359" t="s">
        <v>59</v>
      </c>
      <c r="C90" s="1359"/>
      <c r="D90" s="742"/>
      <c r="E90" s="742"/>
      <c r="F90" s="646"/>
      <c r="G90" s="646"/>
      <c r="H90" s="647"/>
      <c r="I90" s="673">
        <f t="shared" si="9"/>
        <v>0</v>
      </c>
      <c r="J90" s="647"/>
      <c r="K90" s="648">
        <f t="shared" si="10"/>
        <v>0</v>
      </c>
    </row>
    <row r="91" spans="1:11" ht="18" customHeight="1" x14ac:dyDescent="0.35">
      <c r="A91" s="733" t="s">
        <v>119</v>
      </c>
      <c r="B91" s="635" t="s">
        <v>60</v>
      </c>
      <c r="C91" s="742"/>
      <c r="D91" s="742"/>
      <c r="E91" s="742"/>
      <c r="F91" s="646"/>
      <c r="G91" s="646"/>
      <c r="H91" s="647"/>
      <c r="I91" s="673">
        <f t="shared" si="9"/>
        <v>0</v>
      </c>
      <c r="J91" s="647"/>
      <c r="K91" s="648">
        <f t="shared" si="10"/>
        <v>0</v>
      </c>
    </row>
    <row r="92" spans="1:11" ht="18" customHeight="1" x14ac:dyDescent="0.35">
      <c r="A92" s="733" t="s">
        <v>120</v>
      </c>
      <c r="B92" s="635" t="s">
        <v>121</v>
      </c>
      <c r="C92" s="742"/>
      <c r="D92" s="742"/>
      <c r="E92" s="742"/>
      <c r="F92" s="661"/>
      <c r="G92" s="661"/>
      <c r="H92" s="662">
        <v>26386</v>
      </c>
      <c r="I92" s="673">
        <v>0</v>
      </c>
      <c r="J92" s="662"/>
      <c r="K92" s="648">
        <f t="shared" si="10"/>
        <v>26386</v>
      </c>
    </row>
    <row r="93" spans="1:11" ht="18" customHeight="1" x14ac:dyDescent="0.35">
      <c r="A93" s="733" t="s">
        <v>122</v>
      </c>
      <c r="B93" s="635" t="s">
        <v>123</v>
      </c>
      <c r="C93" s="742"/>
      <c r="D93" s="742"/>
      <c r="E93" s="742"/>
      <c r="F93" s="646">
        <v>42</v>
      </c>
      <c r="G93" s="646">
        <v>14</v>
      </c>
      <c r="H93" s="647">
        <v>19031</v>
      </c>
      <c r="I93" s="673">
        <v>15051</v>
      </c>
      <c r="J93" s="647"/>
      <c r="K93" s="648">
        <f t="shared" si="10"/>
        <v>34082</v>
      </c>
    </row>
    <row r="94" spans="1:11" ht="18" customHeight="1" x14ac:dyDescent="0.35">
      <c r="A94" s="733" t="s">
        <v>124</v>
      </c>
      <c r="B94" s="1455" t="s">
        <v>279</v>
      </c>
      <c r="C94" s="1456"/>
      <c r="D94" s="1457"/>
      <c r="E94" s="742"/>
      <c r="F94" s="646">
        <v>20</v>
      </c>
      <c r="G94" s="646"/>
      <c r="H94" s="647">
        <v>2020</v>
      </c>
      <c r="I94" s="673">
        <v>0</v>
      </c>
      <c r="J94" s="647"/>
      <c r="K94" s="648">
        <f t="shared" si="10"/>
        <v>2020</v>
      </c>
    </row>
    <row r="95" spans="1:11" ht="18" customHeight="1" x14ac:dyDescent="0.35">
      <c r="A95" s="733" t="s">
        <v>125</v>
      </c>
      <c r="B95" s="1354"/>
      <c r="C95" s="1355"/>
      <c r="D95" s="1356"/>
      <c r="E95" s="742"/>
      <c r="F95" s="646"/>
      <c r="G95" s="646"/>
      <c r="H95" s="647"/>
      <c r="I95" s="673">
        <f t="shared" si="9"/>
        <v>0</v>
      </c>
      <c r="J95" s="647"/>
      <c r="K95" s="648">
        <f t="shared" si="10"/>
        <v>0</v>
      </c>
    </row>
    <row r="96" spans="1:11" ht="18" customHeight="1" x14ac:dyDescent="0.35">
      <c r="A96" s="733" t="s">
        <v>126</v>
      </c>
      <c r="B96" s="1354"/>
      <c r="C96" s="1355"/>
      <c r="D96" s="1356"/>
      <c r="E96" s="742"/>
      <c r="F96" s="646"/>
      <c r="G96" s="646"/>
      <c r="H96" s="647"/>
      <c r="I96" s="673">
        <f t="shared" si="9"/>
        <v>0</v>
      </c>
      <c r="J96" s="647"/>
      <c r="K96" s="648">
        <f t="shared" si="10"/>
        <v>0</v>
      </c>
    </row>
    <row r="97" spans="1:11" ht="18" customHeight="1" x14ac:dyDescent="0.35">
      <c r="A97" s="733"/>
      <c r="B97" s="635"/>
      <c r="C97" s="742"/>
      <c r="D97" s="742"/>
      <c r="E97" s="742"/>
      <c r="F97" s="742"/>
      <c r="G97" s="742"/>
      <c r="H97" s="742"/>
      <c r="I97" s="742"/>
      <c r="J97" s="742"/>
      <c r="K97" s="742"/>
    </row>
    <row r="98" spans="1:11" ht="18" customHeight="1" x14ac:dyDescent="0.35">
      <c r="A98" s="639" t="s">
        <v>150</v>
      </c>
      <c r="B98" s="636" t="s">
        <v>151</v>
      </c>
      <c r="C98" s="742"/>
      <c r="D98" s="742"/>
      <c r="E98" s="636" t="s">
        <v>7</v>
      </c>
      <c r="F98" s="650">
        <f t="shared" ref="F98:K98" si="11">SUM(F86:F96)</f>
        <v>369</v>
      </c>
      <c r="G98" s="650">
        <f t="shared" si="11"/>
        <v>14</v>
      </c>
      <c r="H98" s="650">
        <f t="shared" si="11"/>
        <v>63558</v>
      </c>
      <c r="I98" s="650">
        <f t="shared" si="11"/>
        <v>21580</v>
      </c>
      <c r="J98" s="650">
        <f t="shared" si="11"/>
        <v>0</v>
      </c>
      <c r="K98" s="650">
        <f t="shared" si="11"/>
        <v>85138</v>
      </c>
    </row>
    <row r="99" spans="1:11" ht="18" customHeight="1" thickBot="1" x14ac:dyDescent="0.4">
      <c r="A99" s="742"/>
      <c r="B99" s="636"/>
      <c r="C99" s="742"/>
      <c r="D99" s="742"/>
      <c r="E99" s="742"/>
      <c r="F99" s="655"/>
      <c r="G99" s="655"/>
      <c r="H99" s="655"/>
      <c r="I99" s="655"/>
      <c r="J99" s="655"/>
      <c r="K99" s="655"/>
    </row>
    <row r="100" spans="1:11" ht="42.75" customHeight="1" x14ac:dyDescent="0.35">
      <c r="A100" s="742"/>
      <c r="B100" s="742"/>
      <c r="C100" s="742"/>
      <c r="D100" s="742"/>
      <c r="E100" s="742"/>
      <c r="F100" s="641" t="s">
        <v>9</v>
      </c>
      <c r="G100" s="641" t="s">
        <v>37</v>
      </c>
      <c r="H100" s="641" t="s">
        <v>29</v>
      </c>
      <c r="I100" s="641" t="s">
        <v>30</v>
      </c>
      <c r="J100" s="641" t="s">
        <v>33</v>
      </c>
      <c r="K100" s="641" t="s">
        <v>34</v>
      </c>
    </row>
    <row r="101" spans="1:11" ht="18" customHeight="1" x14ac:dyDescent="0.35">
      <c r="A101" s="639" t="s">
        <v>130</v>
      </c>
      <c r="B101" s="636" t="s">
        <v>63</v>
      </c>
      <c r="C101" s="742"/>
      <c r="D101" s="742"/>
      <c r="E101" s="742"/>
      <c r="F101" s="742"/>
      <c r="G101" s="742"/>
      <c r="H101" s="742"/>
      <c r="I101" s="742"/>
      <c r="J101" s="742"/>
      <c r="K101" s="742"/>
    </row>
    <row r="102" spans="1:11" ht="18" customHeight="1" x14ac:dyDescent="0.35">
      <c r="A102" s="733" t="s">
        <v>131</v>
      </c>
      <c r="B102" s="635" t="s">
        <v>152</v>
      </c>
      <c r="C102" s="742"/>
      <c r="D102" s="742"/>
      <c r="E102" s="742"/>
      <c r="F102" s="646">
        <v>1744</v>
      </c>
      <c r="G102" s="646"/>
      <c r="H102" s="647">
        <v>145773</v>
      </c>
      <c r="I102" s="673">
        <v>54578</v>
      </c>
      <c r="J102" s="647"/>
      <c r="K102" s="648">
        <f>(H102+I102)-J102</f>
        <v>200351</v>
      </c>
    </row>
    <row r="103" spans="1:11" ht="18" customHeight="1" x14ac:dyDescent="0.35">
      <c r="A103" s="733" t="s">
        <v>132</v>
      </c>
      <c r="B103" s="1357" t="s">
        <v>62</v>
      </c>
      <c r="C103" s="1357"/>
      <c r="D103" s="742"/>
      <c r="E103" s="742"/>
      <c r="F103" s="646">
        <v>8</v>
      </c>
      <c r="G103" s="646"/>
      <c r="H103" s="647">
        <v>3507</v>
      </c>
      <c r="I103" s="673">
        <v>0</v>
      </c>
      <c r="J103" s="647"/>
      <c r="K103" s="648">
        <f>(H103+I103)-J103</f>
        <v>3507</v>
      </c>
    </row>
    <row r="104" spans="1:11" ht="18" customHeight="1" x14ac:dyDescent="0.35">
      <c r="A104" s="733" t="s">
        <v>128</v>
      </c>
      <c r="B104" s="1354"/>
      <c r="C104" s="1355"/>
      <c r="D104" s="1356"/>
      <c r="E104" s="742"/>
      <c r="F104" s="646"/>
      <c r="G104" s="646"/>
      <c r="H104" s="647"/>
      <c r="I104" s="673">
        <f>H104*F$114</f>
        <v>0</v>
      </c>
      <c r="J104" s="647"/>
      <c r="K104" s="648">
        <f>(H104+I104)-J104</f>
        <v>0</v>
      </c>
    </row>
    <row r="105" spans="1:11" ht="18" customHeight="1" x14ac:dyDescent="0.35">
      <c r="A105" s="733" t="s">
        <v>127</v>
      </c>
      <c r="B105" s="1354"/>
      <c r="C105" s="1355"/>
      <c r="D105" s="1356"/>
      <c r="E105" s="742"/>
      <c r="F105" s="646"/>
      <c r="G105" s="646"/>
      <c r="H105" s="647"/>
      <c r="I105" s="673">
        <f>H105*F$114</f>
        <v>0</v>
      </c>
      <c r="J105" s="647"/>
      <c r="K105" s="648">
        <f>(H105+I105)-J105</f>
        <v>0</v>
      </c>
    </row>
    <row r="106" spans="1:11" ht="18" customHeight="1" x14ac:dyDescent="0.35">
      <c r="A106" s="733" t="s">
        <v>129</v>
      </c>
      <c r="B106" s="1354"/>
      <c r="C106" s="1355"/>
      <c r="D106" s="1356"/>
      <c r="E106" s="742"/>
      <c r="F106" s="646"/>
      <c r="G106" s="646"/>
      <c r="H106" s="647"/>
      <c r="I106" s="673">
        <f>H106*F$114</f>
        <v>0</v>
      </c>
      <c r="J106" s="647"/>
      <c r="K106" s="648">
        <f>(H106+I106)-J106</f>
        <v>0</v>
      </c>
    </row>
    <row r="107" spans="1:11" ht="18" customHeight="1" x14ac:dyDescent="0.35">
      <c r="A107" s="742"/>
      <c r="B107" s="636"/>
      <c r="C107" s="742"/>
      <c r="D107" s="742"/>
      <c r="E107" s="742"/>
      <c r="F107" s="742"/>
      <c r="G107" s="742"/>
      <c r="H107" s="742"/>
      <c r="I107" s="742"/>
      <c r="J107" s="742"/>
      <c r="K107" s="742"/>
    </row>
    <row r="108" spans="1:11" s="101" customFormat="1" ht="18" customHeight="1" x14ac:dyDescent="0.35">
      <c r="A108" s="639" t="s">
        <v>153</v>
      </c>
      <c r="B108" s="686" t="s">
        <v>154</v>
      </c>
      <c r="C108" s="742"/>
      <c r="D108" s="742"/>
      <c r="E108" s="636" t="s">
        <v>7</v>
      </c>
      <c r="F108" s="650">
        <f t="shared" ref="F108:K108" si="12">SUM(F102:F106)</f>
        <v>1752</v>
      </c>
      <c r="G108" s="650">
        <f t="shared" si="12"/>
        <v>0</v>
      </c>
      <c r="H108" s="648">
        <f t="shared" si="12"/>
        <v>149280</v>
      </c>
      <c r="I108" s="648">
        <f t="shared" si="12"/>
        <v>54578</v>
      </c>
      <c r="J108" s="648">
        <f t="shared" si="12"/>
        <v>0</v>
      </c>
      <c r="K108" s="648">
        <f t="shared" si="12"/>
        <v>203858</v>
      </c>
    </row>
    <row r="109" spans="1:11" s="101" customFormat="1" ht="18" customHeight="1" thickBot="1" x14ac:dyDescent="0.4">
      <c r="A109" s="643"/>
      <c r="B109" s="644"/>
      <c r="C109" s="645"/>
      <c r="D109" s="645"/>
      <c r="E109" s="645"/>
      <c r="F109" s="655"/>
      <c r="G109" s="655"/>
      <c r="H109" s="655"/>
      <c r="I109" s="655"/>
      <c r="J109" s="655"/>
      <c r="K109" s="655"/>
    </row>
    <row r="110" spans="1:11" s="101" customFormat="1" ht="18" customHeight="1" x14ac:dyDescent="0.35">
      <c r="A110" s="639" t="s">
        <v>156</v>
      </c>
      <c r="B110" s="636" t="s">
        <v>39</v>
      </c>
      <c r="C110" s="742"/>
      <c r="D110" s="742"/>
      <c r="E110" s="742"/>
      <c r="F110" s="742"/>
      <c r="G110" s="742"/>
      <c r="H110" s="742"/>
      <c r="I110" s="742"/>
      <c r="J110" s="742"/>
      <c r="K110" s="742"/>
    </row>
    <row r="111" spans="1:11" ht="18" customHeight="1" x14ac:dyDescent="0.35">
      <c r="A111" s="639" t="s">
        <v>155</v>
      </c>
      <c r="B111" s="636" t="s">
        <v>164</v>
      </c>
      <c r="C111" s="742"/>
      <c r="D111" s="742"/>
      <c r="E111" s="636" t="s">
        <v>7</v>
      </c>
      <c r="F111" s="647">
        <v>2816043</v>
      </c>
      <c r="G111" s="742"/>
      <c r="H111" s="742"/>
      <c r="I111" s="742"/>
      <c r="J111" s="742"/>
      <c r="K111" s="742"/>
    </row>
    <row r="112" spans="1:11" ht="18" customHeight="1" x14ac:dyDescent="0.35">
      <c r="A112" s="742"/>
      <c r="B112" s="636"/>
      <c r="C112" s="742"/>
      <c r="D112" s="742"/>
      <c r="E112" s="636"/>
      <c r="F112" s="734"/>
      <c r="G112" s="742"/>
      <c r="H112" s="742"/>
      <c r="I112" s="742"/>
      <c r="J112" s="742"/>
      <c r="K112" s="742"/>
    </row>
    <row r="113" spans="1:6" ht="14.5" x14ac:dyDescent="0.35">
      <c r="A113" s="639"/>
      <c r="B113" s="636" t="s">
        <v>15</v>
      </c>
      <c r="C113" s="742"/>
      <c r="D113" s="742"/>
      <c r="E113" s="742"/>
      <c r="F113" s="742"/>
    </row>
    <row r="114" spans="1:6" ht="14.5" x14ac:dyDescent="0.35">
      <c r="A114" s="733" t="s">
        <v>171</v>
      </c>
      <c r="B114" s="635" t="s">
        <v>35</v>
      </c>
      <c r="C114" s="742"/>
      <c r="D114" s="742"/>
      <c r="E114" s="742"/>
      <c r="F114" s="480">
        <v>0.80130000000000001</v>
      </c>
    </row>
    <row r="115" spans="1:6" ht="14.5" x14ac:dyDescent="0.35">
      <c r="A115" s="733"/>
      <c r="B115" s="636"/>
      <c r="C115" s="742"/>
      <c r="D115" s="742"/>
      <c r="E115" s="742"/>
      <c r="F115" s="742"/>
    </row>
    <row r="116" spans="1:6" ht="14.5" x14ac:dyDescent="0.35">
      <c r="A116" s="733" t="s">
        <v>170</v>
      </c>
      <c r="B116" s="636" t="s">
        <v>16</v>
      </c>
      <c r="C116" s="742"/>
      <c r="D116" s="742"/>
      <c r="E116" s="742"/>
      <c r="F116" s="742"/>
    </row>
    <row r="117" spans="1:6" ht="14.5" x14ac:dyDescent="0.35">
      <c r="A117" s="733" t="s">
        <v>172</v>
      </c>
      <c r="B117" s="635" t="s">
        <v>17</v>
      </c>
      <c r="C117" s="742"/>
      <c r="D117" s="742"/>
      <c r="E117" s="742"/>
      <c r="F117" s="647">
        <v>187141780</v>
      </c>
    </row>
    <row r="118" spans="1:6" ht="14.5" x14ac:dyDescent="0.35">
      <c r="A118" s="733" t="s">
        <v>173</v>
      </c>
      <c r="B118" s="742" t="s">
        <v>18</v>
      </c>
      <c r="C118" s="742"/>
      <c r="D118" s="742"/>
      <c r="E118" s="742"/>
      <c r="F118" s="647">
        <v>18178650</v>
      </c>
    </row>
    <row r="119" spans="1:6" ht="14.5" x14ac:dyDescent="0.35">
      <c r="A119" s="733" t="s">
        <v>174</v>
      </c>
      <c r="B119" s="636" t="s">
        <v>19</v>
      </c>
      <c r="C119" s="742"/>
      <c r="D119" s="742"/>
      <c r="E119" s="742"/>
      <c r="F119" s="649">
        <f>SUM(F117:F118)</f>
        <v>205320430</v>
      </c>
    </row>
    <row r="120" spans="1:6" ht="14.5" x14ac:dyDescent="0.35">
      <c r="A120" s="733"/>
      <c r="B120" s="636"/>
      <c r="C120" s="742"/>
      <c r="D120" s="742"/>
      <c r="E120" s="742"/>
      <c r="F120" s="742"/>
    </row>
    <row r="121" spans="1:6" ht="14.5" x14ac:dyDescent="0.35">
      <c r="A121" s="733" t="s">
        <v>167</v>
      </c>
      <c r="B121" s="636" t="s">
        <v>36</v>
      </c>
      <c r="C121" s="742"/>
      <c r="D121" s="742"/>
      <c r="E121" s="742"/>
      <c r="F121" s="647">
        <v>187002302</v>
      </c>
    </row>
    <row r="122" spans="1:6" ht="14.5" x14ac:dyDescent="0.35">
      <c r="A122" s="733"/>
      <c r="B122" s="742"/>
      <c r="C122" s="742"/>
      <c r="D122" s="742"/>
      <c r="E122" s="742"/>
      <c r="F122" s="742"/>
    </row>
    <row r="123" spans="1:6" ht="14.5" x14ac:dyDescent="0.35">
      <c r="A123" s="733" t="s">
        <v>175</v>
      </c>
      <c r="B123" s="636" t="s">
        <v>20</v>
      </c>
      <c r="C123" s="742"/>
      <c r="D123" s="742"/>
      <c r="E123" s="742"/>
      <c r="F123" s="647">
        <f>+F119-F121</f>
        <v>18318128</v>
      </c>
    </row>
    <row r="124" spans="1:6" ht="14.5" x14ac:dyDescent="0.35">
      <c r="A124" s="733"/>
      <c r="B124" s="742"/>
      <c r="C124" s="742"/>
      <c r="D124" s="742"/>
      <c r="E124" s="742"/>
      <c r="F124" s="742"/>
    </row>
    <row r="125" spans="1:6" ht="14.5" x14ac:dyDescent="0.35">
      <c r="A125" s="733" t="s">
        <v>176</v>
      </c>
      <c r="B125" s="636" t="s">
        <v>21</v>
      </c>
      <c r="C125" s="742"/>
      <c r="D125" s="742"/>
      <c r="E125" s="742"/>
      <c r="F125" s="647">
        <v>533939</v>
      </c>
    </row>
    <row r="126" spans="1:6" ht="14.5" x14ac:dyDescent="0.35">
      <c r="A126" s="733"/>
      <c r="B126" s="742"/>
      <c r="C126" s="742"/>
      <c r="D126" s="742"/>
      <c r="E126" s="742"/>
      <c r="F126" s="742"/>
    </row>
    <row r="127" spans="1:6" ht="14.5" x14ac:dyDescent="0.35">
      <c r="A127" s="733" t="s">
        <v>177</v>
      </c>
      <c r="B127" s="636" t="s">
        <v>22</v>
      </c>
      <c r="C127" s="742"/>
      <c r="D127" s="742"/>
      <c r="E127" s="742"/>
      <c r="F127" s="647">
        <f>+F125+F123</f>
        <v>18852067</v>
      </c>
    </row>
    <row r="128" spans="1:6" ht="14.5" x14ac:dyDescent="0.35">
      <c r="A128" s="733"/>
      <c r="B128" s="742"/>
      <c r="C128" s="742"/>
      <c r="D128" s="742"/>
      <c r="E128" s="742"/>
      <c r="F128" s="742"/>
    </row>
    <row r="129" spans="1:11" ht="42.75" customHeight="1" x14ac:dyDescent="0.35">
      <c r="A129" s="742"/>
      <c r="B129" s="742"/>
      <c r="C129" s="742"/>
      <c r="D129" s="742"/>
      <c r="E129" s="742"/>
      <c r="F129" s="641" t="s">
        <v>9</v>
      </c>
      <c r="G129" s="641" t="s">
        <v>37</v>
      </c>
      <c r="H129" s="641" t="s">
        <v>29</v>
      </c>
      <c r="I129" s="641" t="s">
        <v>30</v>
      </c>
      <c r="J129" s="641" t="s">
        <v>33</v>
      </c>
      <c r="K129" s="641" t="s">
        <v>34</v>
      </c>
    </row>
    <row r="130" spans="1:11" ht="18" customHeight="1" x14ac:dyDescent="0.35">
      <c r="A130" s="639" t="s">
        <v>157</v>
      </c>
      <c r="B130" s="636" t="s">
        <v>23</v>
      </c>
      <c r="C130" s="742"/>
      <c r="D130" s="742"/>
      <c r="E130" s="742"/>
      <c r="F130" s="742"/>
      <c r="G130" s="742"/>
      <c r="H130" s="742"/>
      <c r="I130" s="742"/>
      <c r="J130" s="742"/>
      <c r="K130" s="742"/>
    </row>
    <row r="131" spans="1:11" ht="18" customHeight="1" x14ac:dyDescent="0.35">
      <c r="A131" s="733" t="s">
        <v>158</v>
      </c>
      <c r="B131" s="742" t="s">
        <v>24</v>
      </c>
      <c r="C131" s="742"/>
      <c r="D131" s="742"/>
      <c r="E131" s="742"/>
      <c r="F131" s="646"/>
      <c r="G131" s="646"/>
      <c r="H131" s="647"/>
      <c r="I131" s="673">
        <v>0</v>
      </c>
      <c r="J131" s="647"/>
      <c r="K131" s="648">
        <f>(H131+I131)-J131</f>
        <v>0</v>
      </c>
    </row>
    <row r="132" spans="1:11" ht="18" customHeight="1" x14ac:dyDescent="0.35">
      <c r="A132" s="733" t="s">
        <v>159</v>
      </c>
      <c r="B132" s="742" t="s">
        <v>25</v>
      </c>
      <c r="C132" s="742"/>
      <c r="D132" s="742"/>
      <c r="E132" s="742"/>
      <c r="F132" s="646"/>
      <c r="G132" s="646"/>
      <c r="H132" s="647"/>
      <c r="I132" s="673">
        <v>0</v>
      </c>
      <c r="J132" s="647"/>
      <c r="K132" s="648">
        <f>(H132+I132)-J132</f>
        <v>0</v>
      </c>
    </row>
    <row r="133" spans="1:11" ht="18" customHeight="1" x14ac:dyDescent="0.35">
      <c r="A133" s="733" t="s">
        <v>160</v>
      </c>
      <c r="B133" s="1351"/>
      <c r="C133" s="1352"/>
      <c r="D133" s="1353"/>
      <c r="E133" s="742"/>
      <c r="F133" s="646"/>
      <c r="G133" s="646"/>
      <c r="H133" s="647"/>
      <c r="I133" s="673">
        <v>0</v>
      </c>
      <c r="J133" s="647"/>
      <c r="K133" s="648">
        <f>(H133+I133)-J133</f>
        <v>0</v>
      </c>
    </row>
    <row r="134" spans="1:11" ht="18" customHeight="1" x14ac:dyDescent="0.35">
      <c r="A134" s="733" t="s">
        <v>161</v>
      </c>
      <c r="B134" s="1351"/>
      <c r="C134" s="1352"/>
      <c r="D134" s="1353"/>
      <c r="E134" s="742"/>
      <c r="F134" s="646"/>
      <c r="G134" s="646"/>
      <c r="H134" s="647"/>
      <c r="I134" s="673">
        <v>0</v>
      </c>
      <c r="J134" s="647"/>
      <c r="K134" s="648">
        <f>(H134+I134)-J134</f>
        <v>0</v>
      </c>
    </row>
    <row r="135" spans="1:11" ht="18" customHeight="1" x14ac:dyDescent="0.35">
      <c r="A135" s="733" t="s">
        <v>162</v>
      </c>
      <c r="B135" s="1351"/>
      <c r="C135" s="1352"/>
      <c r="D135" s="1353"/>
      <c r="E135" s="742"/>
      <c r="F135" s="646"/>
      <c r="G135" s="646"/>
      <c r="H135" s="647"/>
      <c r="I135" s="673">
        <v>0</v>
      </c>
      <c r="J135" s="647"/>
      <c r="K135" s="648">
        <f>(H135+I135)-J135</f>
        <v>0</v>
      </c>
    </row>
    <row r="136" spans="1:11" ht="18" customHeight="1" x14ac:dyDescent="0.35">
      <c r="A136" s="639"/>
      <c r="B136" s="742"/>
      <c r="C136" s="742"/>
      <c r="D136" s="742"/>
      <c r="E136" s="742"/>
      <c r="F136" s="742"/>
      <c r="G136" s="742"/>
      <c r="H136" s="742"/>
      <c r="I136" s="742"/>
      <c r="J136" s="742"/>
      <c r="K136" s="742"/>
    </row>
    <row r="137" spans="1:11" ht="18" customHeight="1" x14ac:dyDescent="0.35">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35">
      <c r="A138" s="742"/>
      <c r="B138" s="742"/>
      <c r="C138" s="742"/>
      <c r="D138" s="742"/>
      <c r="E138" s="742"/>
      <c r="F138" s="742"/>
      <c r="G138" s="742"/>
      <c r="H138" s="742"/>
      <c r="I138" s="742"/>
      <c r="J138" s="742"/>
      <c r="K138" s="742"/>
    </row>
    <row r="139" spans="1:11" ht="42.75" customHeight="1" x14ac:dyDescent="0.35">
      <c r="A139" s="742"/>
      <c r="B139" s="742"/>
      <c r="C139" s="742"/>
      <c r="D139" s="742"/>
      <c r="E139" s="742"/>
      <c r="F139" s="641" t="s">
        <v>9</v>
      </c>
      <c r="G139" s="641" t="s">
        <v>37</v>
      </c>
      <c r="H139" s="641" t="s">
        <v>29</v>
      </c>
      <c r="I139" s="641" t="s">
        <v>30</v>
      </c>
      <c r="J139" s="641" t="s">
        <v>33</v>
      </c>
      <c r="K139" s="641" t="s">
        <v>34</v>
      </c>
    </row>
    <row r="140" spans="1:11" ht="18" customHeight="1" x14ac:dyDescent="0.35">
      <c r="A140" s="639" t="s">
        <v>166</v>
      </c>
      <c r="B140" s="636" t="s">
        <v>26</v>
      </c>
      <c r="C140" s="742"/>
      <c r="D140" s="742"/>
      <c r="E140" s="742"/>
      <c r="F140" s="742"/>
      <c r="G140" s="742"/>
      <c r="H140" s="742"/>
      <c r="I140" s="742"/>
      <c r="J140" s="742"/>
      <c r="K140" s="742"/>
    </row>
    <row r="141" spans="1:11" ht="18" customHeight="1" x14ac:dyDescent="0.35">
      <c r="A141" s="733" t="s">
        <v>137</v>
      </c>
      <c r="B141" s="636" t="s">
        <v>64</v>
      </c>
      <c r="C141" s="742"/>
      <c r="D141" s="742"/>
      <c r="E141" s="742"/>
      <c r="F141" s="664">
        <f t="shared" ref="F141:K141" si="14">F36</f>
        <v>12130.5</v>
      </c>
      <c r="G141" s="664">
        <f t="shared" si="14"/>
        <v>53298</v>
      </c>
      <c r="H141" s="664">
        <f t="shared" si="14"/>
        <v>1478354</v>
      </c>
      <c r="I141" s="664">
        <f t="shared" si="14"/>
        <v>947642</v>
      </c>
      <c r="J141" s="664">
        <f t="shared" si="14"/>
        <v>904801</v>
      </c>
      <c r="K141" s="664">
        <f t="shared" si="14"/>
        <v>1521195</v>
      </c>
    </row>
    <row r="142" spans="1:11" ht="18" customHeight="1" x14ac:dyDescent="0.35">
      <c r="A142" s="733" t="s">
        <v>142</v>
      </c>
      <c r="B142" s="636" t="s">
        <v>65</v>
      </c>
      <c r="C142" s="742"/>
      <c r="D142" s="742"/>
      <c r="E142" s="742"/>
      <c r="F142" s="664">
        <f t="shared" ref="F142:K142" si="15">F49</f>
        <v>109462</v>
      </c>
      <c r="G142" s="664">
        <f t="shared" si="15"/>
        <v>137</v>
      </c>
      <c r="H142" s="664">
        <f t="shared" si="15"/>
        <v>5679819</v>
      </c>
      <c r="I142" s="664">
        <f t="shared" si="15"/>
        <v>4549535</v>
      </c>
      <c r="J142" s="664">
        <f t="shared" si="15"/>
        <v>3060</v>
      </c>
      <c r="K142" s="664">
        <f t="shared" si="15"/>
        <v>10226294</v>
      </c>
    </row>
    <row r="143" spans="1:11" ht="18" customHeight="1" x14ac:dyDescent="0.35">
      <c r="A143" s="733" t="s">
        <v>144</v>
      </c>
      <c r="B143" s="636" t="s">
        <v>66</v>
      </c>
      <c r="C143" s="742"/>
      <c r="D143" s="742"/>
      <c r="E143" s="742"/>
      <c r="F143" s="664">
        <f t="shared" ref="F143:K143" si="16">F64</f>
        <v>122450</v>
      </c>
      <c r="G143" s="664">
        <f t="shared" si="16"/>
        <v>44556</v>
      </c>
      <c r="H143" s="664">
        <f t="shared" si="16"/>
        <v>12153710</v>
      </c>
      <c r="I143" s="664">
        <f t="shared" si="16"/>
        <v>0</v>
      </c>
      <c r="J143" s="664">
        <f t="shared" si="16"/>
        <v>5059895</v>
      </c>
      <c r="K143" s="664">
        <f t="shared" si="16"/>
        <v>7093815</v>
      </c>
    </row>
    <row r="144" spans="1:11" ht="18" customHeight="1" x14ac:dyDescent="0.35">
      <c r="A144" s="733"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5">
      <c r="A145" s="733" t="s">
        <v>148</v>
      </c>
      <c r="B145" s="636" t="s">
        <v>68</v>
      </c>
      <c r="C145" s="742"/>
      <c r="D145" s="742"/>
      <c r="E145" s="742"/>
      <c r="F145" s="664">
        <f t="shared" ref="F145:K145" si="18">F82</f>
        <v>158</v>
      </c>
      <c r="G145" s="664">
        <f t="shared" si="18"/>
        <v>0</v>
      </c>
      <c r="H145" s="664">
        <f t="shared" si="18"/>
        <v>45758</v>
      </c>
      <c r="I145" s="664">
        <f t="shared" si="18"/>
        <v>6538</v>
      </c>
      <c r="J145" s="664">
        <f t="shared" si="18"/>
        <v>0</v>
      </c>
      <c r="K145" s="664">
        <f t="shared" si="18"/>
        <v>52296</v>
      </c>
    </row>
    <row r="146" spans="1:11" ht="18" customHeight="1" x14ac:dyDescent="0.35">
      <c r="A146" s="733" t="s">
        <v>150</v>
      </c>
      <c r="B146" s="636" t="s">
        <v>69</v>
      </c>
      <c r="C146" s="742"/>
      <c r="D146" s="742"/>
      <c r="E146" s="742"/>
      <c r="F146" s="664">
        <f t="shared" ref="F146:K146" si="19">F98</f>
        <v>369</v>
      </c>
      <c r="G146" s="664">
        <f t="shared" si="19"/>
        <v>14</v>
      </c>
      <c r="H146" s="664">
        <f t="shared" si="19"/>
        <v>63558</v>
      </c>
      <c r="I146" s="664">
        <f t="shared" si="19"/>
        <v>21580</v>
      </c>
      <c r="J146" s="664">
        <f t="shared" si="19"/>
        <v>0</v>
      </c>
      <c r="K146" s="664">
        <f t="shared" si="19"/>
        <v>85138</v>
      </c>
    </row>
    <row r="147" spans="1:11" ht="18" customHeight="1" x14ac:dyDescent="0.35">
      <c r="A147" s="733" t="s">
        <v>153</v>
      </c>
      <c r="B147" s="636" t="s">
        <v>61</v>
      </c>
      <c r="C147" s="742"/>
      <c r="D147" s="742"/>
      <c r="E147" s="742"/>
      <c r="F147" s="650">
        <f t="shared" ref="F147:K147" si="20">F108</f>
        <v>1752</v>
      </c>
      <c r="G147" s="650">
        <f t="shared" si="20"/>
        <v>0</v>
      </c>
      <c r="H147" s="650">
        <f t="shared" si="20"/>
        <v>149280</v>
      </c>
      <c r="I147" s="650">
        <f t="shared" si="20"/>
        <v>54578</v>
      </c>
      <c r="J147" s="650">
        <f t="shared" si="20"/>
        <v>0</v>
      </c>
      <c r="K147" s="650">
        <f t="shared" si="20"/>
        <v>203858</v>
      </c>
    </row>
    <row r="148" spans="1:11" ht="18" customHeight="1" x14ac:dyDescent="0.35">
      <c r="A148" s="733" t="s">
        <v>155</v>
      </c>
      <c r="B148" s="636" t="s">
        <v>70</v>
      </c>
      <c r="C148" s="742"/>
      <c r="D148" s="742"/>
      <c r="E148" s="742"/>
      <c r="F148" s="665" t="s">
        <v>73</v>
      </c>
      <c r="G148" s="665" t="s">
        <v>73</v>
      </c>
      <c r="H148" s="666" t="s">
        <v>73</v>
      </c>
      <c r="I148" s="666" t="s">
        <v>73</v>
      </c>
      <c r="J148" s="666" t="s">
        <v>73</v>
      </c>
      <c r="K148" s="660">
        <f>F111</f>
        <v>2816043</v>
      </c>
    </row>
    <row r="149" spans="1:11" ht="18" customHeight="1" x14ac:dyDescent="0.35">
      <c r="A149" s="733"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5">
      <c r="A150" s="733" t="s">
        <v>185</v>
      </c>
      <c r="B150" s="636" t="s">
        <v>186</v>
      </c>
      <c r="C150" s="742"/>
      <c r="D150" s="742"/>
      <c r="E150" s="742"/>
      <c r="F150" s="665" t="s">
        <v>73</v>
      </c>
      <c r="G150" s="665" t="s">
        <v>73</v>
      </c>
      <c r="H150" s="650">
        <f>H18</f>
        <v>4099546</v>
      </c>
      <c r="I150" s="650">
        <f>I18</f>
        <v>0</v>
      </c>
      <c r="J150" s="650">
        <f>J18</f>
        <v>3464925</v>
      </c>
      <c r="K150" s="650">
        <f>K18</f>
        <v>634621</v>
      </c>
    </row>
    <row r="151" spans="1:11" ht="18" customHeight="1" x14ac:dyDescent="0.35">
      <c r="A151" s="742"/>
      <c r="B151" s="636"/>
      <c r="C151" s="742"/>
      <c r="D151" s="742"/>
      <c r="E151" s="742"/>
      <c r="F151" s="671"/>
      <c r="G151" s="671"/>
      <c r="H151" s="671"/>
      <c r="I151" s="671"/>
      <c r="J151" s="671"/>
      <c r="K151" s="671"/>
    </row>
    <row r="152" spans="1:11" ht="18" customHeight="1" x14ac:dyDescent="0.35">
      <c r="A152" s="639" t="s">
        <v>165</v>
      </c>
      <c r="B152" s="636" t="s">
        <v>26</v>
      </c>
      <c r="C152" s="742"/>
      <c r="D152" s="742"/>
      <c r="E152" s="742"/>
      <c r="F152" s="672">
        <f t="shared" ref="F152:K152" si="22">SUM(F141:F150)</f>
        <v>246321.5</v>
      </c>
      <c r="G152" s="672">
        <f t="shared" si="22"/>
        <v>98005</v>
      </c>
      <c r="H152" s="672">
        <f t="shared" si="22"/>
        <v>23670025</v>
      </c>
      <c r="I152" s="672">
        <f t="shared" si="22"/>
        <v>5579873</v>
      </c>
      <c r="J152" s="672">
        <f t="shared" si="22"/>
        <v>9432681</v>
      </c>
      <c r="K152" s="672">
        <f t="shared" si="22"/>
        <v>22633260</v>
      </c>
    </row>
    <row r="154" spans="1:11" ht="18" customHeight="1" x14ac:dyDescent="0.35">
      <c r="A154" s="639" t="s">
        <v>168</v>
      </c>
      <c r="B154" s="636" t="s">
        <v>28</v>
      </c>
      <c r="C154" s="742"/>
      <c r="D154" s="742"/>
      <c r="E154" s="742"/>
      <c r="F154" s="687">
        <f>K152/F121</f>
        <v>0.12103198601266417</v>
      </c>
      <c r="G154" s="742"/>
      <c r="H154" s="742"/>
      <c r="I154" s="742"/>
      <c r="J154" s="742"/>
      <c r="K154" s="742"/>
    </row>
    <row r="155" spans="1:11" ht="18" customHeight="1" x14ac:dyDescent="0.35">
      <c r="A155" s="639" t="s">
        <v>169</v>
      </c>
      <c r="B155" s="636" t="s">
        <v>72</v>
      </c>
      <c r="C155" s="742"/>
      <c r="D155" s="742"/>
      <c r="E155" s="742"/>
      <c r="F155" s="687">
        <f>K152/F127</f>
        <v>1.2005717993682072</v>
      </c>
      <c r="G155" s="636"/>
      <c r="H155" s="742"/>
      <c r="I155" s="742"/>
      <c r="J155" s="742"/>
      <c r="K155" s="742"/>
    </row>
    <row r="156" spans="1:11" ht="18" customHeight="1" x14ac:dyDescent="0.35">
      <c r="A156" s="442"/>
      <c r="B156" s="442"/>
      <c r="C156" s="442"/>
      <c r="D156" s="442"/>
      <c r="E156" s="442"/>
      <c r="F156" s="442"/>
      <c r="G156" s="443"/>
      <c r="H156" s="442"/>
      <c r="I156" s="442"/>
      <c r="J156" s="442"/>
      <c r="K156" s="442"/>
    </row>
    <row r="157" spans="1:11" ht="18" customHeight="1" x14ac:dyDescent="0.35">
      <c r="H157" s="108"/>
    </row>
  </sheetData>
  <sheetProtection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pageMargins left="0.7" right="0.7" top="0.75" bottom="0.75" header="0.3" footer="0.3"/>
  <pageSetup scale="1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156"/>
  <sheetViews>
    <sheetView showGridLines="0" zoomScale="70" zoomScaleNormal="70" zoomScaleSheetLayoutView="100" workbookViewId="0">
      <selection activeCell="A2" sqref="A2"/>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86" t="s">
        <v>634</v>
      </c>
      <c r="D5" s="1387"/>
      <c r="E5" s="1387"/>
      <c r="F5" s="1387"/>
      <c r="G5" s="1388"/>
      <c r="H5" s="742"/>
      <c r="I5" s="742"/>
      <c r="J5" s="742"/>
      <c r="K5" s="742"/>
    </row>
    <row r="6" spans="1:11" ht="18" customHeight="1" x14ac:dyDescent="0.3">
      <c r="A6" s="742"/>
      <c r="B6" s="733" t="s">
        <v>3</v>
      </c>
      <c r="C6" s="1365">
        <v>35</v>
      </c>
      <c r="D6" s="1366"/>
      <c r="E6" s="1366"/>
      <c r="F6" s="1366"/>
      <c r="G6" s="1367"/>
      <c r="H6" s="742"/>
      <c r="I6" s="742"/>
      <c r="J6" s="742"/>
      <c r="K6" s="742"/>
    </row>
    <row r="7" spans="1:11" ht="18" customHeight="1" x14ac:dyDescent="0.3">
      <c r="A7" s="742"/>
      <c r="B7" s="733" t="s">
        <v>4</v>
      </c>
      <c r="C7" s="1368">
        <v>886</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86" t="s">
        <v>635</v>
      </c>
      <c r="D9" s="1387"/>
      <c r="E9" s="1387"/>
      <c r="F9" s="1387"/>
      <c r="G9" s="1388"/>
      <c r="H9" s="742"/>
      <c r="I9" s="742"/>
      <c r="J9" s="742"/>
      <c r="K9" s="742"/>
    </row>
    <row r="10" spans="1:11" ht="18" customHeight="1" x14ac:dyDescent="0.3">
      <c r="A10" s="742"/>
      <c r="B10" s="733" t="s">
        <v>2</v>
      </c>
      <c r="C10" s="1389" t="s">
        <v>636</v>
      </c>
      <c r="D10" s="1390"/>
      <c r="E10" s="1390"/>
      <c r="F10" s="1390"/>
      <c r="G10" s="1391"/>
      <c r="H10" s="742"/>
      <c r="I10" s="742"/>
      <c r="J10" s="742"/>
      <c r="K10" s="742"/>
    </row>
    <row r="11" spans="1:11" ht="18" customHeight="1" x14ac:dyDescent="0.3">
      <c r="A11" s="742"/>
      <c r="B11" s="733" t="s">
        <v>32</v>
      </c>
      <c r="C11" s="1386" t="s">
        <v>637</v>
      </c>
      <c r="D11" s="1387"/>
      <c r="E11" s="1387"/>
      <c r="F11" s="1387"/>
      <c r="G11" s="1387"/>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4"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646" t="s">
        <v>73</v>
      </c>
      <c r="G18" s="646" t="s">
        <v>73</v>
      </c>
      <c r="H18" s="647">
        <v>3307116</v>
      </c>
      <c r="I18" s="673">
        <v>0</v>
      </c>
      <c r="J18" s="647">
        <v>2795166</v>
      </c>
      <c r="K18" s="648">
        <f>(H18+I18)-J18</f>
        <v>511950</v>
      </c>
    </row>
    <row r="19" spans="1:11" ht="45.4"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646">
        <v>3209</v>
      </c>
      <c r="G21" s="646">
        <v>156923</v>
      </c>
      <c r="H21" s="647">
        <v>211278</v>
      </c>
      <c r="I21" s="673">
        <v>64587</v>
      </c>
      <c r="J21" s="647">
        <v>423</v>
      </c>
      <c r="K21" s="648">
        <f t="shared" ref="K21:K34" si="0">(H21+I21)-J21</f>
        <v>275442</v>
      </c>
    </row>
    <row r="22" spans="1:11" ht="18" customHeight="1" x14ac:dyDescent="0.3">
      <c r="A22" s="733" t="s">
        <v>76</v>
      </c>
      <c r="B22" s="742" t="s">
        <v>6</v>
      </c>
      <c r="C22" s="742"/>
      <c r="D22" s="742"/>
      <c r="E22" s="742"/>
      <c r="F22" s="646"/>
      <c r="G22" s="646"/>
      <c r="H22" s="647"/>
      <c r="I22" s="673">
        <v>0</v>
      </c>
      <c r="J22" s="647"/>
      <c r="K22" s="648">
        <f t="shared" si="0"/>
        <v>0</v>
      </c>
    </row>
    <row r="23" spans="1:11" ht="18" customHeight="1" x14ac:dyDescent="0.3">
      <c r="A23" s="733" t="s">
        <v>77</v>
      </c>
      <c r="B23" s="742" t="s">
        <v>43</v>
      </c>
      <c r="C23" s="742"/>
      <c r="D23" s="742"/>
      <c r="E23" s="742"/>
      <c r="F23" s="646"/>
      <c r="G23" s="646"/>
      <c r="H23" s="647"/>
      <c r="I23" s="673">
        <v>0</v>
      </c>
      <c r="J23" s="647"/>
      <c r="K23" s="648">
        <f t="shared" si="0"/>
        <v>0</v>
      </c>
    </row>
    <row r="24" spans="1:11" ht="18" customHeight="1" x14ac:dyDescent="0.3">
      <c r="A24" s="733" t="s">
        <v>78</v>
      </c>
      <c r="B24" s="742" t="s">
        <v>44</v>
      </c>
      <c r="C24" s="742"/>
      <c r="D24" s="742"/>
      <c r="E24" s="742"/>
      <c r="F24" s="646">
        <v>0</v>
      </c>
      <c r="G24" s="675">
        <v>0</v>
      </c>
      <c r="H24" s="647">
        <v>0</v>
      </c>
      <c r="I24" s="673">
        <v>0</v>
      </c>
      <c r="J24" s="647"/>
      <c r="K24" s="648">
        <f t="shared" si="0"/>
        <v>0</v>
      </c>
    </row>
    <row r="25" spans="1:11" ht="18" customHeight="1" x14ac:dyDescent="0.3">
      <c r="A25" s="733" t="s">
        <v>79</v>
      </c>
      <c r="B25" s="742" t="s">
        <v>5</v>
      </c>
      <c r="C25" s="742"/>
      <c r="D25" s="742"/>
      <c r="E25" s="742"/>
      <c r="F25" s="646"/>
      <c r="G25" s="646"/>
      <c r="H25" s="647"/>
      <c r="I25" s="673">
        <v>0</v>
      </c>
      <c r="J25" s="647"/>
      <c r="K25" s="648">
        <f t="shared" si="0"/>
        <v>0</v>
      </c>
    </row>
    <row r="26" spans="1:11" ht="18" customHeight="1" x14ac:dyDescent="0.3">
      <c r="A26" s="733" t="s">
        <v>80</v>
      </c>
      <c r="B26" s="742" t="s">
        <v>45</v>
      </c>
      <c r="C26" s="742"/>
      <c r="D26" s="742"/>
      <c r="E26" s="742"/>
      <c r="F26" s="646"/>
      <c r="G26" s="646"/>
      <c r="H26" s="647"/>
      <c r="I26" s="673">
        <v>0</v>
      </c>
      <c r="J26" s="647"/>
      <c r="K26" s="648">
        <f t="shared" si="0"/>
        <v>0</v>
      </c>
    </row>
    <row r="27" spans="1:11" ht="18" customHeight="1" x14ac:dyDescent="0.3">
      <c r="A27" s="733" t="s">
        <v>81</v>
      </c>
      <c r="B27" s="742" t="s">
        <v>46</v>
      </c>
      <c r="C27" s="742"/>
      <c r="D27" s="742"/>
      <c r="E27" s="742"/>
      <c r="F27" s="646"/>
      <c r="G27" s="646"/>
      <c r="H27" s="647"/>
      <c r="I27" s="673">
        <v>0</v>
      </c>
      <c r="J27" s="647"/>
      <c r="K27" s="648">
        <f t="shared" si="0"/>
        <v>0</v>
      </c>
    </row>
    <row r="28" spans="1:11" ht="18" customHeight="1" x14ac:dyDescent="0.3">
      <c r="A28" s="733" t="s">
        <v>82</v>
      </c>
      <c r="B28" s="742" t="s">
        <v>47</v>
      </c>
      <c r="C28" s="742"/>
      <c r="D28" s="742"/>
      <c r="E28" s="742"/>
      <c r="F28" s="646"/>
      <c r="G28" s="646"/>
      <c r="H28" s="647"/>
      <c r="I28" s="673">
        <v>0</v>
      </c>
      <c r="J28" s="647"/>
      <c r="K28" s="648">
        <f t="shared" si="0"/>
        <v>0</v>
      </c>
    </row>
    <row r="29" spans="1:11" ht="18" customHeight="1" x14ac:dyDescent="0.3">
      <c r="A29" s="733" t="s">
        <v>83</v>
      </c>
      <c r="B29" s="742" t="s">
        <v>48</v>
      </c>
      <c r="C29" s="742"/>
      <c r="D29" s="742"/>
      <c r="E29" s="742"/>
      <c r="F29" s="646">
        <v>379</v>
      </c>
      <c r="G29" s="646">
        <v>364</v>
      </c>
      <c r="H29" s="647">
        <v>239439</v>
      </c>
      <c r="I29" s="673">
        <v>981</v>
      </c>
      <c r="J29" s="647">
        <v>63</v>
      </c>
      <c r="K29" s="648">
        <f t="shared" si="0"/>
        <v>240357</v>
      </c>
    </row>
    <row r="30" spans="1:11" ht="18" customHeight="1" x14ac:dyDescent="0.3">
      <c r="A30" s="733" t="s">
        <v>84</v>
      </c>
      <c r="B30" s="1351" t="s">
        <v>279</v>
      </c>
      <c r="C30" s="1352"/>
      <c r="D30" s="1353"/>
      <c r="E30" s="742"/>
      <c r="F30" s="646">
        <v>1034</v>
      </c>
      <c r="G30" s="646">
        <v>3344</v>
      </c>
      <c r="H30" s="647">
        <v>44408</v>
      </c>
      <c r="I30" s="673">
        <v>12120</v>
      </c>
      <c r="J30" s="647"/>
      <c r="K30" s="648">
        <f t="shared" si="0"/>
        <v>56528</v>
      </c>
    </row>
    <row r="31" spans="1:11" ht="18" customHeight="1" x14ac:dyDescent="0.3">
      <c r="A31" s="733" t="s">
        <v>133</v>
      </c>
      <c r="B31" s="1351"/>
      <c r="C31" s="1352"/>
      <c r="D31" s="1353"/>
      <c r="E31" s="742"/>
      <c r="F31" s="646"/>
      <c r="G31" s="646"/>
      <c r="H31" s="647"/>
      <c r="I31" s="673">
        <v>0</v>
      </c>
      <c r="J31" s="647"/>
      <c r="K31" s="648">
        <f t="shared" si="0"/>
        <v>0</v>
      </c>
    </row>
    <row r="32" spans="1:11" ht="18" customHeight="1" x14ac:dyDescent="0.3">
      <c r="A32" s="733" t="s">
        <v>134</v>
      </c>
      <c r="B32" s="909"/>
      <c r="C32" s="910"/>
      <c r="D32" s="911"/>
      <c r="E32" s="742"/>
      <c r="F32" s="646"/>
      <c r="G32" s="675"/>
      <c r="H32" s="647"/>
      <c r="I32" s="673">
        <v>0</v>
      </c>
      <c r="J32" s="647"/>
      <c r="K32" s="648">
        <f t="shared" si="0"/>
        <v>0</v>
      </c>
    </row>
    <row r="33" spans="1:11" ht="18" customHeight="1" x14ac:dyDescent="0.3">
      <c r="A33" s="733" t="s">
        <v>135</v>
      </c>
      <c r="B33" s="909"/>
      <c r="C33" s="910"/>
      <c r="D33" s="911"/>
      <c r="E33" s="742"/>
      <c r="F33" s="646"/>
      <c r="G33" s="675"/>
      <c r="H33" s="647"/>
      <c r="I33" s="673">
        <v>0</v>
      </c>
      <c r="J33" s="647"/>
      <c r="K33" s="648">
        <f t="shared" si="0"/>
        <v>0</v>
      </c>
    </row>
    <row r="34" spans="1:11" ht="18" customHeight="1" x14ac:dyDescent="0.3">
      <c r="A34" s="733" t="s">
        <v>136</v>
      </c>
      <c r="B34" s="1351"/>
      <c r="C34" s="1352"/>
      <c r="D34" s="1353"/>
      <c r="E34" s="742"/>
      <c r="F34" s="646"/>
      <c r="G34" s="675"/>
      <c r="H34" s="647"/>
      <c r="I34" s="673">
        <v>0</v>
      </c>
      <c r="J34" s="647"/>
      <c r="K34" s="648">
        <f t="shared" si="0"/>
        <v>0</v>
      </c>
    </row>
    <row r="35" spans="1:11" ht="18" customHeight="1" x14ac:dyDescent="0.25">
      <c r="A35" s="742"/>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1">SUM(F21:F34)</f>
        <v>4622</v>
      </c>
      <c r="G36" s="650">
        <f t="shared" si="1"/>
        <v>160631</v>
      </c>
      <c r="H36" s="650">
        <f t="shared" si="1"/>
        <v>495125</v>
      </c>
      <c r="I36" s="648">
        <f t="shared" si="1"/>
        <v>77688</v>
      </c>
      <c r="J36" s="648">
        <f t="shared" si="1"/>
        <v>486</v>
      </c>
      <c r="K36" s="648">
        <f t="shared" si="1"/>
        <v>572327</v>
      </c>
    </row>
    <row r="37" spans="1:11" ht="18" customHeight="1" thickBot="1" x14ac:dyDescent="0.35">
      <c r="A37" s="742"/>
      <c r="B37" s="636"/>
      <c r="C37" s="742"/>
      <c r="D37" s="742"/>
      <c r="E37" s="742"/>
      <c r="F37" s="651"/>
      <c r="G37" s="651"/>
      <c r="H37" s="652"/>
      <c r="I37" s="652"/>
      <c r="J37" s="652"/>
      <c r="K37" s="668"/>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646"/>
      <c r="G40" s="646"/>
      <c r="H40" s="647"/>
      <c r="I40" s="673">
        <v>0</v>
      </c>
      <c r="J40" s="647"/>
      <c r="K40" s="648">
        <f t="shared" ref="K40:K47" si="2">(H40+I40)-J40</f>
        <v>0</v>
      </c>
    </row>
    <row r="41" spans="1:11" ht="18" customHeight="1" x14ac:dyDescent="0.3">
      <c r="A41" s="733" t="s">
        <v>88</v>
      </c>
      <c r="B41" s="1359" t="s">
        <v>50</v>
      </c>
      <c r="C41" s="1359"/>
      <c r="D41" s="742"/>
      <c r="E41" s="742"/>
      <c r="F41" s="646">
        <v>3613</v>
      </c>
      <c r="G41" s="646">
        <v>126</v>
      </c>
      <c r="H41" s="647">
        <v>128257</v>
      </c>
      <c r="I41" s="673">
        <v>94653</v>
      </c>
      <c r="J41" s="647"/>
      <c r="K41" s="648">
        <f t="shared" si="2"/>
        <v>222910</v>
      </c>
    </row>
    <row r="42" spans="1:11" ht="18" customHeight="1" x14ac:dyDescent="0.3">
      <c r="A42" s="733" t="s">
        <v>89</v>
      </c>
      <c r="B42" s="635" t="s">
        <v>11</v>
      </c>
      <c r="C42" s="742"/>
      <c r="D42" s="742"/>
      <c r="E42" s="742"/>
      <c r="F42" s="646">
        <v>1550</v>
      </c>
      <c r="G42" s="646">
        <v>23</v>
      </c>
      <c r="H42" s="647">
        <v>48703</v>
      </c>
      <c r="I42" s="673">
        <v>35942</v>
      </c>
      <c r="J42" s="647"/>
      <c r="K42" s="648">
        <f t="shared" si="2"/>
        <v>84645</v>
      </c>
    </row>
    <row r="43" spans="1:11" ht="18" customHeight="1" x14ac:dyDescent="0.3">
      <c r="A43" s="733" t="s">
        <v>90</v>
      </c>
      <c r="B43" s="670" t="s">
        <v>10</v>
      </c>
      <c r="C43" s="642"/>
      <c r="D43" s="642"/>
      <c r="E43" s="742"/>
      <c r="F43" s="646"/>
      <c r="G43" s="675"/>
      <c r="H43" s="647"/>
      <c r="I43" s="673">
        <v>0</v>
      </c>
      <c r="J43" s="647"/>
      <c r="K43" s="648">
        <f t="shared" si="2"/>
        <v>0</v>
      </c>
    </row>
    <row r="44" spans="1:11" ht="18" customHeight="1" x14ac:dyDescent="0.3">
      <c r="A44" s="733" t="s">
        <v>91</v>
      </c>
      <c r="B44" s="1351" t="s">
        <v>279</v>
      </c>
      <c r="C44" s="1352"/>
      <c r="D44" s="1353"/>
      <c r="E44" s="742"/>
      <c r="F44" s="677">
        <v>21</v>
      </c>
      <c r="G44" s="677">
        <v>3</v>
      </c>
      <c r="H44" s="677">
        <v>602</v>
      </c>
      <c r="I44" s="678">
        <v>445</v>
      </c>
      <c r="J44" s="677"/>
      <c r="K44" s="679">
        <f t="shared" si="2"/>
        <v>1047</v>
      </c>
    </row>
    <row r="45" spans="1:11" ht="18" customHeight="1" x14ac:dyDescent="0.3">
      <c r="A45" s="733" t="s">
        <v>139</v>
      </c>
      <c r="B45" s="1351"/>
      <c r="C45" s="1352"/>
      <c r="D45" s="1353"/>
      <c r="E45" s="742"/>
      <c r="F45" s="646"/>
      <c r="G45" s="646"/>
      <c r="H45" s="647"/>
      <c r="I45" s="673">
        <v>0</v>
      </c>
      <c r="J45" s="647"/>
      <c r="K45" s="648">
        <f t="shared" si="2"/>
        <v>0</v>
      </c>
    </row>
    <row r="46" spans="1:11" ht="18" customHeight="1" x14ac:dyDescent="0.3">
      <c r="A46" s="733" t="s">
        <v>140</v>
      </c>
      <c r="B46" s="1351"/>
      <c r="C46" s="1352"/>
      <c r="D46" s="1353"/>
      <c r="E46" s="742"/>
      <c r="F46" s="646"/>
      <c r="G46" s="646"/>
      <c r="H46" s="647"/>
      <c r="I46" s="673">
        <v>0</v>
      </c>
      <c r="J46" s="647"/>
      <c r="K46" s="648">
        <f t="shared" si="2"/>
        <v>0</v>
      </c>
    </row>
    <row r="47" spans="1:11" ht="18" customHeight="1" x14ac:dyDescent="0.3">
      <c r="A47" s="733" t="s">
        <v>141</v>
      </c>
      <c r="B47" s="1351"/>
      <c r="C47" s="1352"/>
      <c r="D47" s="1353"/>
      <c r="E47" s="742"/>
      <c r="F47" s="646"/>
      <c r="G47" s="646"/>
      <c r="H47" s="647"/>
      <c r="I47" s="673">
        <v>0</v>
      </c>
      <c r="J47" s="647"/>
      <c r="K47" s="648">
        <f t="shared" si="2"/>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3">SUM(F40:F47)</f>
        <v>5184</v>
      </c>
      <c r="G49" s="654">
        <f t="shared" si="3"/>
        <v>152</v>
      </c>
      <c r="H49" s="648">
        <f t="shared" si="3"/>
        <v>177562</v>
      </c>
      <c r="I49" s="648">
        <f t="shared" si="3"/>
        <v>131040</v>
      </c>
      <c r="J49" s="648">
        <f t="shared" si="3"/>
        <v>0</v>
      </c>
      <c r="K49" s="648">
        <f t="shared" si="3"/>
        <v>308602</v>
      </c>
    </row>
    <row r="50" spans="1:11" ht="18" customHeight="1" thickBot="1" x14ac:dyDescent="0.3">
      <c r="A50" s="742"/>
      <c r="B50" s="742"/>
      <c r="C50" s="742"/>
      <c r="D50" s="742"/>
      <c r="E50" s="742"/>
      <c r="F50" s="742"/>
      <c r="G50" s="655"/>
      <c r="H50" s="655"/>
      <c r="I50" s="655"/>
      <c r="J50" s="655"/>
      <c r="K50" s="655"/>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421" t="s">
        <v>386</v>
      </c>
      <c r="C53" s="1422"/>
      <c r="D53" s="1423"/>
      <c r="E53" s="742"/>
      <c r="F53" s="646">
        <v>0</v>
      </c>
      <c r="G53" s="646">
        <v>0</v>
      </c>
      <c r="H53" s="647">
        <v>1361319</v>
      </c>
      <c r="I53" s="673">
        <v>0</v>
      </c>
      <c r="J53" s="647"/>
      <c r="K53" s="648">
        <f t="shared" ref="K53:K62" si="4">(H53+I53)-J53</f>
        <v>1361319</v>
      </c>
    </row>
    <row r="54" spans="1:11" ht="18" customHeight="1" x14ac:dyDescent="0.3">
      <c r="A54" s="733" t="s">
        <v>93</v>
      </c>
      <c r="B54" s="921" t="s">
        <v>279</v>
      </c>
      <c r="C54" s="922"/>
      <c r="D54" s="923"/>
      <c r="E54" s="742"/>
      <c r="F54" s="646">
        <v>151</v>
      </c>
      <c r="G54" s="646">
        <v>0</v>
      </c>
      <c r="H54" s="647">
        <v>5605194</v>
      </c>
      <c r="I54" s="673">
        <v>3507</v>
      </c>
      <c r="J54" s="647"/>
      <c r="K54" s="648">
        <f t="shared" si="4"/>
        <v>5608701</v>
      </c>
    </row>
    <row r="55" spans="1:11" ht="18" customHeight="1" x14ac:dyDescent="0.3">
      <c r="A55" s="733" t="s">
        <v>94</v>
      </c>
      <c r="B55" s="1421" t="s">
        <v>85</v>
      </c>
      <c r="C55" s="1422"/>
      <c r="D55" s="1423"/>
      <c r="E55" s="742"/>
      <c r="F55" s="646">
        <v>0</v>
      </c>
      <c r="G55" s="646">
        <v>0</v>
      </c>
      <c r="H55" s="647">
        <v>0</v>
      </c>
      <c r="I55" s="673">
        <v>0</v>
      </c>
      <c r="J55" s="647">
        <v>0</v>
      </c>
      <c r="K55" s="648">
        <f t="shared" si="4"/>
        <v>0</v>
      </c>
    </row>
    <row r="56" spans="1:11" ht="18" customHeight="1" x14ac:dyDescent="0.3">
      <c r="A56" s="733" t="s">
        <v>95</v>
      </c>
      <c r="B56" s="1455" t="s">
        <v>85</v>
      </c>
      <c r="C56" s="1456"/>
      <c r="D56" s="1457"/>
      <c r="E56" s="742"/>
      <c r="F56" s="646">
        <v>0</v>
      </c>
      <c r="G56" s="646">
        <v>0</v>
      </c>
      <c r="H56" s="647">
        <v>0</v>
      </c>
      <c r="I56" s="673">
        <v>0</v>
      </c>
      <c r="J56" s="647"/>
      <c r="K56" s="648">
        <f t="shared" si="4"/>
        <v>0</v>
      </c>
    </row>
    <row r="57" spans="1:11" ht="18" customHeight="1" x14ac:dyDescent="0.3">
      <c r="A57" s="733" t="s">
        <v>96</v>
      </c>
      <c r="B57" s="1354" t="s">
        <v>388</v>
      </c>
      <c r="C57" s="1355"/>
      <c r="D57" s="1356"/>
      <c r="E57" s="742"/>
      <c r="F57" s="646"/>
      <c r="G57" s="646"/>
      <c r="H57" s="647">
        <v>1068310</v>
      </c>
      <c r="I57" s="673">
        <v>0</v>
      </c>
      <c r="J57" s="647">
        <v>0</v>
      </c>
      <c r="K57" s="648">
        <f t="shared" si="4"/>
        <v>1068310</v>
      </c>
    </row>
    <row r="58" spans="1:11" ht="18" customHeight="1" x14ac:dyDescent="0.3">
      <c r="A58" s="733" t="s">
        <v>97</v>
      </c>
      <c r="B58" s="912"/>
      <c r="C58" s="913"/>
      <c r="D58" s="914"/>
      <c r="E58" s="742"/>
      <c r="F58" s="646"/>
      <c r="G58" s="646"/>
      <c r="H58" s="647"/>
      <c r="I58" s="673">
        <v>0</v>
      </c>
      <c r="J58" s="647"/>
      <c r="K58" s="648">
        <f t="shared" si="4"/>
        <v>0</v>
      </c>
    </row>
    <row r="59" spans="1:11" ht="18" customHeight="1" x14ac:dyDescent="0.3">
      <c r="A59" s="733" t="s">
        <v>98</v>
      </c>
      <c r="B59" s="1354" t="s">
        <v>395</v>
      </c>
      <c r="C59" s="1355"/>
      <c r="D59" s="1356"/>
      <c r="E59" s="742"/>
      <c r="F59" s="646"/>
      <c r="G59" s="646"/>
      <c r="H59" s="647">
        <v>0</v>
      </c>
      <c r="I59" s="673">
        <v>0</v>
      </c>
      <c r="J59" s="647"/>
      <c r="K59" s="648">
        <f t="shared" si="4"/>
        <v>0</v>
      </c>
    </row>
    <row r="60" spans="1:11" ht="18" customHeight="1" x14ac:dyDescent="0.3">
      <c r="A60" s="733" t="s">
        <v>99</v>
      </c>
      <c r="B60" s="912"/>
      <c r="C60" s="913"/>
      <c r="D60" s="914"/>
      <c r="E60" s="742"/>
      <c r="F60" s="646"/>
      <c r="G60" s="646"/>
      <c r="H60" s="647"/>
      <c r="I60" s="673">
        <v>0</v>
      </c>
      <c r="J60" s="647"/>
      <c r="K60" s="648">
        <f t="shared" si="4"/>
        <v>0</v>
      </c>
    </row>
    <row r="61" spans="1:11" ht="18" customHeight="1" x14ac:dyDescent="0.3">
      <c r="A61" s="733" t="s">
        <v>100</v>
      </c>
      <c r="B61" s="912"/>
      <c r="C61" s="913"/>
      <c r="D61" s="914"/>
      <c r="E61" s="742"/>
      <c r="F61" s="646"/>
      <c r="G61" s="646"/>
      <c r="H61" s="647"/>
      <c r="I61" s="673">
        <v>0</v>
      </c>
      <c r="J61" s="647"/>
      <c r="K61" s="648">
        <f t="shared" si="4"/>
        <v>0</v>
      </c>
    </row>
    <row r="62" spans="1:11" ht="18" customHeight="1" x14ac:dyDescent="0.3">
      <c r="A62" s="733" t="s">
        <v>101</v>
      </c>
      <c r="B62" s="1354"/>
      <c r="C62" s="1355"/>
      <c r="D62" s="1356"/>
      <c r="E62" s="742"/>
      <c r="F62" s="646"/>
      <c r="G62" s="646"/>
      <c r="H62" s="647"/>
      <c r="I62" s="673">
        <v>0</v>
      </c>
      <c r="J62" s="647"/>
      <c r="K62" s="648">
        <f t="shared" si="4"/>
        <v>0</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5">SUM(F53:F62)</f>
        <v>151</v>
      </c>
      <c r="G64" s="650">
        <f t="shared" si="5"/>
        <v>0</v>
      </c>
      <c r="H64" s="648">
        <f t="shared" si="5"/>
        <v>8034823</v>
      </c>
      <c r="I64" s="648">
        <f t="shared" si="5"/>
        <v>3507</v>
      </c>
      <c r="J64" s="648">
        <f t="shared" si="5"/>
        <v>0</v>
      </c>
      <c r="K64" s="648">
        <f t="shared" si="5"/>
        <v>8038330</v>
      </c>
    </row>
    <row r="65" spans="1:11" ht="18" customHeight="1" x14ac:dyDescent="0.25">
      <c r="A65" s="742"/>
      <c r="B65" s="742"/>
      <c r="C65" s="742"/>
      <c r="D65" s="742"/>
      <c r="E65" s="742"/>
      <c r="F65" s="671"/>
      <c r="G65" s="671"/>
      <c r="H65" s="671"/>
      <c r="I65" s="671"/>
      <c r="J65" s="671"/>
      <c r="K65" s="671"/>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674"/>
      <c r="G68" s="674"/>
      <c r="H68" s="674"/>
      <c r="I68" s="673">
        <v>0</v>
      </c>
      <c r="J68" s="674"/>
      <c r="K68" s="648">
        <f>(H68+I68)-J68</f>
        <v>0</v>
      </c>
    </row>
    <row r="69" spans="1:11" ht="18" customHeight="1" x14ac:dyDescent="0.3">
      <c r="A69" s="733" t="s">
        <v>104</v>
      </c>
      <c r="B69" s="635" t="s">
        <v>53</v>
      </c>
      <c r="C69" s="742"/>
      <c r="D69" s="742"/>
      <c r="E69" s="742"/>
      <c r="F69" s="674"/>
      <c r="G69" s="674"/>
      <c r="H69" s="674"/>
      <c r="I69" s="673">
        <v>0</v>
      </c>
      <c r="J69" s="674"/>
      <c r="K69" s="648">
        <f>(H69+I69)-J69</f>
        <v>0</v>
      </c>
    </row>
    <row r="70" spans="1:11" ht="18" customHeight="1" x14ac:dyDescent="0.3">
      <c r="A70" s="733" t="s">
        <v>178</v>
      </c>
      <c r="B70" s="912"/>
      <c r="C70" s="913"/>
      <c r="D70" s="914"/>
      <c r="E70" s="636"/>
      <c r="F70" s="658"/>
      <c r="G70" s="658"/>
      <c r="H70" s="659"/>
      <c r="I70" s="673">
        <v>0</v>
      </c>
      <c r="J70" s="659"/>
      <c r="K70" s="648">
        <f>(H70+I70)-J70</f>
        <v>0</v>
      </c>
    </row>
    <row r="71" spans="1:11" ht="18" customHeight="1" x14ac:dyDescent="0.3">
      <c r="A71" s="733" t="s">
        <v>179</v>
      </c>
      <c r="B71" s="912"/>
      <c r="C71" s="913"/>
      <c r="D71" s="914"/>
      <c r="E71" s="636"/>
      <c r="F71" s="658"/>
      <c r="G71" s="658"/>
      <c r="H71" s="659"/>
      <c r="I71" s="673">
        <v>0</v>
      </c>
      <c r="J71" s="659"/>
      <c r="K71" s="648">
        <f>(H71+I71)-J71</f>
        <v>0</v>
      </c>
    </row>
    <row r="72" spans="1:11" ht="18" customHeight="1" x14ac:dyDescent="0.3">
      <c r="A72" s="733" t="s">
        <v>180</v>
      </c>
      <c r="B72" s="930"/>
      <c r="C72" s="929"/>
      <c r="D72" s="657"/>
      <c r="E72" s="636"/>
      <c r="F72" s="646"/>
      <c r="G72" s="646"/>
      <c r="H72" s="647"/>
      <c r="I72" s="673">
        <v>0</v>
      </c>
      <c r="J72" s="647"/>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6">SUM(F68:F72)</f>
        <v>0</v>
      </c>
      <c r="G74" s="653">
        <f t="shared" si="6"/>
        <v>0</v>
      </c>
      <c r="H74" s="653">
        <f t="shared" si="6"/>
        <v>0</v>
      </c>
      <c r="I74" s="676">
        <f t="shared" si="6"/>
        <v>0</v>
      </c>
      <c r="J74" s="653">
        <f t="shared" si="6"/>
        <v>0</v>
      </c>
      <c r="K74" s="649">
        <f t="shared" si="6"/>
        <v>0</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646">
        <v>0</v>
      </c>
      <c r="G77" s="646">
        <v>400</v>
      </c>
      <c r="H77" s="647">
        <v>26500</v>
      </c>
      <c r="I77" s="673">
        <v>0</v>
      </c>
      <c r="J77" s="647"/>
      <c r="K77" s="648">
        <f>(H77+I77)-J77</f>
        <v>26500</v>
      </c>
    </row>
    <row r="78" spans="1:11" ht="18" customHeight="1" x14ac:dyDescent="0.3">
      <c r="A78" s="733" t="s">
        <v>108</v>
      </c>
      <c r="B78" s="635" t="s">
        <v>55</v>
      </c>
      <c r="C78" s="742"/>
      <c r="D78" s="742"/>
      <c r="E78" s="742"/>
      <c r="F78" s="646"/>
      <c r="G78" s="646"/>
      <c r="H78" s="647"/>
      <c r="I78" s="673">
        <v>0</v>
      </c>
      <c r="J78" s="647"/>
      <c r="K78" s="648">
        <f>(H78+I78)-J78</f>
        <v>0</v>
      </c>
    </row>
    <row r="79" spans="1:11" ht="18" customHeight="1" x14ac:dyDescent="0.3">
      <c r="A79" s="733" t="s">
        <v>109</v>
      </c>
      <c r="B79" s="635" t="s">
        <v>13</v>
      </c>
      <c r="C79" s="742"/>
      <c r="D79" s="742"/>
      <c r="E79" s="742"/>
      <c r="F79" s="646">
        <v>271</v>
      </c>
      <c r="G79" s="646">
        <v>360</v>
      </c>
      <c r="H79" s="647">
        <v>20230</v>
      </c>
      <c r="I79" s="673">
        <v>4731</v>
      </c>
      <c r="J79" s="647"/>
      <c r="K79" s="648">
        <f>(H79+I79)-J79</f>
        <v>24961</v>
      </c>
    </row>
    <row r="80" spans="1:11" ht="18" customHeight="1" x14ac:dyDescent="0.3">
      <c r="A80" s="733" t="s">
        <v>110</v>
      </c>
      <c r="B80" s="635" t="s">
        <v>56</v>
      </c>
      <c r="C80" s="742"/>
      <c r="D80" s="742"/>
      <c r="E80" s="742"/>
      <c r="F80" s="646"/>
      <c r="G80" s="646"/>
      <c r="H80" s="647"/>
      <c r="I80" s="673">
        <v>0</v>
      </c>
      <c r="J80" s="647"/>
      <c r="K80" s="648">
        <f>(H80+I80)-J80</f>
        <v>0</v>
      </c>
    </row>
    <row r="81" spans="1:11" ht="18" customHeight="1" x14ac:dyDescent="0.3">
      <c r="A81" s="733"/>
      <c r="B81" s="742"/>
      <c r="C81" s="742"/>
      <c r="D81" s="742"/>
      <c r="E81" s="742"/>
      <c r="F81" s="742"/>
      <c r="G81" s="742"/>
      <c r="H81" s="742"/>
      <c r="I81" s="742"/>
      <c r="J81" s="742"/>
      <c r="K81" s="663"/>
    </row>
    <row r="82" spans="1:11" ht="18" customHeight="1" x14ac:dyDescent="0.3">
      <c r="A82" s="733" t="s">
        <v>148</v>
      </c>
      <c r="B82" s="636" t="s">
        <v>149</v>
      </c>
      <c r="C82" s="742"/>
      <c r="D82" s="742"/>
      <c r="E82" s="636" t="s">
        <v>7</v>
      </c>
      <c r="F82" s="653">
        <f t="shared" ref="F82:K82" si="7">SUM(F77:F80)</f>
        <v>271</v>
      </c>
      <c r="G82" s="653">
        <f t="shared" si="7"/>
        <v>760</v>
      </c>
      <c r="H82" s="649">
        <f t="shared" si="7"/>
        <v>46730</v>
      </c>
      <c r="I82" s="649">
        <f t="shared" si="7"/>
        <v>4731</v>
      </c>
      <c r="J82" s="649">
        <f t="shared" si="7"/>
        <v>0</v>
      </c>
      <c r="K82" s="649">
        <f t="shared" si="7"/>
        <v>51461</v>
      </c>
    </row>
    <row r="83" spans="1:11" ht="18" customHeight="1" thickBot="1" x14ac:dyDescent="0.35">
      <c r="A83" s="733"/>
      <c r="B83" s="742"/>
      <c r="C83" s="742"/>
      <c r="D83" s="742"/>
      <c r="E83" s="742"/>
      <c r="F83" s="655"/>
      <c r="G83" s="655"/>
      <c r="H83" s="655"/>
      <c r="I83" s="655"/>
      <c r="J83" s="655"/>
      <c r="K83" s="655"/>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646"/>
      <c r="G86" s="646"/>
      <c r="H86" s="647"/>
      <c r="I86" s="673">
        <v>0</v>
      </c>
      <c r="J86" s="647"/>
      <c r="K86" s="648">
        <f t="shared" ref="K86:K96" si="8">(H86+I86)-J86</f>
        <v>0</v>
      </c>
    </row>
    <row r="87" spans="1:11" ht="18" customHeight="1" x14ac:dyDescent="0.3">
      <c r="A87" s="733" t="s">
        <v>114</v>
      </c>
      <c r="B87" s="635" t="s">
        <v>14</v>
      </c>
      <c r="C87" s="742"/>
      <c r="D87" s="742"/>
      <c r="E87" s="742"/>
      <c r="F87" s="646">
        <v>14</v>
      </c>
      <c r="G87" s="646">
        <v>0</v>
      </c>
      <c r="H87" s="647">
        <v>1613</v>
      </c>
      <c r="I87" s="673">
        <v>0</v>
      </c>
      <c r="J87" s="647"/>
      <c r="K87" s="648">
        <f t="shared" si="8"/>
        <v>1613</v>
      </c>
    </row>
    <row r="88" spans="1:11" ht="18" customHeight="1" x14ac:dyDescent="0.3">
      <c r="A88" s="733" t="s">
        <v>115</v>
      </c>
      <c r="B88" s="635" t="s">
        <v>116</v>
      </c>
      <c r="C88" s="742"/>
      <c r="D88" s="742"/>
      <c r="E88" s="742"/>
      <c r="F88" s="646">
        <v>577</v>
      </c>
      <c r="G88" s="646">
        <v>0</v>
      </c>
      <c r="H88" s="647">
        <v>69183</v>
      </c>
      <c r="I88" s="673">
        <v>55096</v>
      </c>
      <c r="J88" s="647">
        <v>30000</v>
      </c>
      <c r="K88" s="648">
        <f t="shared" si="8"/>
        <v>94279</v>
      </c>
    </row>
    <row r="89" spans="1:11" ht="18" customHeight="1" x14ac:dyDescent="0.3">
      <c r="A89" s="733" t="s">
        <v>117</v>
      </c>
      <c r="B89" s="635" t="s">
        <v>58</v>
      </c>
      <c r="C89" s="742"/>
      <c r="D89" s="742"/>
      <c r="E89" s="742"/>
      <c r="F89" s="646"/>
      <c r="G89" s="646"/>
      <c r="H89" s="647"/>
      <c r="I89" s="673">
        <v>0</v>
      </c>
      <c r="J89" s="647"/>
      <c r="K89" s="648">
        <f t="shared" si="8"/>
        <v>0</v>
      </c>
    </row>
    <row r="90" spans="1:11" ht="18" customHeight="1" x14ac:dyDescent="0.3">
      <c r="A90" s="733" t="s">
        <v>118</v>
      </c>
      <c r="B90" s="1359" t="s">
        <v>59</v>
      </c>
      <c r="C90" s="1359"/>
      <c r="D90" s="742"/>
      <c r="E90" s="742"/>
      <c r="F90" s="646"/>
      <c r="G90" s="646"/>
      <c r="H90" s="647"/>
      <c r="I90" s="673">
        <v>0</v>
      </c>
      <c r="J90" s="647"/>
      <c r="K90" s="648">
        <f t="shared" si="8"/>
        <v>0</v>
      </c>
    </row>
    <row r="91" spans="1:11" ht="18" customHeight="1" x14ac:dyDescent="0.3">
      <c r="A91" s="733" t="s">
        <v>119</v>
      </c>
      <c r="B91" s="635" t="s">
        <v>60</v>
      </c>
      <c r="C91" s="742"/>
      <c r="D91" s="742"/>
      <c r="E91" s="742"/>
      <c r="F91" s="646">
        <v>10</v>
      </c>
      <c r="G91" s="646">
        <v>0</v>
      </c>
      <c r="H91" s="647">
        <v>1151</v>
      </c>
      <c r="I91" s="673">
        <v>850</v>
      </c>
      <c r="J91" s="647"/>
      <c r="K91" s="648">
        <f t="shared" si="8"/>
        <v>2001</v>
      </c>
    </row>
    <row r="92" spans="1:11" ht="18" customHeight="1" x14ac:dyDescent="0.3">
      <c r="A92" s="733" t="s">
        <v>120</v>
      </c>
      <c r="B92" s="635" t="s">
        <v>121</v>
      </c>
      <c r="C92" s="742"/>
      <c r="D92" s="742"/>
      <c r="E92" s="742"/>
      <c r="F92" s="661">
        <v>0</v>
      </c>
      <c r="G92" s="661">
        <v>0</v>
      </c>
      <c r="H92" s="662">
        <v>0</v>
      </c>
      <c r="I92" s="673">
        <v>0</v>
      </c>
      <c r="J92" s="662"/>
      <c r="K92" s="648">
        <f t="shared" si="8"/>
        <v>0</v>
      </c>
    </row>
    <row r="93" spans="1:11" ht="18" customHeight="1" x14ac:dyDescent="0.3">
      <c r="A93" s="733" t="s">
        <v>122</v>
      </c>
      <c r="B93" s="635" t="s">
        <v>123</v>
      </c>
      <c r="C93" s="742"/>
      <c r="D93" s="742"/>
      <c r="E93" s="742"/>
      <c r="F93" s="646">
        <v>1064</v>
      </c>
      <c r="G93" s="646">
        <v>0</v>
      </c>
      <c r="H93" s="647">
        <v>194829</v>
      </c>
      <c r="I93" s="673">
        <v>1126</v>
      </c>
      <c r="J93" s="647"/>
      <c r="K93" s="648">
        <f t="shared" si="8"/>
        <v>195955</v>
      </c>
    </row>
    <row r="94" spans="1:11" ht="18" customHeight="1" x14ac:dyDescent="0.3">
      <c r="A94" s="733" t="s">
        <v>124</v>
      </c>
      <c r="B94" s="1354"/>
      <c r="C94" s="1355"/>
      <c r="D94" s="1356"/>
      <c r="E94" s="742"/>
      <c r="F94" s="646"/>
      <c r="G94" s="646"/>
      <c r="H94" s="647"/>
      <c r="I94" s="673">
        <f t="shared" ref="I94:I96" si="9">H94*F$114</f>
        <v>0</v>
      </c>
      <c r="J94" s="647"/>
      <c r="K94" s="648">
        <f t="shared" si="8"/>
        <v>0</v>
      </c>
    </row>
    <row r="95" spans="1:11" ht="18" customHeight="1" x14ac:dyDescent="0.3">
      <c r="A95" s="733" t="s">
        <v>125</v>
      </c>
      <c r="B95" s="1354"/>
      <c r="C95" s="1355"/>
      <c r="D95" s="1356"/>
      <c r="E95" s="742"/>
      <c r="F95" s="646"/>
      <c r="G95" s="646"/>
      <c r="H95" s="647"/>
      <c r="I95" s="673">
        <f t="shared" si="9"/>
        <v>0</v>
      </c>
      <c r="J95" s="647"/>
      <c r="K95" s="648">
        <f t="shared" si="8"/>
        <v>0</v>
      </c>
    </row>
    <row r="96" spans="1:11" ht="18" customHeight="1" x14ac:dyDescent="0.3">
      <c r="A96" s="733" t="s">
        <v>126</v>
      </c>
      <c r="B96" s="1354"/>
      <c r="C96" s="1355"/>
      <c r="D96" s="1356"/>
      <c r="E96" s="742"/>
      <c r="F96" s="646"/>
      <c r="G96" s="646"/>
      <c r="H96" s="647"/>
      <c r="I96" s="673">
        <f t="shared" si="9"/>
        <v>0</v>
      </c>
      <c r="J96" s="647"/>
      <c r="K96" s="648">
        <f t="shared" si="8"/>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0">SUM(F86:F96)</f>
        <v>1665</v>
      </c>
      <c r="G98" s="650">
        <f t="shared" si="10"/>
        <v>0</v>
      </c>
      <c r="H98" s="650">
        <f t="shared" si="10"/>
        <v>266776</v>
      </c>
      <c r="I98" s="650">
        <f t="shared" si="10"/>
        <v>57072</v>
      </c>
      <c r="J98" s="650">
        <f t="shared" si="10"/>
        <v>30000</v>
      </c>
      <c r="K98" s="650">
        <f t="shared" si="10"/>
        <v>293848</v>
      </c>
    </row>
    <row r="99" spans="1:11" ht="18" customHeight="1" thickBot="1" x14ac:dyDescent="0.35">
      <c r="A99" s="742"/>
      <c r="B99" s="636"/>
      <c r="C99" s="742"/>
      <c r="D99" s="742"/>
      <c r="E99" s="742"/>
      <c r="F99" s="655"/>
      <c r="G99" s="655"/>
      <c r="H99" s="655"/>
      <c r="I99" s="655"/>
      <c r="J99" s="655"/>
      <c r="K99" s="655"/>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646">
        <v>1040</v>
      </c>
      <c r="G102" s="646">
        <v>0</v>
      </c>
      <c r="H102" s="647">
        <v>65815</v>
      </c>
      <c r="I102" s="673">
        <v>0</v>
      </c>
      <c r="J102" s="647"/>
      <c r="K102" s="648">
        <f>(H102+I102)-J102</f>
        <v>65815</v>
      </c>
    </row>
    <row r="103" spans="1:11" ht="18" customHeight="1" x14ac:dyDescent="0.3">
      <c r="A103" s="733" t="s">
        <v>132</v>
      </c>
      <c r="B103" s="1357" t="s">
        <v>62</v>
      </c>
      <c r="C103" s="1357"/>
      <c r="D103" s="742"/>
      <c r="E103" s="742"/>
      <c r="F103" s="646">
        <v>0</v>
      </c>
      <c r="G103" s="646">
        <v>0</v>
      </c>
      <c r="H103" s="647">
        <v>0</v>
      </c>
      <c r="I103" s="673">
        <v>0</v>
      </c>
      <c r="J103" s="647"/>
      <c r="K103" s="648">
        <f>(H103+I103)-J103</f>
        <v>0</v>
      </c>
    </row>
    <row r="104" spans="1:11" ht="18" customHeight="1" x14ac:dyDescent="0.3">
      <c r="A104" s="733" t="s">
        <v>128</v>
      </c>
      <c r="B104" s="1455" t="s">
        <v>389</v>
      </c>
      <c r="C104" s="1456"/>
      <c r="D104" s="1457"/>
      <c r="E104" s="742"/>
      <c r="F104" s="646">
        <v>38</v>
      </c>
      <c r="G104" s="646">
        <v>0</v>
      </c>
      <c r="H104" s="647">
        <v>1929</v>
      </c>
      <c r="I104" s="673">
        <v>803</v>
      </c>
      <c r="J104" s="647"/>
      <c r="K104" s="648">
        <f>(H104+I104)-J104</f>
        <v>2732</v>
      </c>
    </row>
    <row r="105" spans="1:11" ht="18" customHeight="1" x14ac:dyDescent="0.3">
      <c r="A105" s="733" t="s">
        <v>127</v>
      </c>
      <c r="B105" s="1354"/>
      <c r="C105" s="1355"/>
      <c r="D105" s="1356"/>
      <c r="E105" s="742"/>
      <c r="F105" s="646"/>
      <c r="G105" s="646"/>
      <c r="H105" s="647"/>
      <c r="I105" s="673">
        <f>H105*F$114</f>
        <v>0</v>
      </c>
      <c r="J105" s="647"/>
      <c r="K105" s="648">
        <f>(H105+I105)-J105</f>
        <v>0</v>
      </c>
    </row>
    <row r="106" spans="1:11" ht="18" customHeight="1" x14ac:dyDescent="0.3">
      <c r="A106" s="733" t="s">
        <v>129</v>
      </c>
      <c r="B106" s="1354"/>
      <c r="C106" s="1355"/>
      <c r="D106" s="1356"/>
      <c r="E106" s="742"/>
      <c r="F106" s="646"/>
      <c r="G106" s="646"/>
      <c r="H106" s="647"/>
      <c r="I106" s="673">
        <f>H106*F$114</f>
        <v>0</v>
      </c>
      <c r="J106" s="647"/>
      <c r="K106" s="648">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1">SUM(F102:F106)</f>
        <v>1078</v>
      </c>
      <c r="G108" s="650">
        <f t="shared" si="11"/>
        <v>0</v>
      </c>
      <c r="H108" s="648">
        <f t="shared" si="11"/>
        <v>67744</v>
      </c>
      <c r="I108" s="648">
        <f t="shared" si="11"/>
        <v>803</v>
      </c>
      <c r="J108" s="648">
        <f t="shared" si="11"/>
        <v>0</v>
      </c>
      <c r="K108" s="648">
        <f t="shared" si="11"/>
        <v>68547</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1474409</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656">
        <v>0.72729999999999995</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647">
        <v>129861516</v>
      </c>
      <c r="G117" s="740"/>
      <c r="H117" s="740"/>
      <c r="I117" s="740"/>
      <c r="J117" s="740"/>
      <c r="K117" s="740"/>
    </row>
    <row r="118" spans="1:11" ht="18" customHeight="1" x14ac:dyDescent="0.3">
      <c r="A118" s="733" t="s">
        <v>173</v>
      </c>
      <c r="B118" s="742" t="s">
        <v>18</v>
      </c>
      <c r="C118" s="742"/>
      <c r="D118" s="742"/>
      <c r="E118" s="742"/>
      <c r="F118" s="647">
        <v>506667</v>
      </c>
      <c r="G118" s="740"/>
      <c r="H118" s="740"/>
      <c r="I118" s="740"/>
      <c r="J118" s="740"/>
      <c r="K118" s="740"/>
    </row>
    <row r="119" spans="1:11" ht="18" customHeight="1" x14ac:dyDescent="0.3">
      <c r="A119" s="733" t="s">
        <v>174</v>
      </c>
      <c r="B119" s="636" t="s">
        <v>19</v>
      </c>
      <c r="C119" s="742"/>
      <c r="D119" s="742"/>
      <c r="E119" s="742"/>
      <c r="F119" s="649">
        <f>SUM(F117:F118)</f>
        <v>130368183</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647">
        <v>117918178</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647">
        <v>12450005</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647">
        <v>3920116</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647">
        <v>16370121</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646"/>
      <c r="G131" s="646"/>
      <c r="H131" s="647"/>
      <c r="I131" s="673">
        <v>0</v>
      </c>
      <c r="J131" s="647"/>
      <c r="K131" s="648">
        <f>(H131+I131)-J131</f>
        <v>0</v>
      </c>
    </row>
    <row r="132" spans="1:11" ht="18" customHeight="1" x14ac:dyDescent="0.3">
      <c r="A132" s="733" t="s">
        <v>159</v>
      </c>
      <c r="B132" s="742" t="s">
        <v>25</v>
      </c>
      <c r="C132" s="742"/>
      <c r="D132" s="742"/>
      <c r="E132" s="742"/>
      <c r="F132" s="646"/>
      <c r="G132" s="646"/>
      <c r="H132" s="647"/>
      <c r="I132" s="673">
        <v>0</v>
      </c>
      <c r="J132" s="647"/>
      <c r="K132" s="648">
        <f>(H132+I132)-J132</f>
        <v>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2">SUM(F131:F135)</f>
        <v>0</v>
      </c>
      <c r="G137" s="650">
        <f t="shared" si="12"/>
        <v>0</v>
      </c>
      <c r="H137" s="648">
        <f t="shared" si="12"/>
        <v>0</v>
      </c>
      <c r="I137" s="648">
        <f t="shared" si="12"/>
        <v>0</v>
      </c>
      <c r="J137" s="648">
        <f t="shared" si="12"/>
        <v>0</v>
      </c>
      <c r="K137" s="648">
        <f t="shared" si="12"/>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664">
        <f t="shared" ref="F141:K141" si="13">F36</f>
        <v>4622</v>
      </c>
      <c r="G141" s="664">
        <f t="shared" si="13"/>
        <v>160631</v>
      </c>
      <c r="H141" s="664">
        <f t="shared" si="13"/>
        <v>495125</v>
      </c>
      <c r="I141" s="664">
        <f t="shared" si="13"/>
        <v>77688</v>
      </c>
      <c r="J141" s="664">
        <f t="shared" si="13"/>
        <v>486</v>
      </c>
      <c r="K141" s="664">
        <f t="shared" si="13"/>
        <v>572327</v>
      </c>
    </row>
    <row r="142" spans="1:11" ht="18" customHeight="1" x14ac:dyDescent="0.3">
      <c r="A142" s="733" t="s">
        <v>142</v>
      </c>
      <c r="B142" s="636" t="s">
        <v>65</v>
      </c>
      <c r="C142" s="742"/>
      <c r="D142" s="742"/>
      <c r="E142" s="742"/>
      <c r="F142" s="664">
        <f t="shared" ref="F142:K142" si="14">F49</f>
        <v>5184</v>
      </c>
      <c r="G142" s="664">
        <f t="shared" si="14"/>
        <v>152</v>
      </c>
      <c r="H142" s="664">
        <f t="shared" si="14"/>
        <v>177562</v>
      </c>
      <c r="I142" s="664">
        <f t="shared" si="14"/>
        <v>131040</v>
      </c>
      <c r="J142" s="664">
        <f t="shared" si="14"/>
        <v>0</v>
      </c>
      <c r="K142" s="664">
        <f t="shared" si="14"/>
        <v>308602</v>
      </c>
    </row>
    <row r="143" spans="1:11" ht="18" customHeight="1" x14ac:dyDescent="0.3">
      <c r="A143" s="733" t="s">
        <v>144</v>
      </c>
      <c r="B143" s="636" t="s">
        <v>66</v>
      </c>
      <c r="C143" s="742"/>
      <c r="D143" s="742"/>
      <c r="E143" s="742"/>
      <c r="F143" s="664">
        <f t="shared" ref="F143:K143" si="15">F64</f>
        <v>151</v>
      </c>
      <c r="G143" s="664">
        <f t="shared" si="15"/>
        <v>0</v>
      </c>
      <c r="H143" s="664">
        <f t="shared" si="15"/>
        <v>8034823</v>
      </c>
      <c r="I143" s="664">
        <f t="shared" si="15"/>
        <v>3507</v>
      </c>
      <c r="J143" s="664">
        <f t="shared" si="15"/>
        <v>0</v>
      </c>
      <c r="K143" s="664">
        <f t="shared" si="15"/>
        <v>8038330</v>
      </c>
    </row>
    <row r="144" spans="1:11" ht="18" customHeight="1" x14ac:dyDescent="0.3">
      <c r="A144" s="733" t="s">
        <v>146</v>
      </c>
      <c r="B144" s="636" t="s">
        <v>67</v>
      </c>
      <c r="C144" s="742"/>
      <c r="D144" s="742"/>
      <c r="E144" s="742"/>
      <c r="F144" s="664">
        <f t="shared" ref="F144:K144" si="16">F74</f>
        <v>0</v>
      </c>
      <c r="G144" s="664">
        <f t="shared" si="16"/>
        <v>0</v>
      </c>
      <c r="H144" s="664">
        <f t="shared" si="16"/>
        <v>0</v>
      </c>
      <c r="I144" s="664">
        <f t="shared" si="16"/>
        <v>0</v>
      </c>
      <c r="J144" s="664">
        <f t="shared" si="16"/>
        <v>0</v>
      </c>
      <c r="K144" s="664">
        <f t="shared" si="16"/>
        <v>0</v>
      </c>
    </row>
    <row r="145" spans="1:11" ht="18" customHeight="1" x14ac:dyDescent="0.3">
      <c r="A145" s="733" t="s">
        <v>148</v>
      </c>
      <c r="B145" s="636" t="s">
        <v>68</v>
      </c>
      <c r="C145" s="742"/>
      <c r="D145" s="742"/>
      <c r="E145" s="742"/>
      <c r="F145" s="664">
        <f t="shared" ref="F145:K145" si="17">F82</f>
        <v>271</v>
      </c>
      <c r="G145" s="664">
        <f t="shared" si="17"/>
        <v>760</v>
      </c>
      <c r="H145" s="664">
        <f t="shared" si="17"/>
        <v>46730</v>
      </c>
      <c r="I145" s="664">
        <f t="shared" si="17"/>
        <v>4731</v>
      </c>
      <c r="J145" s="664">
        <f t="shared" si="17"/>
        <v>0</v>
      </c>
      <c r="K145" s="664">
        <f t="shared" si="17"/>
        <v>51461</v>
      </c>
    </row>
    <row r="146" spans="1:11" ht="18" customHeight="1" x14ac:dyDescent="0.3">
      <c r="A146" s="733" t="s">
        <v>150</v>
      </c>
      <c r="B146" s="636" t="s">
        <v>69</v>
      </c>
      <c r="C146" s="742"/>
      <c r="D146" s="742"/>
      <c r="E146" s="742"/>
      <c r="F146" s="664">
        <f t="shared" ref="F146:K146" si="18">F98</f>
        <v>1665</v>
      </c>
      <c r="G146" s="664">
        <f t="shared" si="18"/>
        <v>0</v>
      </c>
      <c r="H146" s="664">
        <f t="shared" si="18"/>
        <v>266776</v>
      </c>
      <c r="I146" s="664">
        <f t="shared" si="18"/>
        <v>57072</v>
      </c>
      <c r="J146" s="664">
        <f t="shared" si="18"/>
        <v>30000</v>
      </c>
      <c r="K146" s="664">
        <f t="shared" si="18"/>
        <v>293848</v>
      </c>
    </row>
    <row r="147" spans="1:11" ht="18" customHeight="1" x14ac:dyDescent="0.3">
      <c r="A147" s="733" t="s">
        <v>153</v>
      </c>
      <c r="B147" s="636" t="s">
        <v>61</v>
      </c>
      <c r="C147" s="742"/>
      <c r="D147" s="742"/>
      <c r="E147" s="742"/>
      <c r="F147" s="650">
        <f t="shared" ref="F147:K147" si="19">F108</f>
        <v>1078</v>
      </c>
      <c r="G147" s="650">
        <f t="shared" si="19"/>
        <v>0</v>
      </c>
      <c r="H147" s="650">
        <f t="shared" si="19"/>
        <v>67744</v>
      </c>
      <c r="I147" s="650">
        <f t="shared" si="19"/>
        <v>803</v>
      </c>
      <c r="J147" s="650">
        <f t="shared" si="19"/>
        <v>0</v>
      </c>
      <c r="K147" s="650">
        <f t="shared" si="19"/>
        <v>68547</v>
      </c>
    </row>
    <row r="148" spans="1:11" ht="18" customHeight="1" x14ac:dyDescent="0.3">
      <c r="A148" s="733" t="s">
        <v>155</v>
      </c>
      <c r="B148" s="636" t="s">
        <v>70</v>
      </c>
      <c r="C148" s="742"/>
      <c r="D148" s="742"/>
      <c r="E148" s="742"/>
      <c r="F148" s="665" t="s">
        <v>73</v>
      </c>
      <c r="G148" s="665" t="s">
        <v>73</v>
      </c>
      <c r="H148" s="666" t="s">
        <v>73</v>
      </c>
      <c r="I148" s="666" t="s">
        <v>73</v>
      </c>
      <c r="J148" s="666" t="s">
        <v>73</v>
      </c>
      <c r="K148" s="660">
        <f>F111</f>
        <v>1474409</v>
      </c>
    </row>
    <row r="149" spans="1:11" ht="18" customHeight="1" x14ac:dyDescent="0.3">
      <c r="A149" s="733" t="s">
        <v>163</v>
      </c>
      <c r="B149" s="636" t="s">
        <v>71</v>
      </c>
      <c r="C149" s="742"/>
      <c r="D149" s="742"/>
      <c r="E149" s="742"/>
      <c r="F149" s="650">
        <f t="shared" ref="F149:K149" si="20">F137</f>
        <v>0</v>
      </c>
      <c r="G149" s="650">
        <f t="shared" si="20"/>
        <v>0</v>
      </c>
      <c r="H149" s="650">
        <f t="shared" si="20"/>
        <v>0</v>
      </c>
      <c r="I149" s="650">
        <f t="shared" si="20"/>
        <v>0</v>
      </c>
      <c r="J149" s="650">
        <f t="shared" si="20"/>
        <v>0</v>
      </c>
      <c r="K149" s="650">
        <f t="shared" si="20"/>
        <v>0</v>
      </c>
    </row>
    <row r="150" spans="1:11" ht="18" customHeight="1" x14ac:dyDescent="0.3">
      <c r="A150" s="733" t="s">
        <v>185</v>
      </c>
      <c r="B150" s="636" t="s">
        <v>186</v>
      </c>
      <c r="C150" s="742"/>
      <c r="D150" s="742"/>
      <c r="E150" s="742"/>
      <c r="F150" s="665" t="s">
        <v>73</v>
      </c>
      <c r="G150" s="665" t="s">
        <v>73</v>
      </c>
      <c r="H150" s="650">
        <f>H18</f>
        <v>3307116</v>
      </c>
      <c r="I150" s="650">
        <f>I18</f>
        <v>0</v>
      </c>
      <c r="J150" s="650">
        <f>J18</f>
        <v>2795166</v>
      </c>
      <c r="K150" s="650">
        <f>K18</f>
        <v>511950</v>
      </c>
    </row>
    <row r="151" spans="1:11" ht="18" customHeight="1" x14ac:dyDescent="0.3">
      <c r="A151" s="742"/>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1">SUM(F141:F150)</f>
        <v>12971</v>
      </c>
      <c r="G152" s="672">
        <f t="shared" si="21"/>
        <v>161543</v>
      </c>
      <c r="H152" s="672">
        <f t="shared" si="21"/>
        <v>12395876</v>
      </c>
      <c r="I152" s="672">
        <f t="shared" si="21"/>
        <v>274841</v>
      </c>
      <c r="J152" s="672">
        <f t="shared" si="21"/>
        <v>2825652</v>
      </c>
      <c r="K152" s="672">
        <f t="shared" si="21"/>
        <v>11319474</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9.599430886728931E-2</v>
      </c>
      <c r="G154" s="742"/>
      <c r="H154" s="742"/>
      <c r="I154" s="742"/>
      <c r="J154" s="742"/>
      <c r="K154" s="742"/>
    </row>
    <row r="155" spans="1:11" ht="18" customHeight="1" x14ac:dyDescent="0.3">
      <c r="A155" s="639" t="s">
        <v>169</v>
      </c>
      <c r="B155" s="636" t="s">
        <v>72</v>
      </c>
      <c r="C155" s="742"/>
      <c r="D155" s="742"/>
      <c r="E155" s="742"/>
      <c r="F155" s="687">
        <f>K152/F127</f>
        <v>0.69147161465697171</v>
      </c>
      <c r="G155" s="636"/>
      <c r="H155" s="742"/>
      <c r="I155" s="742"/>
      <c r="J155" s="742"/>
      <c r="K155" s="742"/>
    </row>
    <row r="156" spans="1:11" ht="18" customHeight="1" x14ac:dyDescent="0.3">
      <c r="A156" s="444"/>
      <c r="B156" s="444"/>
      <c r="C156" s="444"/>
      <c r="D156" s="444"/>
      <c r="E156" s="444"/>
      <c r="F156" s="444"/>
      <c r="G156" s="445"/>
      <c r="H156" s="444"/>
      <c r="I156" s="444"/>
      <c r="J156" s="444"/>
      <c r="K156" s="444"/>
    </row>
  </sheetData>
  <sheetProtection sheet="1" objects="1" scenarios="1"/>
  <mergeCells count="34">
    <mergeCell ref="B62:D62"/>
    <mergeCell ref="B31:D31"/>
    <mergeCell ref="B103:C103"/>
    <mergeCell ref="B96:D96"/>
    <mergeCell ref="B95:D95"/>
    <mergeCell ref="B57:D57"/>
    <mergeCell ref="B94:D94"/>
    <mergeCell ref="B52:C52"/>
    <mergeCell ref="B90:C90"/>
    <mergeCell ref="B56:D56"/>
    <mergeCell ref="B59:D59"/>
    <mergeCell ref="B53:D53"/>
    <mergeCell ref="B55:D55"/>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25" right="0.25" top="1.25" bottom="0.75" header="0.3" footer="0.3"/>
  <pageSetup scale="59" fitToHeight="3" orientation="landscape" horizontalDpi="4294967294" r:id="rId1"/>
  <headerFooter alignWithMargins="0">
    <oddHeader>&amp;R&amp;"Arial,Bold Italic"&amp;16FINAL DRAFT</oddHeader>
  </headerFooter>
  <rowBreaks count="4" manualBreakCount="4">
    <brk id="37" max="16383" man="1"/>
    <brk id="74" max="16383" man="1"/>
    <brk id="109" max="16383" man="1"/>
    <brk id="1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M165"/>
  <sheetViews>
    <sheetView zoomScale="75" zoomScaleNormal="75" workbookViewId="0">
      <selection activeCell="A2" sqref="A2"/>
    </sheetView>
  </sheetViews>
  <sheetFormatPr defaultRowHeight="18" customHeight="1" x14ac:dyDescent="0.25"/>
  <cols>
    <col min="1" max="1" width="8.26953125" style="2" customWidth="1"/>
    <col min="2" max="2" width="55.453125" bestFit="1" customWidth="1"/>
    <col min="3" max="4" width="4.7265625" customWidth="1"/>
    <col min="5" max="5" width="12.453125" customWidth="1"/>
    <col min="6" max="6" width="18.54296875" customWidth="1"/>
    <col min="7" max="7" width="23.54296875" customWidth="1"/>
    <col min="8" max="8" width="17.26953125" style="121" customWidth="1"/>
    <col min="9" max="9" width="21.26953125" style="121" customWidth="1"/>
    <col min="10" max="10" width="19.7265625" style="121" customWidth="1"/>
    <col min="11" max="11" width="17.54296875" customWidth="1"/>
    <col min="12" max="12" width="14" bestFit="1" customWidth="1"/>
    <col min="13" max="13" width="12.26953125" bestFit="1" customWidth="1"/>
  </cols>
  <sheetData>
    <row r="1" spans="1:11" ht="18" customHeight="1" x14ac:dyDescent="0.3">
      <c r="A1" s="740"/>
      <c r="B1" s="740"/>
      <c r="C1" s="401"/>
      <c r="D1" s="931"/>
      <c r="E1" s="401"/>
      <c r="F1" s="401"/>
      <c r="G1" s="401"/>
      <c r="H1" s="1184"/>
      <c r="I1" s="1184"/>
      <c r="J1" s="1184"/>
      <c r="K1" s="401"/>
    </row>
    <row r="2" spans="1:11" ht="18" customHeight="1" x14ac:dyDescent="0.35">
      <c r="A2" s="740"/>
      <c r="B2" s="740"/>
      <c r="C2" s="740"/>
      <c r="D2" s="447" t="s">
        <v>730</v>
      </c>
      <c r="E2" s="447"/>
      <c r="F2" s="447"/>
      <c r="G2" s="447"/>
      <c r="H2" s="447"/>
      <c r="I2" s="1150"/>
      <c r="J2" s="1150"/>
      <c r="K2" s="740"/>
    </row>
    <row r="3" spans="1:11" ht="18" customHeight="1" x14ac:dyDescent="0.3">
      <c r="A3" s="740"/>
      <c r="B3" s="690" t="s">
        <v>0</v>
      </c>
      <c r="C3" s="740"/>
      <c r="D3" s="740"/>
      <c r="E3" s="740"/>
      <c r="F3" s="740"/>
      <c r="G3" s="740"/>
      <c r="H3" s="1150"/>
      <c r="I3" s="1150"/>
      <c r="J3" s="1150"/>
      <c r="K3" s="740"/>
    </row>
    <row r="4" spans="1:11" ht="18" customHeight="1" x14ac:dyDescent="0.25">
      <c r="A4" s="633"/>
      <c r="B4" s="742"/>
      <c r="C4" s="742"/>
      <c r="D4" s="742"/>
      <c r="E4" s="742"/>
      <c r="F4" s="742"/>
      <c r="G4" s="742"/>
      <c r="K4" s="742"/>
    </row>
    <row r="5" spans="1:11" ht="18" customHeight="1" x14ac:dyDescent="0.3">
      <c r="A5" s="740"/>
      <c r="B5" s="741" t="s">
        <v>40</v>
      </c>
      <c r="C5" s="1446" t="s">
        <v>427</v>
      </c>
      <c r="D5" s="1447"/>
      <c r="E5" s="1447"/>
      <c r="F5" s="1447"/>
      <c r="G5" s="1448"/>
      <c r="H5" s="1150"/>
      <c r="I5" s="1150"/>
      <c r="J5" s="1150"/>
      <c r="K5" s="740"/>
    </row>
    <row r="6" spans="1:11" ht="18" customHeight="1" x14ac:dyDescent="0.3">
      <c r="A6" s="740"/>
      <c r="B6" s="741" t="s">
        <v>3</v>
      </c>
      <c r="C6" s="1558">
        <v>210037</v>
      </c>
      <c r="D6" s="1559"/>
      <c r="E6" s="1559"/>
      <c r="F6" s="1559"/>
      <c r="G6" s="1560"/>
      <c r="H6" s="1150"/>
      <c r="I6" s="1150"/>
      <c r="J6" s="1150"/>
      <c r="K6" s="740"/>
    </row>
    <row r="7" spans="1:11" ht="18" customHeight="1" x14ac:dyDescent="0.3">
      <c r="A7" s="740"/>
      <c r="B7" s="741" t="s">
        <v>4</v>
      </c>
      <c r="C7" s="1443">
        <v>1135.4522999999999</v>
      </c>
      <c r="D7" s="1444"/>
      <c r="E7" s="1444"/>
      <c r="F7" s="1444"/>
      <c r="G7" s="1445"/>
      <c r="H7" s="1150"/>
      <c r="I7" s="1150"/>
      <c r="J7" s="1150"/>
      <c r="K7" s="740"/>
    </row>
    <row r="8" spans="1:11" ht="18" customHeight="1" x14ac:dyDescent="0.25">
      <c r="A8" s="633"/>
      <c r="B8" s="742"/>
      <c r="C8" s="742"/>
      <c r="D8" s="742"/>
      <c r="E8" s="742"/>
      <c r="F8" s="742"/>
      <c r="G8" s="742"/>
      <c r="K8" s="742"/>
    </row>
    <row r="9" spans="1:11" ht="18" customHeight="1" x14ac:dyDescent="0.3">
      <c r="A9" s="740"/>
      <c r="B9" s="741" t="s">
        <v>1</v>
      </c>
      <c r="C9" s="1446" t="s">
        <v>732</v>
      </c>
      <c r="D9" s="1447"/>
      <c r="E9" s="1447"/>
      <c r="F9" s="1447"/>
      <c r="G9" s="1448"/>
      <c r="H9" s="1150"/>
      <c r="I9" s="1150"/>
      <c r="J9" s="1150"/>
      <c r="K9" s="740"/>
    </row>
    <row r="10" spans="1:11" ht="18" customHeight="1" x14ac:dyDescent="0.3">
      <c r="A10" s="740"/>
      <c r="B10" s="741" t="s">
        <v>2</v>
      </c>
      <c r="C10" s="1426" t="s">
        <v>428</v>
      </c>
      <c r="D10" s="1427"/>
      <c r="E10" s="1427"/>
      <c r="F10" s="1427"/>
      <c r="G10" s="1428"/>
      <c r="H10" s="1150"/>
      <c r="I10" s="1150"/>
      <c r="J10" s="1150"/>
      <c r="K10" s="740"/>
    </row>
    <row r="11" spans="1:11" ht="18" customHeight="1" x14ac:dyDescent="0.3">
      <c r="A11" s="740"/>
      <c r="B11" s="741" t="s">
        <v>32</v>
      </c>
      <c r="C11" s="1430" t="s">
        <v>789</v>
      </c>
      <c r="D11" s="1431"/>
      <c r="E11" s="1431"/>
      <c r="F11" s="1431"/>
      <c r="G11" s="1431"/>
      <c r="H11" s="1150"/>
      <c r="I11" s="1150"/>
      <c r="J11" s="1150"/>
      <c r="K11" s="740"/>
    </row>
    <row r="12" spans="1:11" ht="18" customHeight="1" x14ac:dyDescent="0.3">
      <c r="A12" s="740"/>
      <c r="B12" s="741"/>
      <c r="C12" s="741"/>
      <c r="D12" s="741"/>
      <c r="E12" s="741"/>
      <c r="F12" s="741"/>
      <c r="G12" s="741"/>
      <c r="H12" s="1150"/>
      <c r="I12" s="1150"/>
      <c r="J12" s="1150"/>
      <c r="K12" s="740"/>
    </row>
    <row r="13" spans="1:11" ht="24.65" customHeight="1" x14ac:dyDescent="0.25">
      <c r="A13" s="740"/>
      <c r="B13" s="1417"/>
      <c r="C13" s="1417"/>
      <c r="D13" s="1417"/>
      <c r="E13" s="1417"/>
      <c r="F13" s="1417"/>
      <c r="G13" s="1417"/>
      <c r="H13" s="1417"/>
      <c r="I13" s="1184"/>
      <c r="J13" s="1150"/>
      <c r="K13" s="740"/>
    </row>
    <row r="14" spans="1:11" ht="18" customHeight="1" x14ac:dyDescent="0.3">
      <c r="A14" s="740"/>
      <c r="B14" s="692"/>
      <c r="C14" s="740"/>
      <c r="D14" s="740"/>
      <c r="E14" s="740"/>
      <c r="F14" s="740"/>
      <c r="G14" s="740"/>
      <c r="H14" s="1150"/>
      <c r="I14" s="1150"/>
      <c r="J14" s="1150"/>
      <c r="K14" s="740"/>
    </row>
    <row r="15" spans="1:11" ht="18" customHeight="1" x14ac:dyDescent="0.3">
      <c r="A15" s="740"/>
      <c r="B15" s="692"/>
      <c r="C15" s="740"/>
      <c r="D15" s="740"/>
      <c r="E15" s="740"/>
      <c r="F15" s="740"/>
      <c r="G15" s="740"/>
      <c r="H15" s="1150"/>
      <c r="I15" s="1150"/>
      <c r="J15" s="1150"/>
      <c r="K15" s="740"/>
    </row>
    <row r="16" spans="1:11" ht="45.4" customHeight="1" x14ac:dyDescent="0.3">
      <c r="A16" s="931" t="s">
        <v>181</v>
      </c>
      <c r="B16" s="401"/>
      <c r="C16" s="401"/>
      <c r="D16" s="401"/>
      <c r="E16" s="401"/>
      <c r="F16" s="693" t="s">
        <v>9</v>
      </c>
      <c r="G16" s="693" t="s">
        <v>37</v>
      </c>
      <c r="H16" s="448" t="s">
        <v>29</v>
      </c>
      <c r="I16" s="448" t="s">
        <v>30</v>
      </c>
      <c r="J16" s="448" t="s">
        <v>33</v>
      </c>
      <c r="K16" s="693" t="s">
        <v>34</v>
      </c>
    </row>
    <row r="17" spans="1:12" ht="18" customHeight="1" x14ac:dyDescent="0.3">
      <c r="A17" s="691" t="s">
        <v>184</v>
      </c>
      <c r="B17" s="690" t="s">
        <v>182</v>
      </c>
      <c r="C17" s="740"/>
      <c r="D17" s="740"/>
      <c r="E17" s="740"/>
      <c r="F17" s="740"/>
      <c r="G17" s="740"/>
      <c r="H17" s="1150"/>
      <c r="I17" s="1150"/>
      <c r="J17" s="1150"/>
      <c r="K17" s="740"/>
    </row>
    <row r="18" spans="1:12" ht="18" customHeight="1" x14ac:dyDescent="0.3">
      <c r="A18" s="741" t="s">
        <v>185</v>
      </c>
      <c r="B18" s="689" t="s">
        <v>183</v>
      </c>
      <c r="C18" s="740"/>
      <c r="D18" s="740"/>
      <c r="E18" s="740"/>
      <c r="F18" s="698" t="s">
        <v>73</v>
      </c>
      <c r="G18" s="698" t="s">
        <v>73</v>
      </c>
      <c r="H18" s="449">
        <v>4491062</v>
      </c>
      <c r="I18" s="450">
        <v>0</v>
      </c>
      <c r="J18" s="449">
        <v>3795833</v>
      </c>
      <c r="K18" s="700">
        <f>(H18+I18)-J18</f>
        <v>695229</v>
      </c>
      <c r="L18" s="1143"/>
    </row>
    <row r="19" spans="1:12" ht="45.4" customHeight="1" x14ac:dyDescent="0.3">
      <c r="A19" s="931" t="s">
        <v>8</v>
      </c>
      <c r="B19" s="401"/>
      <c r="C19" s="401"/>
      <c r="D19" s="401"/>
      <c r="E19" s="401"/>
      <c r="F19" s="693" t="s">
        <v>9</v>
      </c>
      <c r="G19" s="693" t="s">
        <v>37</v>
      </c>
      <c r="H19" s="448" t="s">
        <v>29</v>
      </c>
      <c r="I19" s="448" t="s">
        <v>30</v>
      </c>
      <c r="J19" s="448" t="s">
        <v>33</v>
      </c>
      <c r="K19" s="693" t="s">
        <v>34</v>
      </c>
    </row>
    <row r="20" spans="1:12" ht="18" customHeight="1" x14ac:dyDescent="0.3">
      <c r="A20" s="691" t="s">
        <v>74</v>
      </c>
      <c r="B20" s="690" t="s">
        <v>41</v>
      </c>
      <c r="C20" s="740"/>
      <c r="D20" s="740"/>
      <c r="E20" s="740"/>
      <c r="F20" s="740"/>
      <c r="G20" s="740"/>
      <c r="H20" s="1150"/>
      <c r="I20" s="1150"/>
      <c r="J20" s="1150"/>
      <c r="K20" s="740"/>
    </row>
    <row r="21" spans="1:12" ht="18" customHeight="1" x14ac:dyDescent="0.3">
      <c r="A21" s="741" t="s">
        <v>75</v>
      </c>
      <c r="B21" s="689" t="s">
        <v>42</v>
      </c>
      <c r="C21" s="740"/>
      <c r="D21" s="740"/>
      <c r="E21" s="740"/>
      <c r="F21" s="698">
        <v>964</v>
      </c>
      <c r="G21" s="698">
        <v>3802</v>
      </c>
      <c r="H21" s="698">
        <v>101453.73430768561</v>
      </c>
      <c r="I21" s="698">
        <v>32073.691932128408</v>
      </c>
      <c r="J21" s="698">
        <v>1050</v>
      </c>
      <c r="K21" s="700">
        <f>(H21+I21)-J21</f>
        <v>132477.42623981403</v>
      </c>
    </row>
    <row r="22" spans="1:12" ht="18" customHeight="1" x14ac:dyDescent="0.3">
      <c r="A22" s="741" t="s">
        <v>76</v>
      </c>
      <c r="B22" s="740" t="s">
        <v>6</v>
      </c>
      <c r="C22" s="740"/>
      <c r="D22" s="740"/>
      <c r="E22" s="740"/>
      <c r="F22" s="698">
        <v>631</v>
      </c>
      <c r="G22" s="698">
        <v>1733</v>
      </c>
      <c r="H22" s="698">
        <v>21874.680267367941</v>
      </c>
      <c r="I22" s="698">
        <v>11868.675938446839</v>
      </c>
      <c r="J22" s="698">
        <v>0</v>
      </c>
      <c r="K22" s="700">
        <f t="shared" ref="K22:K29" si="0">(H22+I22)-J22</f>
        <v>33743.35620581478</v>
      </c>
    </row>
    <row r="23" spans="1:12" ht="18" customHeight="1" x14ac:dyDescent="0.3">
      <c r="A23" s="741" t="s">
        <v>77</v>
      </c>
      <c r="B23" s="740" t="s">
        <v>43</v>
      </c>
      <c r="C23" s="740"/>
      <c r="D23" s="740"/>
      <c r="E23" s="740"/>
      <c r="F23" s="698">
        <v>118</v>
      </c>
      <c r="G23" s="698">
        <v>128</v>
      </c>
      <c r="H23" s="698">
        <v>5033.7319980494231</v>
      </c>
      <c r="I23" s="698">
        <v>2731.1820385765009</v>
      </c>
      <c r="J23" s="698">
        <v>460</v>
      </c>
      <c r="K23" s="700">
        <f t="shared" si="0"/>
        <v>7304.9140366259235</v>
      </c>
    </row>
    <row r="24" spans="1:12" ht="18" customHeight="1" x14ac:dyDescent="0.3">
      <c r="A24" s="741" t="s">
        <v>78</v>
      </c>
      <c r="B24" s="740" t="s">
        <v>44</v>
      </c>
      <c r="C24" s="740"/>
      <c r="D24" s="740"/>
      <c r="E24" s="740"/>
      <c r="F24" s="698"/>
      <c r="G24" s="698"/>
      <c r="H24" s="698"/>
      <c r="I24" s="698"/>
      <c r="J24" s="698"/>
      <c r="K24" s="700">
        <f t="shared" si="0"/>
        <v>0</v>
      </c>
    </row>
    <row r="25" spans="1:12" ht="18" customHeight="1" x14ac:dyDescent="0.3">
      <c r="A25" s="741" t="s">
        <v>79</v>
      </c>
      <c r="B25" s="740" t="s">
        <v>5</v>
      </c>
      <c r="C25" s="740"/>
      <c r="D25" s="740"/>
      <c r="E25" s="740"/>
      <c r="F25" s="698">
        <v>2789</v>
      </c>
      <c r="G25" s="698">
        <v>772</v>
      </c>
      <c r="H25" s="698">
        <v>117710.93784662909</v>
      </c>
      <c r="I25" s="698">
        <v>63867.12667962577</v>
      </c>
      <c r="J25" s="698">
        <v>0</v>
      </c>
      <c r="K25" s="700">
        <f t="shared" si="0"/>
        <v>181578.06452625486</v>
      </c>
    </row>
    <row r="26" spans="1:12" ht="18" customHeight="1" x14ac:dyDescent="0.3">
      <c r="A26" s="741" t="s">
        <v>80</v>
      </c>
      <c r="B26" s="740" t="s">
        <v>45</v>
      </c>
      <c r="C26" s="740"/>
      <c r="D26" s="740"/>
      <c r="E26" s="740"/>
      <c r="F26" s="698"/>
      <c r="G26" s="698"/>
      <c r="H26" s="698"/>
      <c r="I26" s="698"/>
      <c r="J26" s="698"/>
      <c r="K26" s="700">
        <f t="shared" si="0"/>
        <v>0</v>
      </c>
    </row>
    <row r="27" spans="1:12" ht="18" customHeight="1" x14ac:dyDescent="0.3">
      <c r="A27" s="741" t="s">
        <v>81</v>
      </c>
      <c r="B27" s="740" t="s">
        <v>46</v>
      </c>
      <c r="C27" s="740"/>
      <c r="D27" s="740"/>
      <c r="E27" s="740"/>
      <c r="F27" s="698"/>
      <c r="G27" s="698"/>
      <c r="H27" s="698"/>
      <c r="I27" s="698"/>
      <c r="J27" s="698"/>
      <c r="K27" s="700">
        <f t="shared" si="0"/>
        <v>0</v>
      </c>
    </row>
    <row r="28" spans="1:12" ht="18" customHeight="1" x14ac:dyDescent="0.3">
      <c r="A28" s="741" t="s">
        <v>82</v>
      </c>
      <c r="B28" s="740" t="s">
        <v>47</v>
      </c>
      <c r="C28" s="740"/>
      <c r="D28" s="740"/>
      <c r="E28" s="740"/>
      <c r="F28" s="698"/>
      <c r="G28" s="698"/>
      <c r="H28" s="698"/>
      <c r="I28" s="698"/>
      <c r="J28" s="698"/>
      <c r="K28" s="700">
        <f t="shared" si="0"/>
        <v>0</v>
      </c>
    </row>
    <row r="29" spans="1:12" ht="18" customHeight="1" x14ac:dyDescent="0.3">
      <c r="A29" s="741" t="s">
        <v>83</v>
      </c>
      <c r="B29" s="740" t="s">
        <v>48</v>
      </c>
      <c r="C29" s="740"/>
      <c r="D29" s="740"/>
      <c r="E29" s="740"/>
      <c r="F29" s="698">
        <v>838</v>
      </c>
      <c r="G29" s="698">
        <v>720</v>
      </c>
      <c r="H29" s="698">
        <v>55538.02893530015</v>
      </c>
      <c r="I29" s="698">
        <v>30133.600109185718</v>
      </c>
      <c r="J29" s="698">
        <v>0</v>
      </c>
      <c r="K29" s="700">
        <f t="shared" si="0"/>
        <v>85671.629044485861</v>
      </c>
    </row>
    <row r="30" spans="1:12" ht="18" customHeight="1" x14ac:dyDescent="0.3">
      <c r="A30" s="741" t="s">
        <v>84</v>
      </c>
      <c r="B30" s="1449" t="s">
        <v>429</v>
      </c>
      <c r="C30" s="1450"/>
      <c r="D30" s="1451"/>
      <c r="E30" s="740"/>
      <c r="F30" s="698"/>
      <c r="G30" s="698"/>
      <c r="H30" s="698"/>
      <c r="I30" s="698"/>
      <c r="J30" s="698"/>
      <c r="K30" s="700">
        <v>0</v>
      </c>
    </row>
    <row r="31" spans="1:12" s="742" customFormat="1" ht="18" customHeight="1" x14ac:dyDescent="0.3">
      <c r="A31" s="741"/>
      <c r="B31" s="1226"/>
      <c r="C31" s="1226"/>
      <c r="D31" s="1226"/>
      <c r="E31" s="740"/>
      <c r="F31" s="1227"/>
      <c r="G31" s="1227"/>
      <c r="H31" s="1227"/>
      <c r="I31" s="1227"/>
      <c r="J31" s="1227"/>
      <c r="K31" s="700"/>
    </row>
    <row r="32" spans="1:12" s="742" customFormat="1" ht="18" customHeight="1" x14ac:dyDescent="0.3">
      <c r="A32" s="741"/>
      <c r="B32" s="1226"/>
      <c r="C32" s="1226"/>
      <c r="D32" s="1226"/>
      <c r="E32" s="740"/>
      <c r="F32" s="1227"/>
      <c r="G32" s="1227"/>
      <c r="H32" s="1227"/>
      <c r="I32" s="1227"/>
      <c r="J32" s="1227"/>
      <c r="K32" s="700"/>
    </row>
    <row r="33" spans="1:11" s="742" customFormat="1" ht="18" customHeight="1" x14ac:dyDescent="0.3">
      <c r="A33" s="741"/>
      <c r="B33" s="1226"/>
      <c r="C33" s="1226"/>
      <c r="D33" s="1226"/>
      <c r="E33" s="740"/>
      <c r="F33" s="1227"/>
      <c r="G33" s="1227"/>
      <c r="H33" s="1227"/>
      <c r="I33" s="1227"/>
      <c r="J33" s="1227"/>
      <c r="K33" s="700"/>
    </row>
    <row r="34" spans="1:11" s="742" customFormat="1" ht="18" customHeight="1" x14ac:dyDescent="0.3">
      <c r="A34" s="741"/>
      <c r="B34" s="1226"/>
      <c r="C34" s="1226"/>
      <c r="D34" s="1226"/>
      <c r="E34" s="740"/>
      <c r="F34" s="1227"/>
      <c r="G34" s="1227"/>
      <c r="H34" s="1227"/>
      <c r="I34" s="1227"/>
      <c r="J34" s="1227"/>
      <c r="K34" s="700"/>
    </row>
    <row r="35" spans="1:11" ht="18" customHeight="1" x14ac:dyDescent="0.25">
      <c r="A35" s="740"/>
      <c r="B35" s="740"/>
      <c r="C35" s="740"/>
      <c r="D35" s="740"/>
      <c r="E35" s="740"/>
      <c r="F35" s="740"/>
      <c r="G35" s="740"/>
      <c r="H35" s="1150"/>
      <c r="I35" s="1150"/>
      <c r="J35" s="1150"/>
      <c r="K35" s="714"/>
    </row>
    <row r="36" spans="1:11" ht="18" customHeight="1" x14ac:dyDescent="0.3">
      <c r="A36" s="691" t="s">
        <v>137</v>
      </c>
      <c r="B36" s="690" t="s">
        <v>138</v>
      </c>
      <c r="C36" s="740"/>
      <c r="D36" s="740"/>
      <c r="E36" s="690" t="s">
        <v>7</v>
      </c>
      <c r="F36" s="702">
        <f>SUM(F21:F34)</f>
        <v>5340</v>
      </c>
      <c r="G36" s="702">
        <f t="shared" ref="G36:K36" si="1">SUM(G21:G34)</f>
        <v>7155</v>
      </c>
      <c r="H36" s="702">
        <f t="shared" si="1"/>
        <v>301611.11335503223</v>
      </c>
      <c r="I36" s="702">
        <f t="shared" si="1"/>
        <v>140674.27669796324</v>
      </c>
      <c r="J36" s="702">
        <f t="shared" si="1"/>
        <v>1510</v>
      </c>
      <c r="K36" s="702">
        <f t="shared" si="1"/>
        <v>440775.39005299541</v>
      </c>
    </row>
    <row r="37" spans="1:11" ht="18" customHeight="1" thickBot="1" x14ac:dyDescent="0.35">
      <c r="A37" s="740"/>
      <c r="B37" s="690"/>
      <c r="C37" s="740"/>
      <c r="D37" s="740"/>
      <c r="E37" s="740"/>
      <c r="F37" s="453"/>
      <c r="G37" s="453"/>
      <c r="H37" s="454"/>
      <c r="I37" s="454"/>
      <c r="J37" s="454"/>
      <c r="K37" s="455"/>
    </row>
    <row r="38" spans="1:11" ht="42.75" customHeight="1" x14ac:dyDescent="0.3">
      <c r="A38" s="740"/>
      <c r="B38" s="740"/>
      <c r="C38" s="740"/>
      <c r="D38" s="740"/>
      <c r="E38" s="740"/>
      <c r="F38" s="693" t="s">
        <v>9</v>
      </c>
      <c r="G38" s="693" t="s">
        <v>37</v>
      </c>
      <c r="H38" s="448" t="s">
        <v>29</v>
      </c>
      <c r="I38" s="448" t="s">
        <v>30</v>
      </c>
      <c r="J38" s="448" t="s">
        <v>33</v>
      </c>
      <c r="K38" s="693" t="s">
        <v>34</v>
      </c>
    </row>
    <row r="39" spans="1:11" ht="18.75" customHeight="1" x14ac:dyDescent="0.3">
      <c r="A39" s="691" t="s">
        <v>86</v>
      </c>
      <c r="B39" s="690" t="s">
        <v>49</v>
      </c>
      <c r="C39" s="740"/>
      <c r="D39" s="740"/>
      <c r="E39" s="740"/>
      <c r="F39" s="740"/>
      <c r="G39" s="740"/>
      <c r="H39" s="1150"/>
      <c r="I39" s="1150"/>
      <c r="J39" s="1150"/>
      <c r="K39" s="740"/>
    </row>
    <row r="40" spans="1:11" ht="18" customHeight="1" x14ac:dyDescent="0.3">
      <c r="A40" s="741" t="s">
        <v>87</v>
      </c>
      <c r="B40" s="740" t="s">
        <v>31</v>
      </c>
      <c r="C40" s="740"/>
      <c r="D40" s="740"/>
      <c r="E40" s="740"/>
      <c r="F40" s="698"/>
      <c r="G40" s="698"/>
      <c r="H40" s="449"/>
      <c r="I40" s="450"/>
      <c r="J40" s="449"/>
      <c r="K40" s="700">
        <f>(H40+I40)-J40</f>
        <v>0</v>
      </c>
    </row>
    <row r="41" spans="1:11" ht="18" customHeight="1" x14ac:dyDescent="0.3">
      <c r="A41" s="741" t="s">
        <v>88</v>
      </c>
      <c r="B41" s="1425" t="s">
        <v>50</v>
      </c>
      <c r="C41" s="1425"/>
      <c r="D41" s="740"/>
      <c r="E41" s="740"/>
      <c r="F41" s="698">
        <v>17680</v>
      </c>
      <c r="G41" s="698">
        <v>32</v>
      </c>
      <c r="H41" s="449">
        <v>1202300</v>
      </c>
      <c r="I41" s="450">
        <v>145500</v>
      </c>
      <c r="J41" s="449">
        <v>0</v>
      </c>
      <c r="K41" s="700">
        <f t="shared" ref="K41:K42" si="2">(H41+I41)-J41</f>
        <v>1347800</v>
      </c>
    </row>
    <row r="42" spans="1:11" s="742" customFormat="1" ht="18" customHeight="1" x14ac:dyDescent="0.3">
      <c r="A42" s="741" t="s">
        <v>89</v>
      </c>
      <c r="B42" s="924" t="s">
        <v>11</v>
      </c>
      <c r="C42" s="940"/>
      <c r="D42" s="740"/>
      <c r="E42" s="740"/>
      <c r="F42" s="698">
        <v>200</v>
      </c>
      <c r="G42" s="698">
        <v>33</v>
      </c>
      <c r="H42" s="1151">
        <v>8531.7491492363097</v>
      </c>
      <c r="I42" s="1152">
        <v>4629.1220992822045</v>
      </c>
      <c r="J42" s="1151">
        <v>0</v>
      </c>
      <c r="K42" s="700">
        <f t="shared" si="2"/>
        <v>13160.871248518513</v>
      </c>
    </row>
    <row r="43" spans="1:11" s="742" customFormat="1" ht="18" customHeight="1" x14ac:dyDescent="0.3">
      <c r="A43" s="741"/>
      <c r="B43" s="1287"/>
      <c r="C43" s="940"/>
      <c r="D43" s="740"/>
      <c r="E43" s="740"/>
      <c r="F43" s="698"/>
      <c r="G43" s="698"/>
      <c r="H43" s="1151"/>
      <c r="I43" s="1152"/>
      <c r="J43" s="1151"/>
      <c r="K43" s="700"/>
    </row>
    <row r="44" spans="1:11" s="742" customFormat="1" ht="18" customHeight="1" x14ac:dyDescent="0.3">
      <c r="A44" s="741"/>
      <c r="B44" s="1287"/>
      <c r="C44" s="940"/>
      <c r="D44" s="740"/>
      <c r="E44" s="740"/>
      <c r="F44" s="698"/>
      <c r="G44" s="698"/>
      <c r="H44" s="1151"/>
      <c r="I44" s="1152"/>
      <c r="J44" s="1151"/>
      <c r="K44" s="700"/>
    </row>
    <row r="45" spans="1:11" s="742" customFormat="1" ht="18" customHeight="1" x14ac:dyDescent="0.3">
      <c r="A45" s="741"/>
      <c r="B45" s="1287"/>
      <c r="C45" s="940"/>
      <c r="D45" s="740"/>
      <c r="E45" s="740"/>
      <c r="F45" s="698"/>
      <c r="G45" s="698"/>
      <c r="H45" s="1151"/>
      <c r="I45" s="1152"/>
      <c r="J45" s="1151"/>
      <c r="K45" s="700"/>
    </row>
    <row r="46" spans="1:11" s="742" customFormat="1" ht="18" customHeight="1" x14ac:dyDescent="0.3">
      <c r="A46" s="741"/>
      <c r="B46" s="1287"/>
      <c r="C46" s="940"/>
      <c r="D46" s="740"/>
      <c r="E46" s="740"/>
      <c r="F46" s="698"/>
      <c r="G46" s="698"/>
      <c r="H46" s="1151"/>
      <c r="I46" s="1152"/>
      <c r="J46" s="1151"/>
      <c r="K46" s="700"/>
    </row>
    <row r="47" spans="1:11" s="742" customFormat="1" ht="18" customHeight="1" x14ac:dyDescent="0.3">
      <c r="A47" s="741"/>
      <c r="B47" s="1287"/>
      <c r="C47" s="940"/>
      <c r="D47" s="740"/>
      <c r="E47" s="740"/>
      <c r="F47" s="698"/>
      <c r="G47" s="698"/>
      <c r="H47" s="1151"/>
      <c r="I47" s="1152"/>
      <c r="J47" s="1151"/>
      <c r="K47" s="700"/>
    </row>
    <row r="48" spans="1:11" s="742" customFormat="1" ht="18" customHeight="1" x14ac:dyDescent="0.3">
      <c r="A48" s="741"/>
      <c r="B48" s="1287"/>
      <c r="C48" s="940"/>
      <c r="D48" s="740"/>
      <c r="E48" s="740"/>
      <c r="F48" s="698"/>
      <c r="G48" s="698"/>
      <c r="H48" s="1151"/>
      <c r="I48" s="1152"/>
      <c r="J48" s="1151"/>
      <c r="K48" s="700"/>
    </row>
    <row r="49" spans="1:13" ht="18" customHeight="1" x14ac:dyDescent="0.3">
      <c r="A49" s="691" t="s">
        <v>142</v>
      </c>
      <c r="B49" s="690" t="s">
        <v>143</v>
      </c>
      <c r="C49" s="740"/>
      <c r="D49" s="740"/>
      <c r="E49" s="690" t="s">
        <v>7</v>
      </c>
      <c r="F49" s="705">
        <f>SUM(F40:F42)</f>
        <v>17880</v>
      </c>
      <c r="G49" s="705">
        <f t="shared" ref="G49:K49" si="3">SUM(G40:G42)</f>
        <v>65</v>
      </c>
      <c r="H49" s="705">
        <f t="shared" si="3"/>
        <v>1210831.7491492364</v>
      </c>
      <c r="I49" s="705">
        <f t="shared" si="3"/>
        <v>150129.12209928219</v>
      </c>
      <c r="J49" s="705">
        <f t="shared" si="3"/>
        <v>0</v>
      </c>
      <c r="K49" s="705">
        <f t="shared" si="3"/>
        <v>1360960.8712485186</v>
      </c>
    </row>
    <row r="50" spans="1:13" ht="42.75" customHeight="1" x14ac:dyDescent="0.3">
      <c r="A50" s="740"/>
      <c r="B50" s="740"/>
      <c r="C50" s="740"/>
      <c r="D50" s="740"/>
      <c r="E50" s="740"/>
      <c r="F50" s="693" t="s">
        <v>9</v>
      </c>
      <c r="G50" s="693" t="s">
        <v>37</v>
      </c>
      <c r="H50" s="448" t="s">
        <v>29</v>
      </c>
      <c r="I50" s="448" t="s">
        <v>30</v>
      </c>
      <c r="J50" s="448" t="s">
        <v>33</v>
      </c>
      <c r="K50" s="693" t="s">
        <v>34</v>
      </c>
    </row>
    <row r="51" spans="1:13" ht="18" customHeight="1" x14ac:dyDescent="0.3">
      <c r="A51" s="691" t="s">
        <v>92</v>
      </c>
      <c r="B51" s="1439" t="s">
        <v>38</v>
      </c>
      <c r="C51" s="1439"/>
      <c r="D51" s="740"/>
      <c r="E51" s="740"/>
      <c r="F51" s="740"/>
      <c r="G51" s="740"/>
      <c r="H51" s="1150"/>
      <c r="I51" s="1150"/>
      <c r="J51" s="1150"/>
      <c r="K51" s="740"/>
    </row>
    <row r="52" spans="1:13" ht="18" customHeight="1" x14ac:dyDescent="0.3">
      <c r="A52" s="741" t="s">
        <v>51</v>
      </c>
      <c r="B52" s="1449" t="s">
        <v>792</v>
      </c>
      <c r="C52" s="1450"/>
      <c r="D52" s="1451"/>
      <c r="E52" s="740"/>
      <c r="F52" s="698">
        <v>311398</v>
      </c>
      <c r="G52" s="698">
        <v>1107</v>
      </c>
      <c r="H52" s="1151">
        <v>405376.2230322017</v>
      </c>
      <c r="I52" s="698">
        <v>219947.39879686787</v>
      </c>
      <c r="J52" s="698">
        <v>0</v>
      </c>
      <c r="K52" s="1154">
        <f>(H52+I52)-J52</f>
        <v>625323.62182906957</v>
      </c>
    </row>
    <row r="53" spans="1:13" ht="18" customHeight="1" x14ac:dyDescent="0.3">
      <c r="A53" s="741" t="s">
        <v>93</v>
      </c>
      <c r="B53" s="921" t="s">
        <v>892</v>
      </c>
      <c r="C53" s="922"/>
      <c r="D53" s="923"/>
      <c r="E53" s="740"/>
      <c r="F53" s="698">
        <v>34618.000653808434</v>
      </c>
      <c r="G53" s="698">
        <v>54157</v>
      </c>
      <c r="H53" s="1278">
        <v>3311185.3600000003</v>
      </c>
      <c r="I53" s="450">
        <v>0</v>
      </c>
      <c r="J53" s="449">
        <v>0</v>
      </c>
      <c r="K53" s="1154">
        <f t="shared" ref="K53:K63" si="4">(H53+I53)-J53</f>
        <v>3311185.3600000003</v>
      </c>
      <c r="L53" s="1279"/>
    </row>
    <row r="54" spans="1:13" ht="18" customHeight="1" x14ac:dyDescent="0.3">
      <c r="A54" s="741" t="s">
        <v>95</v>
      </c>
      <c r="B54" s="925" t="s">
        <v>430</v>
      </c>
      <c r="C54" s="922"/>
      <c r="D54" s="923"/>
      <c r="E54" s="740"/>
      <c r="F54" s="698"/>
      <c r="G54" s="698"/>
      <c r="H54" s="449">
        <v>592909.22</v>
      </c>
      <c r="I54" s="450">
        <v>321698.29716756876</v>
      </c>
      <c r="J54" s="449"/>
      <c r="K54" s="1154">
        <f t="shared" si="4"/>
        <v>914607.51716756867</v>
      </c>
    </row>
    <row r="55" spans="1:13" ht="18" customHeight="1" x14ac:dyDescent="0.3">
      <c r="A55" s="741" t="s">
        <v>96</v>
      </c>
      <c r="B55" s="457" t="s">
        <v>893</v>
      </c>
      <c r="C55" s="922"/>
      <c r="D55" s="923"/>
      <c r="E55" s="740"/>
      <c r="F55" s="698"/>
      <c r="G55" s="698"/>
      <c r="H55" s="449">
        <v>3106522.5</v>
      </c>
      <c r="I55" s="450">
        <v>0</v>
      </c>
      <c r="J55" s="449"/>
      <c r="K55" s="1154">
        <f t="shared" si="4"/>
        <v>3106522.5</v>
      </c>
      <c r="L55" s="1143" t="e">
        <f>H55+#REF!</f>
        <v>#REF!</v>
      </c>
    </row>
    <row r="56" spans="1:13" s="742" customFormat="1" ht="18" customHeight="1" x14ac:dyDescent="0.3">
      <c r="A56" s="741" t="s">
        <v>98</v>
      </c>
      <c r="B56" s="925" t="s">
        <v>395</v>
      </c>
      <c r="C56" s="922"/>
      <c r="D56" s="923"/>
      <c r="E56" s="740"/>
      <c r="F56" s="698">
        <v>9984</v>
      </c>
      <c r="G56" s="698">
        <v>102</v>
      </c>
      <c r="H56" s="698">
        <v>425904.91752987663</v>
      </c>
      <c r="I56" s="698">
        <v>231085.77519616767</v>
      </c>
      <c r="J56" s="698">
        <v>0</v>
      </c>
      <c r="K56" s="1154">
        <f t="shared" si="4"/>
        <v>656990.69272604433</v>
      </c>
    </row>
    <row r="57" spans="1:13" ht="18" customHeight="1" x14ac:dyDescent="0.3">
      <c r="A57" s="741" t="s">
        <v>99</v>
      </c>
      <c r="B57" s="1449" t="s">
        <v>793</v>
      </c>
      <c r="C57" s="1450"/>
      <c r="D57" s="1451"/>
      <c r="E57" s="740"/>
      <c r="F57" s="698"/>
      <c r="G57" s="698"/>
      <c r="H57" s="449">
        <v>1710791.93</v>
      </c>
      <c r="I57" s="450"/>
      <c r="J57" s="449"/>
      <c r="K57" s="1154">
        <f t="shared" si="4"/>
        <v>1710791.93</v>
      </c>
    </row>
    <row r="58" spans="1:13" ht="18" customHeight="1" x14ac:dyDescent="0.3">
      <c r="A58" s="741" t="s">
        <v>99</v>
      </c>
      <c r="B58" s="1449" t="s">
        <v>794</v>
      </c>
      <c r="C58" s="1450"/>
      <c r="D58" s="1451"/>
      <c r="E58" s="740"/>
      <c r="F58" s="698"/>
      <c r="G58" s="698"/>
      <c r="H58" s="1155">
        <v>1482099.63</v>
      </c>
      <c r="I58" s="1155"/>
      <c r="J58" s="1155"/>
      <c r="K58" s="1154">
        <f t="shared" si="4"/>
        <v>1482099.63</v>
      </c>
      <c r="M58" s="1143"/>
    </row>
    <row r="59" spans="1:13" s="742" customFormat="1" ht="18" customHeight="1" x14ac:dyDescent="0.3">
      <c r="A59" s="741" t="s">
        <v>99</v>
      </c>
      <c r="B59" s="756" t="s">
        <v>795</v>
      </c>
      <c r="C59" s="745"/>
      <c r="D59" s="745"/>
      <c r="E59" s="740"/>
      <c r="F59" s="698"/>
      <c r="G59" s="698"/>
      <c r="H59" s="1155">
        <v>1802968.4799999967</v>
      </c>
      <c r="I59" s="1155"/>
      <c r="J59" s="1155"/>
      <c r="K59" s="1154">
        <f t="shared" si="4"/>
        <v>1802968.4799999967</v>
      </c>
    </row>
    <row r="60" spans="1:13" ht="18" customHeight="1" x14ac:dyDescent="0.3">
      <c r="A60" s="741" t="s">
        <v>99</v>
      </c>
      <c r="B60" s="1157" t="s">
        <v>891</v>
      </c>
      <c r="C60" s="1153"/>
      <c r="D60" s="1153"/>
      <c r="E60" s="690"/>
      <c r="F60" s="702"/>
      <c r="G60" s="702"/>
      <c r="H60" s="452">
        <v>1096519.9199999995</v>
      </c>
      <c r="I60" s="452"/>
      <c r="J60" s="452"/>
      <c r="K60" s="1154">
        <f t="shared" si="4"/>
        <v>1096519.9199999995</v>
      </c>
      <c r="L60" s="1143"/>
    </row>
    <row r="61" spans="1:13" ht="13" x14ac:dyDescent="0.3">
      <c r="A61" s="691" t="s">
        <v>99</v>
      </c>
      <c r="B61" s="1157" t="s">
        <v>890</v>
      </c>
      <c r="C61" s="1153"/>
      <c r="D61" s="1153"/>
      <c r="E61" s="740"/>
      <c r="F61" s="1158"/>
      <c r="G61" s="1158"/>
      <c r="H61" s="458">
        <v>3983291.5300000017</v>
      </c>
      <c r="I61" s="459"/>
      <c r="J61" s="458"/>
      <c r="K61" s="1154">
        <f t="shared" si="4"/>
        <v>3983291.5300000017</v>
      </c>
      <c r="L61" s="1143"/>
    </row>
    <row r="62" spans="1:13" ht="18" customHeight="1" x14ac:dyDescent="0.3">
      <c r="A62" s="741" t="s">
        <v>100</v>
      </c>
      <c r="B62" s="1159" t="s">
        <v>431</v>
      </c>
      <c r="C62" s="1153"/>
      <c r="D62" s="1153"/>
      <c r="E62" s="740"/>
      <c r="F62" s="698"/>
      <c r="G62" s="698"/>
      <c r="H62" s="449">
        <v>688745</v>
      </c>
      <c r="I62" s="450">
        <v>373696.48878571519</v>
      </c>
      <c r="J62" s="449"/>
      <c r="K62" s="1154">
        <f t="shared" si="4"/>
        <v>1062441.4887857153</v>
      </c>
    </row>
    <row r="63" spans="1:13" ht="18" customHeight="1" x14ac:dyDescent="0.3">
      <c r="A63" s="741" t="s">
        <v>101</v>
      </c>
      <c r="B63" s="921" t="s">
        <v>796</v>
      </c>
      <c r="C63" s="922"/>
      <c r="D63" s="923"/>
      <c r="E63" s="690"/>
      <c r="F63" s="461">
        <v>759</v>
      </c>
      <c r="G63" s="461">
        <v>77</v>
      </c>
      <c r="H63" s="1160">
        <v>27630.691419999999</v>
      </c>
      <c r="I63" s="1152">
        <v>14991.74929237321</v>
      </c>
      <c r="J63" s="1160">
        <v>0</v>
      </c>
      <c r="K63" s="1154">
        <f t="shared" si="4"/>
        <v>42622.440712373209</v>
      </c>
      <c r="L63" s="1143"/>
    </row>
    <row r="64" spans="1:13" ht="18" customHeight="1" x14ac:dyDescent="0.3">
      <c r="A64" s="741" t="s">
        <v>144</v>
      </c>
      <c r="B64" s="1162" t="s">
        <v>145</v>
      </c>
      <c r="C64" s="1163"/>
      <c r="D64" s="1164"/>
      <c r="E64" s="690" t="s">
        <v>7</v>
      </c>
      <c r="F64" s="698">
        <f t="shared" ref="F64:K64" si="5">SUM(F52:F63)</f>
        <v>356759.00065380841</v>
      </c>
      <c r="G64" s="698">
        <f t="shared" si="5"/>
        <v>55443</v>
      </c>
      <c r="H64" s="698">
        <f t="shared" si="5"/>
        <v>18633945.401982076</v>
      </c>
      <c r="I64" s="698">
        <f t="shared" si="5"/>
        <v>1161419.7092386927</v>
      </c>
      <c r="J64" s="698">
        <f t="shared" si="5"/>
        <v>0</v>
      </c>
      <c r="K64" s="698">
        <f t="shared" si="5"/>
        <v>19795365.11122077</v>
      </c>
      <c r="L64" s="1143"/>
    </row>
    <row r="65" spans="1:11" ht="18" customHeight="1" x14ac:dyDescent="0.3">
      <c r="A65" s="741"/>
      <c r="B65" s="689"/>
      <c r="C65" s="740"/>
      <c r="D65" s="740"/>
      <c r="E65" s="690"/>
      <c r="F65" s="1165"/>
      <c r="G65" s="1165"/>
      <c r="H65" s="462"/>
      <c r="I65" s="459"/>
      <c r="J65" s="462"/>
      <c r="K65" s="723"/>
    </row>
    <row r="66" spans="1:11" ht="18" customHeight="1" x14ac:dyDescent="0.3">
      <c r="A66" s="691"/>
      <c r="B66" s="690"/>
      <c r="C66" s="740"/>
      <c r="D66" s="740"/>
      <c r="E66" s="690"/>
      <c r="F66" s="703" t="s">
        <v>9</v>
      </c>
      <c r="G66" s="703" t="s">
        <v>37</v>
      </c>
      <c r="H66" s="463" t="s">
        <v>29</v>
      </c>
      <c r="I66" s="464" t="s">
        <v>30</v>
      </c>
      <c r="J66" s="463" t="s">
        <v>33</v>
      </c>
      <c r="K66" s="703" t="s">
        <v>34</v>
      </c>
    </row>
    <row r="67" spans="1:11" ht="18" customHeight="1" x14ac:dyDescent="0.3">
      <c r="A67" s="740" t="s">
        <v>102</v>
      </c>
      <c r="B67" s="740" t="s">
        <v>12</v>
      </c>
      <c r="C67" s="740"/>
      <c r="D67" s="740"/>
      <c r="E67" s="740"/>
      <c r="F67" s="693"/>
      <c r="G67" s="693"/>
      <c r="H67" s="448"/>
      <c r="I67" s="448"/>
      <c r="J67" s="448"/>
      <c r="K67" s="1166"/>
    </row>
    <row r="68" spans="1:11" ht="42.75" customHeight="1" x14ac:dyDescent="0.3">
      <c r="A68" s="691" t="s">
        <v>103</v>
      </c>
      <c r="B68" s="690" t="s">
        <v>52</v>
      </c>
      <c r="C68" s="740"/>
      <c r="D68" s="740"/>
      <c r="E68" s="740"/>
      <c r="F68" s="740"/>
      <c r="G68" s="740"/>
      <c r="H68" s="1150"/>
      <c r="I68" s="1150"/>
      <c r="J68" s="1150"/>
      <c r="K68" s="830">
        <v>0</v>
      </c>
    </row>
    <row r="69" spans="1:11" ht="18" customHeight="1" x14ac:dyDescent="0.3">
      <c r="A69" s="741" t="s">
        <v>104</v>
      </c>
      <c r="B69" s="689" t="s">
        <v>53</v>
      </c>
      <c r="C69" s="740"/>
      <c r="D69" s="740"/>
      <c r="E69" s="740"/>
      <c r="F69" s="460"/>
      <c r="G69" s="460"/>
      <c r="H69" s="1155"/>
      <c r="I69" s="1155"/>
      <c r="J69" s="1155"/>
      <c r="K69" s="700">
        <v>0</v>
      </c>
    </row>
    <row r="70" spans="1:11" ht="18" customHeight="1" x14ac:dyDescent="0.3">
      <c r="A70" s="741" t="s">
        <v>178</v>
      </c>
      <c r="B70" s="1159"/>
      <c r="C70" s="1153"/>
      <c r="D70" s="1153"/>
      <c r="E70" s="740"/>
      <c r="F70" s="698"/>
      <c r="G70" s="698"/>
      <c r="H70" s="1155"/>
      <c r="I70" s="1155"/>
      <c r="J70" s="1155"/>
      <c r="K70" s="700">
        <v>0</v>
      </c>
    </row>
    <row r="71" spans="1:11" ht="18" customHeight="1" x14ac:dyDescent="0.3">
      <c r="A71" s="741" t="s">
        <v>179</v>
      </c>
      <c r="B71" s="1159"/>
      <c r="C71" s="1153"/>
      <c r="D71" s="1153"/>
      <c r="E71" s="740"/>
      <c r="F71" s="698"/>
      <c r="G71" s="698"/>
      <c r="H71" s="1155"/>
      <c r="I71" s="1155"/>
      <c r="J71" s="1155"/>
      <c r="K71" s="700">
        <v>0</v>
      </c>
    </row>
    <row r="72" spans="1:11" ht="18" customHeight="1" x14ac:dyDescent="0.3">
      <c r="A72" s="741" t="s">
        <v>180</v>
      </c>
      <c r="B72" s="1159"/>
      <c r="C72" s="1153"/>
      <c r="D72" s="1153"/>
      <c r="E72" s="740"/>
      <c r="F72" s="698"/>
      <c r="G72" s="698"/>
      <c r="H72" s="449"/>
      <c r="I72" s="450"/>
      <c r="J72" s="449"/>
      <c r="K72" s="700">
        <v>0</v>
      </c>
    </row>
    <row r="73" spans="1:11" ht="18" customHeight="1" x14ac:dyDescent="0.3">
      <c r="A73" s="741"/>
      <c r="B73" s="740"/>
      <c r="C73" s="740"/>
      <c r="D73" s="740"/>
      <c r="E73" s="740"/>
      <c r="F73" s="1156"/>
      <c r="G73" s="1156"/>
      <c r="H73" s="1150"/>
      <c r="I73" s="1150"/>
      <c r="J73" s="1150"/>
      <c r="K73" s="710"/>
    </row>
    <row r="74" spans="1:11" ht="18" customHeight="1" x14ac:dyDescent="0.3">
      <c r="A74" s="741" t="s">
        <v>146</v>
      </c>
      <c r="B74" s="690" t="s">
        <v>147</v>
      </c>
      <c r="C74" s="740"/>
      <c r="D74" s="740"/>
      <c r="E74" s="690" t="s">
        <v>7</v>
      </c>
      <c r="F74" s="703">
        <v>0</v>
      </c>
      <c r="G74" s="703">
        <v>0</v>
      </c>
      <c r="H74" s="463">
        <v>0</v>
      </c>
      <c r="I74" s="463">
        <v>0</v>
      </c>
      <c r="J74" s="463">
        <v>0</v>
      </c>
      <c r="K74" s="701">
        <v>0</v>
      </c>
    </row>
    <row r="75" spans="1:11" ht="18" customHeight="1" thickBot="1" x14ac:dyDescent="0.35">
      <c r="A75" s="741"/>
      <c r="B75" s="740"/>
      <c r="C75" s="740"/>
      <c r="D75" s="740"/>
      <c r="E75" s="740"/>
      <c r="F75" s="706" t="s">
        <v>9</v>
      </c>
      <c r="G75" s="706" t="s">
        <v>37</v>
      </c>
      <c r="H75" s="456" t="s">
        <v>29</v>
      </c>
      <c r="I75" s="456" t="s">
        <v>30</v>
      </c>
      <c r="J75" s="456" t="s">
        <v>33</v>
      </c>
      <c r="K75" s="706" t="s">
        <v>34</v>
      </c>
    </row>
    <row r="76" spans="1:11" ht="18" customHeight="1" x14ac:dyDescent="0.3">
      <c r="A76" s="740" t="s">
        <v>105</v>
      </c>
      <c r="B76" s="740" t="s">
        <v>106</v>
      </c>
      <c r="C76" s="740"/>
      <c r="D76" s="740"/>
      <c r="E76" s="740"/>
      <c r="F76" s="693"/>
      <c r="G76" s="693"/>
      <c r="H76" s="448"/>
      <c r="I76" s="448"/>
      <c r="J76" s="448"/>
      <c r="K76" s="693"/>
    </row>
    <row r="77" spans="1:11" ht="18" customHeight="1" x14ac:dyDescent="0.3">
      <c r="A77" s="691" t="s">
        <v>107</v>
      </c>
      <c r="B77" s="690" t="s">
        <v>54</v>
      </c>
      <c r="C77" s="740"/>
      <c r="D77" s="740"/>
      <c r="E77" s="740"/>
      <c r="F77" s="1156">
        <v>0</v>
      </c>
      <c r="G77" s="1156">
        <v>0</v>
      </c>
      <c r="H77" s="1156">
        <v>33175</v>
      </c>
      <c r="I77" s="1156">
        <v>17999.957916886658</v>
      </c>
      <c r="J77" s="1156">
        <v>0</v>
      </c>
      <c r="K77" s="830">
        <f>(H77+I77)-J77</f>
        <v>51174.957916886662</v>
      </c>
    </row>
    <row r="78" spans="1:11" ht="18" customHeight="1" x14ac:dyDescent="0.3">
      <c r="A78" s="741" t="s">
        <v>108</v>
      </c>
      <c r="B78" s="689" t="s">
        <v>55</v>
      </c>
      <c r="C78" s="740"/>
      <c r="D78" s="740"/>
      <c r="E78" s="740"/>
      <c r="F78" s="698">
        <v>0</v>
      </c>
      <c r="G78" s="698">
        <v>0</v>
      </c>
      <c r="H78" s="1151">
        <v>170000</v>
      </c>
      <c r="I78" s="1152">
        <v>92237.915474626439</v>
      </c>
      <c r="J78" s="1151">
        <v>0</v>
      </c>
      <c r="K78" s="830">
        <f t="shared" ref="K78:K81" si="6">(H78+I78)-J78</f>
        <v>262237.91547462647</v>
      </c>
    </row>
    <row r="79" spans="1:11" ht="18" customHeight="1" x14ac:dyDescent="0.3">
      <c r="A79" s="741" t="s">
        <v>109</v>
      </c>
      <c r="B79" s="689" t="s">
        <v>13</v>
      </c>
      <c r="C79" s="740"/>
      <c r="D79" s="740"/>
      <c r="E79" s="740"/>
      <c r="F79" s="698">
        <v>156</v>
      </c>
      <c r="G79" s="698">
        <v>2500</v>
      </c>
      <c r="H79" s="698">
        <v>100654.76433640432</v>
      </c>
      <c r="I79" s="698">
        <v>54612.856735174733</v>
      </c>
      <c r="J79" s="698">
        <v>0</v>
      </c>
      <c r="K79" s="830">
        <f t="shared" si="6"/>
        <v>155267.62107157905</v>
      </c>
    </row>
    <row r="80" spans="1:11" ht="18" customHeight="1" x14ac:dyDescent="0.3">
      <c r="A80" s="741" t="s">
        <v>110</v>
      </c>
      <c r="B80" s="689" t="s">
        <v>56</v>
      </c>
      <c r="C80" s="740"/>
      <c r="D80" s="740"/>
      <c r="E80" s="740"/>
      <c r="F80" s="698"/>
      <c r="G80" s="698"/>
      <c r="H80" s="1155"/>
      <c r="I80" s="1155"/>
      <c r="J80" s="1155"/>
      <c r="K80" s="830">
        <f t="shared" si="6"/>
        <v>0</v>
      </c>
    </row>
    <row r="81" spans="1:11" ht="18" customHeight="1" x14ac:dyDescent="0.3">
      <c r="A81" s="741"/>
      <c r="B81" s="689"/>
      <c r="C81" s="740"/>
      <c r="D81" s="740"/>
      <c r="E81" s="740"/>
      <c r="F81" s="460"/>
      <c r="G81" s="460"/>
      <c r="H81" s="1155"/>
      <c r="I81" s="1155"/>
      <c r="J81" s="1155"/>
      <c r="K81" s="830">
        <f t="shared" si="6"/>
        <v>0</v>
      </c>
    </row>
    <row r="82" spans="1:11" ht="18" customHeight="1" x14ac:dyDescent="0.3">
      <c r="A82" s="741" t="s">
        <v>148</v>
      </c>
      <c r="B82" s="1425" t="s">
        <v>149</v>
      </c>
      <c r="C82" s="1425"/>
      <c r="D82" s="740"/>
      <c r="E82" s="740" t="s">
        <v>7</v>
      </c>
      <c r="F82" s="698">
        <f>SUM(F77:F81)</f>
        <v>156</v>
      </c>
      <c r="G82" s="698">
        <f t="shared" ref="G82:K82" si="7">SUM(G77:G81)</f>
        <v>2500</v>
      </c>
      <c r="H82" s="698">
        <f t="shared" si="7"/>
        <v>303829.76433640433</v>
      </c>
      <c r="I82" s="698">
        <f t="shared" si="7"/>
        <v>164850.73012668785</v>
      </c>
      <c r="J82" s="698">
        <f t="shared" si="7"/>
        <v>0</v>
      </c>
      <c r="K82" s="698">
        <f t="shared" si="7"/>
        <v>468680.49446309218</v>
      </c>
    </row>
    <row r="83" spans="1:11" ht="18" customHeight="1" x14ac:dyDescent="0.3">
      <c r="A83" s="741"/>
      <c r="B83" s="689"/>
      <c r="C83" s="740"/>
      <c r="D83" s="740"/>
      <c r="E83" s="740"/>
      <c r="F83" s="460"/>
      <c r="G83" s="460"/>
      <c r="H83" s="1155"/>
      <c r="I83" s="1155"/>
      <c r="J83" s="1155"/>
      <c r="K83" s="1161"/>
    </row>
    <row r="84" spans="1:11" ht="42.75" customHeight="1" x14ac:dyDescent="0.3">
      <c r="A84" s="741"/>
      <c r="B84" s="689"/>
      <c r="C84" s="740"/>
      <c r="D84" s="740"/>
      <c r="E84" s="740"/>
      <c r="F84" s="1167" t="s">
        <v>9</v>
      </c>
      <c r="G84" s="1167" t="s">
        <v>37</v>
      </c>
      <c r="H84" s="1168" t="s">
        <v>29</v>
      </c>
      <c r="I84" s="1168" t="s">
        <v>30</v>
      </c>
      <c r="J84" s="1168" t="s">
        <v>33</v>
      </c>
      <c r="K84" s="1161" t="s">
        <v>34</v>
      </c>
    </row>
    <row r="85" spans="1:11" ht="18" customHeight="1" x14ac:dyDescent="0.3">
      <c r="A85" s="741" t="s">
        <v>111</v>
      </c>
      <c r="B85" s="689" t="s">
        <v>57</v>
      </c>
      <c r="C85" s="740"/>
      <c r="D85" s="740"/>
      <c r="E85" s="740"/>
      <c r="F85" s="460"/>
      <c r="G85" s="460"/>
      <c r="H85" s="1155"/>
      <c r="I85" s="1155"/>
      <c r="J85" s="1155"/>
      <c r="K85" s="1161"/>
    </row>
    <row r="86" spans="1:11" ht="18" customHeight="1" x14ac:dyDescent="0.3">
      <c r="A86" s="741" t="s">
        <v>112</v>
      </c>
      <c r="B86" s="1561" t="s">
        <v>113</v>
      </c>
      <c r="C86" s="1562"/>
      <c r="D86" s="1563"/>
      <c r="E86" s="740"/>
      <c r="F86" s="698"/>
      <c r="G86" s="698"/>
      <c r="H86" s="449"/>
      <c r="I86" s="450"/>
      <c r="J86" s="449"/>
      <c r="K86" s="700">
        <f>(H86+I86)-J86</f>
        <v>0</v>
      </c>
    </row>
    <row r="87" spans="1:11" ht="18" customHeight="1" x14ac:dyDescent="0.3">
      <c r="A87" s="741" t="s">
        <v>114</v>
      </c>
      <c r="B87" s="1561" t="s">
        <v>14</v>
      </c>
      <c r="C87" s="1562"/>
      <c r="D87" s="1563"/>
      <c r="E87" s="740"/>
      <c r="F87" s="698">
        <v>0</v>
      </c>
      <c r="G87" s="698">
        <v>0</v>
      </c>
      <c r="H87" s="1151">
        <v>5399</v>
      </c>
      <c r="I87" s="1152">
        <v>2929.3676802794594</v>
      </c>
      <c r="J87" s="1151">
        <v>0</v>
      </c>
      <c r="K87" s="700">
        <f t="shared" ref="K87:K96" si="8">(H87+I87)-J87</f>
        <v>8328.3676802794598</v>
      </c>
    </row>
    <row r="88" spans="1:11" ht="18" customHeight="1" x14ac:dyDescent="0.3">
      <c r="A88" s="741" t="s">
        <v>115</v>
      </c>
      <c r="B88" s="1561" t="s">
        <v>116</v>
      </c>
      <c r="C88" s="1562"/>
      <c r="D88" s="1563"/>
      <c r="E88" s="740"/>
      <c r="F88" s="698"/>
      <c r="G88" s="698"/>
      <c r="H88" s="1151"/>
      <c r="I88" s="1152"/>
      <c r="J88" s="1151"/>
      <c r="K88" s="700">
        <f t="shared" si="8"/>
        <v>0</v>
      </c>
    </row>
    <row r="89" spans="1:11" ht="18" customHeight="1" x14ac:dyDescent="0.3">
      <c r="A89" s="741" t="s">
        <v>117</v>
      </c>
      <c r="B89" s="689" t="s">
        <v>58</v>
      </c>
      <c r="C89" s="740"/>
      <c r="D89" s="740"/>
      <c r="E89" s="740"/>
      <c r="F89" s="1156"/>
      <c r="G89" s="1156"/>
      <c r="H89" s="1156"/>
      <c r="I89" s="1156"/>
      <c r="J89" s="1156"/>
      <c r="K89" s="700">
        <f t="shared" si="8"/>
        <v>0</v>
      </c>
    </row>
    <row r="90" spans="1:11" ht="18" customHeight="1" x14ac:dyDescent="0.3">
      <c r="A90" s="691" t="s">
        <v>118</v>
      </c>
      <c r="B90" s="690" t="s">
        <v>59</v>
      </c>
      <c r="C90" s="740"/>
      <c r="D90" s="740"/>
      <c r="E90" s="690"/>
      <c r="F90" s="702"/>
      <c r="G90" s="702"/>
      <c r="H90" s="1169"/>
      <c r="I90" s="1169"/>
      <c r="J90" s="1169"/>
      <c r="K90" s="700">
        <f t="shared" si="8"/>
        <v>0</v>
      </c>
    </row>
    <row r="91" spans="1:11" ht="18" customHeight="1" thickBot="1" x14ac:dyDescent="0.35">
      <c r="A91" s="740" t="s">
        <v>119</v>
      </c>
      <c r="B91" s="690" t="s">
        <v>60</v>
      </c>
      <c r="C91" s="740"/>
      <c r="D91" s="740"/>
      <c r="E91" s="740"/>
      <c r="F91" s="1170">
        <v>298</v>
      </c>
      <c r="G91" s="1170">
        <v>0</v>
      </c>
      <c r="H91" s="1171">
        <v>12712.306232362103</v>
      </c>
      <c r="I91" s="1171">
        <v>6897.3919279304855</v>
      </c>
      <c r="J91" s="1171">
        <v>0</v>
      </c>
      <c r="K91" s="700">
        <f t="shared" si="8"/>
        <v>19609.698160292588</v>
      </c>
    </row>
    <row r="92" spans="1:11" s="3" customFormat="1" ht="18" customHeight="1" x14ac:dyDescent="0.3">
      <c r="A92" s="740" t="s">
        <v>120</v>
      </c>
      <c r="B92" s="740" t="s">
        <v>121</v>
      </c>
      <c r="C92" s="740"/>
      <c r="D92" s="740"/>
      <c r="E92" s="740"/>
      <c r="F92" s="1172">
        <v>10093</v>
      </c>
      <c r="G92" s="1172">
        <v>0</v>
      </c>
      <c r="H92" s="1173">
        <v>430554.72081621044</v>
      </c>
      <c r="I92" s="1173">
        <v>233608.64674027648</v>
      </c>
      <c r="J92" s="1173">
        <v>0</v>
      </c>
      <c r="K92" s="700">
        <f t="shared" si="8"/>
        <v>664163.36755648698</v>
      </c>
    </row>
    <row r="93" spans="1:11" s="3" customFormat="1" ht="18" customHeight="1" x14ac:dyDescent="0.3">
      <c r="A93" s="691" t="s">
        <v>122</v>
      </c>
      <c r="B93" s="690" t="s">
        <v>123</v>
      </c>
      <c r="C93" s="740"/>
      <c r="D93" s="740"/>
      <c r="E93" s="740"/>
      <c r="F93" s="1156">
        <v>222</v>
      </c>
      <c r="G93" s="1156">
        <v>992</v>
      </c>
      <c r="H93" s="1156">
        <v>9470.2415556523047</v>
      </c>
      <c r="I93" s="1156">
        <v>5138.3255302032476</v>
      </c>
      <c r="J93" s="1156">
        <v>0</v>
      </c>
      <c r="K93" s="700">
        <f t="shared" si="8"/>
        <v>14608.567085855553</v>
      </c>
    </row>
    <row r="94" spans="1:11" s="642" customFormat="1" ht="18" customHeight="1" x14ac:dyDescent="0.3">
      <c r="A94" s="691"/>
      <c r="B94" s="690"/>
      <c r="C94" s="740"/>
      <c r="D94" s="740"/>
      <c r="E94" s="740"/>
      <c r="F94" s="1156"/>
      <c r="G94" s="1156"/>
      <c r="H94" s="1156"/>
      <c r="I94" s="1156"/>
      <c r="J94" s="1156"/>
      <c r="K94" s="700">
        <f t="shared" si="8"/>
        <v>0</v>
      </c>
    </row>
    <row r="95" spans="1:11" s="642" customFormat="1" ht="18" customHeight="1" x14ac:dyDescent="0.3">
      <c r="A95" s="691"/>
      <c r="B95" s="690"/>
      <c r="C95" s="740"/>
      <c r="D95" s="740"/>
      <c r="E95" s="740"/>
      <c r="F95" s="1156"/>
      <c r="G95" s="1156"/>
      <c r="H95" s="1156"/>
      <c r="I95" s="1156"/>
      <c r="J95" s="1156"/>
      <c r="K95" s="700">
        <f t="shared" si="8"/>
        <v>0</v>
      </c>
    </row>
    <row r="96" spans="1:11" s="642" customFormat="1" ht="18" customHeight="1" x14ac:dyDescent="0.3">
      <c r="A96" s="691"/>
      <c r="B96" s="690"/>
      <c r="C96" s="740"/>
      <c r="D96" s="740"/>
      <c r="E96" s="740"/>
      <c r="F96" s="1156"/>
      <c r="G96" s="1156"/>
      <c r="H96" s="1156"/>
      <c r="I96" s="1156"/>
      <c r="J96" s="1156"/>
      <c r="K96" s="700">
        <f t="shared" si="8"/>
        <v>0</v>
      </c>
    </row>
    <row r="97" spans="1:11" ht="18" customHeight="1" x14ac:dyDescent="0.3">
      <c r="A97" s="741" t="s">
        <v>150</v>
      </c>
      <c r="B97" s="1561" t="s">
        <v>151</v>
      </c>
      <c r="C97" s="1562"/>
      <c r="D97" s="1563"/>
      <c r="E97" s="740" t="s">
        <v>7</v>
      </c>
      <c r="F97" s="698">
        <f>SUM(F85:F96)</f>
        <v>10613</v>
      </c>
      <c r="G97" s="698">
        <f t="shared" ref="G97:K97" si="9">SUM(G85:G96)</f>
        <v>992</v>
      </c>
      <c r="H97" s="698">
        <f t="shared" si="9"/>
        <v>458136.26860422484</v>
      </c>
      <c r="I97" s="698">
        <f t="shared" si="9"/>
        <v>248573.73187868966</v>
      </c>
      <c r="J97" s="698">
        <f t="shared" si="9"/>
        <v>0</v>
      </c>
      <c r="K97" s="698">
        <f t="shared" si="9"/>
        <v>706710.0004829145</v>
      </c>
    </row>
    <row r="98" spans="1:11" ht="18" customHeight="1" x14ac:dyDescent="0.3">
      <c r="A98" s="740"/>
      <c r="B98" s="690"/>
      <c r="C98" s="740"/>
      <c r="D98" s="740"/>
      <c r="E98" s="740"/>
      <c r="F98" s="740"/>
      <c r="G98" s="740"/>
      <c r="H98" s="1150"/>
      <c r="I98" s="1150"/>
      <c r="J98" s="1150"/>
      <c r="K98" s="740"/>
    </row>
    <row r="99" spans="1:11" ht="18" customHeight="1" x14ac:dyDescent="0.3">
      <c r="A99" s="691"/>
      <c r="B99" s="728"/>
      <c r="C99" s="740"/>
      <c r="D99" s="740"/>
      <c r="E99" s="690"/>
      <c r="F99" s="1161" t="s">
        <v>9</v>
      </c>
      <c r="G99" s="1161" t="s">
        <v>37</v>
      </c>
      <c r="H99" s="452" t="s">
        <v>29</v>
      </c>
      <c r="I99" s="452" t="s">
        <v>30</v>
      </c>
      <c r="J99" s="452" t="s">
        <v>33</v>
      </c>
      <c r="K99" s="1161" t="s">
        <v>34</v>
      </c>
    </row>
    <row r="100" spans="1:11" ht="18" customHeight="1" thickBot="1" x14ac:dyDescent="0.35">
      <c r="A100" s="695" t="s">
        <v>130</v>
      </c>
      <c r="B100" s="696" t="s">
        <v>63</v>
      </c>
      <c r="C100" s="697"/>
      <c r="D100" s="697"/>
      <c r="E100" s="697"/>
      <c r="F100" s="706"/>
      <c r="G100" s="706"/>
      <c r="H100" s="456"/>
      <c r="I100" s="456"/>
      <c r="J100" s="456"/>
      <c r="K100" s="706"/>
    </row>
    <row r="101" spans="1:11" s="742" customFormat="1" ht="18" customHeight="1" x14ac:dyDescent="0.3">
      <c r="A101" s="1228"/>
      <c r="B101" s="728"/>
      <c r="C101" s="694"/>
      <c r="D101" s="694"/>
      <c r="E101" s="694"/>
      <c r="F101" s="694"/>
      <c r="G101" s="694"/>
      <c r="H101" s="1229"/>
      <c r="I101" s="1229"/>
      <c r="J101" s="1229"/>
      <c r="K101" s="694"/>
    </row>
    <row r="102" spans="1:11" ht="18" customHeight="1" x14ac:dyDescent="0.3">
      <c r="A102" s="691" t="s">
        <v>131</v>
      </c>
      <c r="B102" s="690" t="s">
        <v>152</v>
      </c>
      <c r="C102" s="740"/>
      <c r="D102" s="740"/>
      <c r="E102" s="740"/>
      <c r="F102" s="1156">
        <v>500</v>
      </c>
      <c r="G102" s="1156">
        <v>0</v>
      </c>
      <c r="H102" s="1174">
        <v>21329.372873090779</v>
      </c>
      <c r="I102" s="1174">
        <v>11572.805248205514</v>
      </c>
      <c r="J102" s="1174">
        <v>0</v>
      </c>
      <c r="K102" s="830">
        <f>(H102+I102)-J102</f>
        <v>32902.178121296296</v>
      </c>
    </row>
    <row r="103" spans="1:11" ht="18" customHeight="1" x14ac:dyDescent="0.3">
      <c r="A103" s="691" t="s">
        <v>132</v>
      </c>
      <c r="B103" s="690" t="s">
        <v>62</v>
      </c>
      <c r="C103" s="740"/>
      <c r="D103" s="740"/>
      <c r="E103" s="690"/>
      <c r="F103" s="698">
        <v>700</v>
      </c>
      <c r="G103" s="1156">
        <v>0</v>
      </c>
      <c r="H103" s="1156">
        <v>33326.122022327087</v>
      </c>
      <c r="I103" s="1156">
        <v>18081.953095249955</v>
      </c>
      <c r="J103" s="1156">
        <v>0</v>
      </c>
      <c r="K103" s="830">
        <f t="shared" ref="K103:K107" si="10">(H103+I103)-J103</f>
        <v>51408.075117577042</v>
      </c>
    </row>
    <row r="104" spans="1:11" ht="18" customHeight="1" x14ac:dyDescent="0.3">
      <c r="A104" s="740" t="s">
        <v>128</v>
      </c>
      <c r="B104" s="1157"/>
      <c r="C104" s="1153"/>
      <c r="D104" s="1153"/>
      <c r="E104" s="690"/>
      <c r="F104" s="1175"/>
      <c r="G104" s="1156"/>
      <c r="H104" s="1150"/>
      <c r="I104" s="1150"/>
      <c r="J104" s="1150"/>
      <c r="K104" s="830">
        <f t="shared" si="10"/>
        <v>0</v>
      </c>
    </row>
    <row r="105" spans="1:11" ht="18" customHeight="1" x14ac:dyDescent="0.3">
      <c r="A105" s="691" t="s">
        <v>127</v>
      </c>
      <c r="B105" s="1157"/>
      <c r="C105" s="1153"/>
      <c r="D105" s="1153"/>
      <c r="E105" s="740"/>
      <c r="F105" s="1156"/>
      <c r="G105" s="1156"/>
      <c r="H105" s="1150"/>
      <c r="I105" s="1150"/>
      <c r="J105" s="1150"/>
      <c r="K105" s="830">
        <f t="shared" si="10"/>
        <v>0</v>
      </c>
    </row>
    <row r="106" spans="1:11" ht="18" customHeight="1" x14ac:dyDescent="0.3">
      <c r="A106" s="741" t="s">
        <v>129</v>
      </c>
      <c r="B106" s="1159"/>
      <c r="C106" s="1153"/>
      <c r="D106" s="1153"/>
      <c r="E106" s="740"/>
      <c r="F106" s="698"/>
      <c r="G106" s="1156"/>
      <c r="H106" s="1150"/>
      <c r="I106" s="1150"/>
      <c r="J106" s="1150"/>
      <c r="K106" s="830">
        <f t="shared" si="10"/>
        <v>0</v>
      </c>
    </row>
    <row r="107" spans="1:11" ht="18" customHeight="1" x14ac:dyDescent="0.3">
      <c r="A107" s="741"/>
      <c r="B107" s="690"/>
      <c r="C107" s="740"/>
      <c r="D107" s="740"/>
      <c r="E107" s="740"/>
      <c r="F107" s="740"/>
      <c r="G107" s="740"/>
      <c r="H107" s="1150"/>
      <c r="I107" s="1150"/>
      <c r="J107" s="1150"/>
      <c r="K107" s="830">
        <f t="shared" si="10"/>
        <v>0</v>
      </c>
    </row>
    <row r="108" spans="1:11" ht="18" customHeight="1" x14ac:dyDescent="0.3">
      <c r="A108" s="741" t="s">
        <v>153</v>
      </c>
      <c r="B108" s="690" t="s">
        <v>154</v>
      </c>
      <c r="C108" s="740"/>
      <c r="D108" s="740"/>
      <c r="E108" s="740" t="s">
        <v>7</v>
      </c>
      <c r="F108" s="1156">
        <f>SUM(F102:F107)</f>
        <v>1200</v>
      </c>
      <c r="G108" s="1156">
        <f t="shared" ref="G108:K108" si="11">SUM(G102:G107)</f>
        <v>0</v>
      </c>
      <c r="H108" s="1156">
        <f t="shared" si="11"/>
        <v>54655.494895417869</v>
      </c>
      <c r="I108" s="1156">
        <f t="shared" si="11"/>
        <v>29654.758343455469</v>
      </c>
      <c r="J108" s="1156">
        <f t="shared" si="11"/>
        <v>0</v>
      </c>
      <c r="K108" s="1156">
        <f t="shared" si="11"/>
        <v>84310.253238873338</v>
      </c>
    </row>
    <row r="109" spans="1:11" ht="18" customHeight="1" x14ac:dyDescent="0.3">
      <c r="A109" s="741"/>
      <c r="B109" s="689"/>
      <c r="C109" s="740"/>
      <c r="D109" s="740"/>
      <c r="E109" s="740"/>
      <c r="F109" s="460"/>
      <c r="G109" s="740"/>
      <c r="H109" s="1150"/>
      <c r="I109" s="1150"/>
      <c r="J109" s="1150"/>
      <c r="K109" s="740"/>
    </row>
    <row r="110" spans="1:11" ht="18" customHeight="1" x14ac:dyDescent="0.3">
      <c r="A110" s="741" t="s">
        <v>156</v>
      </c>
      <c r="B110" s="740" t="s">
        <v>39</v>
      </c>
      <c r="C110" s="740"/>
      <c r="D110" s="740"/>
      <c r="E110" s="740"/>
      <c r="F110" s="460"/>
      <c r="G110" s="740"/>
      <c r="H110" s="1150"/>
      <c r="I110" s="1150"/>
      <c r="J110" s="1150"/>
      <c r="K110" s="740"/>
    </row>
    <row r="111" spans="1:11" ht="18" customHeight="1" x14ac:dyDescent="0.3">
      <c r="A111" s="741" t="s">
        <v>155</v>
      </c>
      <c r="B111" s="690" t="s">
        <v>164</v>
      </c>
      <c r="C111" s="740"/>
      <c r="D111" s="740"/>
      <c r="E111" s="740" t="s">
        <v>7</v>
      </c>
      <c r="F111" s="466">
        <v>2786102</v>
      </c>
      <c r="G111" s="1176"/>
      <c r="H111" s="1150"/>
      <c r="I111" s="1177"/>
      <c r="J111" s="1178"/>
      <c r="K111" s="740"/>
    </row>
    <row r="112" spans="1:11" ht="18" customHeight="1" x14ac:dyDescent="0.3">
      <c r="A112" s="741"/>
      <c r="B112" s="690"/>
      <c r="C112" s="740"/>
      <c r="D112" s="740"/>
      <c r="E112" s="740"/>
      <c r="F112" s="740"/>
      <c r="G112" s="740"/>
      <c r="H112" s="1150"/>
      <c r="I112" s="1150"/>
      <c r="J112" s="1150"/>
      <c r="K112" s="740"/>
    </row>
    <row r="113" spans="1:11" ht="17.5" customHeight="1" x14ac:dyDescent="0.3">
      <c r="A113" s="741"/>
      <c r="B113" s="690" t="s">
        <v>15</v>
      </c>
      <c r="C113" s="740"/>
      <c r="D113" s="740"/>
      <c r="E113" s="740"/>
      <c r="F113" s="460"/>
      <c r="G113" s="740"/>
      <c r="H113" s="1150"/>
      <c r="I113" s="1150"/>
      <c r="J113" s="1150"/>
      <c r="K113" s="740"/>
    </row>
    <row r="114" spans="1:11" ht="18" customHeight="1" x14ac:dyDescent="0.3">
      <c r="A114" s="741" t="s">
        <v>171</v>
      </c>
      <c r="B114" s="740" t="s">
        <v>35</v>
      </c>
      <c r="C114" s="740"/>
      <c r="D114" s="740"/>
      <c r="E114" s="740"/>
      <c r="F114" s="1179">
        <v>0.54257597338015551</v>
      </c>
      <c r="G114" s="740"/>
      <c r="H114" s="1150"/>
      <c r="I114" s="1150"/>
      <c r="J114" s="1150"/>
      <c r="K114" s="740"/>
    </row>
    <row r="115" spans="1:11" ht="18" customHeight="1" x14ac:dyDescent="0.3">
      <c r="A115" s="741"/>
      <c r="B115" s="690"/>
      <c r="C115" s="740"/>
      <c r="D115" s="740"/>
      <c r="E115" s="740"/>
      <c r="F115" s="460"/>
      <c r="G115" s="740"/>
      <c r="H115" s="1150"/>
      <c r="I115" s="1150"/>
      <c r="J115" s="1150"/>
      <c r="K115" s="740"/>
    </row>
    <row r="116" spans="1:11" ht="18" customHeight="1" x14ac:dyDescent="0.3">
      <c r="A116" s="741" t="s">
        <v>170</v>
      </c>
      <c r="B116" s="740" t="s">
        <v>16</v>
      </c>
      <c r="C116" s="740"/>
      <c r="D116" s="740"/>
      <c r="E116" s="740"/>
      <c r="F116" s="740"/>
      <c r="G116" s="740"/>
      <c r="H116" s="1150"/>
      <c r="I116" s="1150"/>
      <c r="J116" s="1150"/>
      <c r="K116" s="740"/>
    </row>
    <row r="117" spans="1:11" ht="18" customHeight="1" x14ac:dyDescent="0.3">
      <c r="A117" s="741" t="s">
        <v>172</v>
      </c>
      <c r="B117" s="690" t="s">
        <v>17</v>
      </c>
      <c r="C117" s="740"/>
      <c r="D117" s="740"/>
      <c r="E117" s="740"/>
      <c r="F117" s="1180">
        <v>197851000</v>
      </c>
      <c r="G117" s="740"/>
      <c r="H117" s="1150"/>
      <c r="I117" s="1150"/>
      <c r="J117" s="1150"/>
      <c r="K117" s="740"/>
    </row>
    <row r="118" spans="1:11" ht="18" customHeight="1" x14ac:dyDescent="0.3">
      <c r="A118" s="741" t="s">
        <v>173</v>
      </c>
      <c r="B118" s="740" t="s">
        <v>18</v>
      </c>
      <c r="C118" s="740"/>
      <c r="D118" s="740"/>
      <c r="E118" s="740"/>
      <c r="F118" s="467">
        <v>4241000</v>
      </c>
      <c r="G118" s="740"/>
      <c r="H118" s="1150"/>
      <c r="I118" s="1150"/>
      <c r="J118" s="1150"/>
      <c r="K118" s="740"/>
    </row>
    <row r="119" spans="1:11" ht="18" customHeight="1" x14ac:dyDescent="0.3">
      <c r="A119" s="741" t="s">
        <v>174</v>
      </c>
      <c r="B119" s="690" t="s">
        <v>19</v>
      </c>
      <c r="C119" s="740"/>
      <c r="D119" s="740"/>
      <c r="E119" s="740"/>
      <c r="F119" s="465">
        <v>202092000</v>
      </c>
      <c r="G119" s="740"/>
      <c r="H119" s="1150"/>
      <c r="I119" s="1150"/>
      <c r="J119" s="1150"/>
      <c r="K119" s="740"/>
    </row>
    <row r="120" spans="1:11" ht="18" customHeight="1" x14ac:dyDescent="0.3">
      <c r="A120" s="741"/>
      <c r="B120" s="740"/>
      <c r="C120" s="740"/>
      <c r="D120" s="740"/>
      <c r="E120" s="740"/>
      <c r="F120" s="467"/>
      <c r="G120" s="740"/>
      <c r="H120" s="1150"/>
      <c r="I120" s="1150"/>
      <c r="J120" s="1150"/>
      <c r="K120" s="740"/>
    </row>
    <row r="121" spans="1:11" ht="18" customHeight="1" x14ac:dyDescent="0.3">
      <c r="A121" s="740" t="s">
        <v>167</v>
      </c>
      <c r="B121" s="740" t="s">
        <v>36</v>
      </c>
      <c r="C121" s="740"/>
      <c r="D121" s="740"/>
      <c r="E121" s="740"/>
      <c r="F121" s="1181">
        <v>190646000</v>
      </c>
      <c r="G121" s="693"/>
      <c r="H121" s="448"/>
      <c r="I121" s="448"/>
      <c r="J121" s="448"/>
      <c r="K121" s="693"/>
    </row>
    <row r="122" spans="1:11" ht="18" customHeight="1" x14ac:dyDescent="0.3">
      <c r="A122" s="691"/>
      <c r="B122" s="690"/>
      <c r="C122" s="740"/>
      <c r="D122" s="740"/>
      <c r="E122" s="740"/>
      <c r="F122" s="467"/>
      <c r="G122" s="740"/>
      <c r="H122" s="1150"/>
      <c r="I122" s="1150"/>
      <c r="J122" s="1150"/>
      <c r="K122" s="740"/>
    </row>
    <row r="123" spans="1:11" ht="18.649999999999999" customHeight="1" x14ac:dyDescent="0.3">
      <c r="A123" s="741" t="s">
        <v>175</v>
      </c>
      <c r="B123" s="740" t="s">
        <v>20</v>
      </c>
      <c r="C123" s="740"/>
      <c r="D123" s="740"/>
      <c r="E123" s="740"/>
      <c r="F123" s="465">
        <v>11446000</v>
      </c>
      <c r="G123" s="460"/>
      <c r="H123" s="449"/>
      <c r="I123" s="450"/>
      <c r="J123" s="449"/>
      <c r="K123" s="1161"/>
    </row>
    <row r="124" spans="1:11" ht="18" customHeight="1" x14ac:dyDescent="0.3">
      <c r="A124" s="741"/>
      <c r="B124" s="740"/>
      <c r="C124" s="740"/>
      <c r="D124" s="740"/>
      <c r="E124" s="740"/>
      <c r="F124" s="460"/>
      <c r="G124" s="460"/>
      <c r="H124" s="449"/>
      <c r="I124" s="450"/>
      <c r="J124" s="449"/>
      <c r="K124" s="1161"/>
    </row>
    <row r="125" spans="1:11" ht="18" customHeight="1" x14ac:dyDescent="0.3">
      <c r="A125" s="741" t="s">
        <v>176</v>
      </c>
      <c r="B125" s="1567" t="s">
        <v>21</v>
      </c>
      <c r="C125" s="1568"/>
      <c r="D125" s="1569"/>
      <c r="E125" s="740"/>
      <c r="F125" s="465">
        <v>8226000</v>
      </c>
      <c r="G125" s="460"/>
      <c r="H125" s="449"/>
      <c r="I125" s="450"/>
      <c r="J125" s="449"/>
      <c r="K125" s="1161"/>
    </row>
    <row r="126" spans="1:11" ht="18" customHeight="1" x14ac:dyDescent="0.3">
      <c r="A126" s="741"/>
      <c r="B126" s="1564"/>
      <c r="C126" s="1565"/>
      <c r="D126" s="1566"/>
      <c r="E126" s="740"/>
      <c r="F126" s="465"/>
      <c r="G126" s="460"/>
      <c r="H126" s="449"/>
      <c r="I126" s="450"/>
      <c r="J126" s="449"/>
      <c r="K126" s="1161"/>
    </row>
    <row r="127" spans="1:11" ht="18" customHeight="1" x14ac:dyDescent="0.3">
      <c r="A127" s="741" t="s">
        <v>177</v>
      </c>
      <c r="B127" s="1564" t="s">
        <v>22</v>
      </c>
      <c r="C127" s="1565"/>
      <c r="D127" s="1566"/>
      <c r="E127" s="740"/>
      <c r="F127" s="465">
        <v>19672000</v>
      </c>
      <c r="G127" s="460"/>
      <c r="H127" s="449"/>
      <c r="I127" s="450"/>
      <c r="J127" s="449"/>
      <c r="K127" s="1161"/>
    </row>
    <row r="128" spans="1:11" ht="18" customHeight="1" x14ac:dyDescent="0.3">
      <c r="A128" s="691"/>
      <c r="B128" s="740"/>
      <c r="C128" s="740"/>
      <c r="D128" s="740"/>
      <c r="E128" s="740"/>
      <c r="F128" s="740"/>
      <c r="G128" s="740"/>
      <c r="H128" s="1150"/>
      <c r="I128" s="1150"/>
      <c r="J128" s="1150"/>
      <c r="K128" s="740"/>
    </row>
    <row r="129" spans="1:13" s="1210" customFormat="1" ht="18" customHeight="1" x14ac:dyDescent="0.3">
      <c r="A129" s="754"/>
      <c r="B129" s="755"/>
      <c r="C129" s="755"/>
      <c r="D129" s="755"/>
      <c r="E129" s="755"/>
      <c r="F129" s="1208" t="s">
        <v>9</v>
      </c>
      <c r="G129" s="1208" t="s">
        <v>37</v>
      </c>
      <c r="H129" s="1209" t="s">
        <v>29</v>
      </c>
      <c r="I129" s="1209" t="s">
        <v>30</v>
      </c>
      <c r="J129" s="1209" t="s">
        <v>33</v>
      </c>
      <c r="K129" s="1208" t="s">
        <v>34</v>
      </c>
    </row>
    <row r="130" spans="1:13" ht="18" customHeight="1" x14ac:dyDescent="0.25">
      <c r="A130" s="740" t="s">
        <v>157</v>
      </c>
      <c r="B130" s="740" t="s">
        <v>23</v>
      </c>
      <c r="C130" s="740"/>
      <c r="D130" s="740"/>
      <c r="E130" s="740"/>
      <c r="F130" s="740"/>
      <c r="G130" s="740"/>
      <c r="H130" s="1150"/>
      <c r="I130" s="1150"/>
      <c r="J130" s="1150"/>
      <c r="K130" s="740"/>
    </row>
    <row r="131" spans="1:13" ht="18" customHeight="1" x14ac:dyDescent="0.3">
      <c r="A131" s="740" t="s">
        <v>158</v>
      </c>
      <c r="B131" s="740" t="s">
        <v>24</v>
      </c>
      <c r="C131" s="740"/>
      <c r="D131" s="740"/>
      <c r="E131" s="740"/>
      <c r="F131" s="1211"/>
      <c r="G131" s="1211"/>
      <c r="H131" s="1212">
        <v>68188</v>
      </c>
      <c r="I131" s="1212">
        <v>0</v>
      </c>
      <c r="J131" s="1212">
        <v>14407</v>
      </c>
      <c r="K131" s="1213">
        <f>(H131+I131)-J131</f>
        <v>53781</v>
      </c>
    </row>
    <row r="132" spans="1:13" ht="18" customHeight="1" x14ac:dyDescent="0.3">
      <c r="A132" s="691" t="s">
        <v>159</v>
      </c>
      <c r="B132" s="690" t="s">
        <v>25</v>
      </c>
      <c r="C132" s="740"/>
      <c r="D132" s="740"/>
      <c r="E132" s="740"/>
      <c r="F132" s="1186"/>
      <c r="G132" s="1186"/>
      <c r="H132" s="1214">
        <v>194848</v>
      </c>
      <c r="I132" s="1214">
        <v>0</v>
      </c>
      <c r="J132" s="1214">
        <v>0</v>
      </c>
      <c r="K132" s="1213">
        <f t="shared" ref="K132:K135" si="12">(H132+I132)-J132</f>
        <v>194848</v>
      </c>
    </row>
    <row r="133" spans="1:13" ht="18" customHeight="1" x14ac:dyDescent="0.3">
      <c r="A133" s="741" t="s">
        <v>160</v>
      </c>
      <c r="B133" s="1157"/>
      <c r="C133" s="1153"/>
      <c r="D133" s="1153"/>
      <c r="E133" s="740"/>
      <c r="F133" s="711"/>
      <c r="G133" s="711"/>
      <c r="H133" s="468">
        <v>0</v>
      </c>
      <c r="I133" s="468"/>
      <c r="J133" s="468">
        <v>0</v>
      </c>
      <c r="K133" s="1213">
        <f t="shared" si="12"/>
        <v>0</v>
      </c>
    </row>
    <row r="134" spans="1:13" ht="18" customHeight="1" x14ac:dyDescent="0.3">
      <c r="A134" s="741" t="s">
        <v>161</v>
      </c>
      <c r="B134" s="1157"/>
      <c r="C134" s="1153"/>
      <c r="D134" s="1153"/>
      <c r="E134" s="740"/>
      <c r="F134" s="711"/>
      <c r="G134" s="711"/>
      <c r="H134" s="468"/>
      <c r="I134" s="468"/>
      <c r="J134" s="468"/>
      <c r="K134" s="1213">
        <f t="shared" si="12"/>
        <v>0</v>
      </c>
    </row>
    <row r="135" spans="1:13" ht="18" customHeight="1" x14ac:dyDescent="0.3">
      <c r="A135" s="741"/>
      <c r="B135" s="690"/>
      <c r="C135" s="740"/>
      <c r="D135" s="740"/>
      <c r="E135" s="740"/>
      <c r="F135" s="1182"/>
      <c r="G135" s="1182"/>
      <c r="H135" s="468"/>
      <c r="I135" s="468"/>
      <c r="J135" s="468"/>
      <c r="K135" s="1213">
        <f t="shared" si="12"/>
        <v>0</v>
      </c>
    </row>
    <row r="136" spans="1:13" ht="18" customHeight="1" x14ac:dyDescent="0.3">
      <c r="A136" s="741" t="s">
        <v>163</v>
      </c>
      <c r="B136" s="690" t="s">
        <v>27</v>
      </c>
      <c r="C136" s="740"/>
      <c r="D136" s="740"/>
      <c r="E136" s="740"/>
      <c r="F136" s="711">
        <f>SUM(F131:F135)</f>
        <v>0</v>
      </c>
      <c r="G136" s="711">
        <f t="shared" ref="G136:J136" si="13">SUM(G131:G135)</f>
        <v>0</v>
      </c>
      <c r="H136" s="711">
        <f t="shared" si="13"/>
        <v>263036</v>
      </c>
      <c r="I136" s="711">
        <f t="shared" si="13"/>
        <v>0</v>
      </c>
      <c r="J136" s="711">
        <f t="shared" si="13"/>
        <v>14407</v>
      </c>
      <c r="K136" s="711">
        <f>SUM(K131:K135)</f>
        <v>248629</v>
      </c>
    </row>
    <row r="137" spans="1:13" ht="18" customHeight="1" x14ac:dyDescent="0.3">
      <c r="A137" s="741"/>
      <c r="B137" s="690"/>
      <c r="C137" s="740"/>
      <c r="D137" s="740"/>
      <c r="E137" s="740"/>
      <c r="F137" s="1182"/>
      <c r="G137" s="1182"/>
      <c r="H137" s="468"/>
      <c r="I137" s="468"/>
      <c r="J137" s="468"/>
      <c r="K137" s="1182"/>
    </row>
    <row r="138" spans="1:13" s="1210" customFormat="1" ht="18" customHeight="1" x14ac:dyDescent="0.3">
      <c r="A138" s="1215"/>
      <c r="B138" s="755"/>
      <c r="C138" s="755"/>
      <c r="D138" s="755"/>
      <c r="E138" s="755"/>
      <c r="F138" s="1208" t="s">
        <v>9</v>
      </c>
      <c r="G138" s="1208" t="s">
        <v>37</v>
      </c>
      <c r="H138" s="1209" t="s">
        <v>29</v>
      </c>
      <c r="I138" s="1209" t="s">
        <v>30</v>
      </c>
      <c r="J138" s="1209" t="s">
        <v>33</v>
      </c>
      <c r="K138" s="1208" t="s">
        <v>34</v>
      </c>
    </row>
    <row r="139" spans="1:13" s="1193" customFormat="1" ht="18" customHeight="1" x14ac:dyDescent="0.3">
      <c r="A139" s="1188" t="s">
        <v>166</v>
      </c>
      <c r="B139" s="1189" t="s">
        <v>26</v>
      </c>
      <c r="C139" s="1190"/>
      <c r="D139" s="1190"/>
      <c r="E139" s="1190"/>
      <c r="F139" s="1191"/>
      <c r="G139" s="1191"/>
      <c r="H139" s="1192"/>
      <c r="I139" s="1192"/>
      <c r="J139" s="1192"/>
      <c r="K139" s="1191"/>
    </row>
    <row r="140" spans="1:13" ht="16.149999999999999" customHeight="1" x14ac:dyDescent="0.3">
      <c r="A140" s="741" t="s">
        <v>137</v>
      </c>
      <c r="B140" s="690" t="s">
        <v>64</v>
      </c>
      <c r="C140" s="740"/>
      <c r="D140" s="740"/>
      <c r="E140" s="740"/>
      <c r="F140" s="702">
        <f t="shared" ref="F140:K140" si="14">F36</f>
        <v>5340</v>
      </c>
      <c r="G140" s="702">
        <f t="shared" si="14"/>
        <v>7155</v>
      </c>
      <c r="H140" s="452">
        <f t="shared" si="14"/>
        <v>301611.11335503223</v>
      </c>
      <c r="I140" s="452">
        <f t="shared" si="14"/>
        <v>140674.27669796324</v>
      </c>
      <c r="J140" s="452">
        <f t="shared" si="14"/>
        <v>1510</v>
      </c>
      <c r="K140" s="702">
        <f t="shared" si="14"/>
        <v>440775.39005299541</v>
      </c>
      <c r="L140" s="1143"/>
    </row>
    <row r="141" spans="1:13" ht="18" customHeight="1" x14ac:dyDescent="0.3">
      <c r="A141" s="741" t="s">
        <v>142</v>
      </c>
      <c r="B141" s="690" t="s">
        <v>65</v>
      </c>
      <c r="C141" s="740"/>
      <c r="D141" s="740"/>
      <c r="E141" s="740"/>
      <c r="F141" s="1186">
        <f t="shared" ref="F141:K141" si="15">F49</f>
        <v>17880</v>
      </c>
      <c r="G141" s="1186">
        <f t="shared" si="15"/>
        <v>65</v>
      </c>
      <c r="H141" s="1185">
        <f t="shared" si="15"/>
        <v>1210831.7491492364</v>
      </c>
      <c r="I141" s="1185">
        <f t="shared" si="15"/>
        <v>150129.12209928219</v>
      </c>
      <c r="J141" s="1185">
        <f t="shared" si="15"/>
        <v>0</v>
      </c>
      <c r="K141" s="702">
        <f t="shared" si="15"/>
        <v>1360960.8712485186</v>
      </c>
      <c r="L141" s="1143"/>
    </row>
    <row r="142" spans="1:13" ht="18" customHeight="1" x14ac:dyDescent="0.3">
      <c r="A142" s="740" t="s">
        <v>144</v>
      </c>
      <c r="B142" s="690" t="s">
        <v>66</v>
      </c>
      <c r="C142" s="740"/>
      <c r="D142" s="740"/>
      <c r="E142" s="740"/>
      <c r="F142" s="1186">
        <f t="shared" ref="F142:K142" si="16">F64</f>
        <v>356759.00065380841</v>
      </c>
      <c r="G142" s="1186">
        <f t="shared" si="16"/>
        <v>55443</v>
      </c>
      <c r="H142" s="1185">
        <f t="shared" si="16"/>
        <v>18633945.401982076</v>
      </c>
      <c r="I142" s="1185">
        <f t="shared" si="16"/>
        <v>1161419.7092386927</v>
      </c>
      <c r="J142" s="1185">
        <f t="shared" si="16"/>
        <v>0</v>
      </c>
      <c r="K142" s="700">
        <f t="shared" si="16"/>
        <v>19795365.11122077</v>
      </c>
      <c r="L142" s="1143"/>
      <c r="M142" s="1143"/>
    </row>
    <row r="143" spans="1:13" ht="18" customHeight="1" x14ac:dyDescent="0.3">
      <c r="A143" s="691" t="s">
        <v>146</v>
      </c>
      <c r="B143" s="690" t="s">
        <v>67</v>
      </c>
      <c r="C143" s="740"/>
      <c r="D143" s="740"/>
      <c r="E143" s="740"/>
      <c r="F143" s="1186">
        <v>0</v>
      </c>
      <c r="G143" s="1186">
        <v>0</v>
      </c>
      <c r="H143" s="1185">
        <v>0</v>
      </c>
      <c r="I143" s="1185">
        <v>0</v>
      </c>
      <c r="J143" s="1185">
        <v>0</v>
      </c>
      <c r="K143" s="702">
        <f t="shared" ref="K143" si="17">(H143+I143)-J143</f>
        <v>0</v>
      </c>
      <c r="L143" s="1143"/>
    </row>
    <row r="144" spans="1:13" ht="18" customHeight="1" x14ac:dyDescent="0.3">
      <c r="A144" s="633" t="s">
        <v>148</v>
      </c>
      <c r="B144" s="733" t="s">
        <v>68</v>
      </c>
      <c r="C144" s="742"/>
      <c r="D144" s="742"/>
      <c r="E144" s="742"/>
      <c r="F144" s="1194">
        <f>F82</f>
        <v>156</v>
      </c>
      <c r="G144" s="1194">
        <f>G79</f>
        <v>2500</v>
      </c>
      <c r="H144" s="1195">
        <f>H82</f>
        <v>303829.76433640433</v>
      </c>
      <c r="I144" s="1195">
        <f>I82</f>
        <v>164850.73012668785</v>
      </c>
      <c r="J144" s="1195">
        <v>0</v>
      </c>
      <c r="K144" s="702">
        <f>K82</f>
        <v>468680.49446309218</v>
      </c>
      <c r="L144" s="1143"/>
    </row>
    <row r="145" spans="1:12" ht="18" customHeight="1" x14ac:dyDescent="0.3">
      <c r="A145" s="691" t="s">
        <v>150</v>
      </c>
      <c r="B145" s="690" t="s">
        <v>69</v>
      </c>
      <c r="C145" s="740"/>
      <c r="D145" s="740"/>
      <c r="E145" s="740"/>
      <c r="F145" s="1187">
        <f t="shared" ref="F145:K145" si="18">F97</f>
        <v>10613</v>
      </c>
      <c r="G145" s="1186">
        <f t="shared" si="18"/>
        <v>992</v>
      </c>
      <c r="H145" s="1195">
        <f t="shared" si="18"/>
        <v>458136.26860422484</v>
      </c>
      <c r="I145" s="1195">
        <f t="shared" si="18"/>
        <v>248573.73187868966</v>
      </c>
      <c r="J145" s="1195">
        <f t="shared" si="18"/>
        <v>0</v>
      </c>
      <c r="K145" s="702">
        <f t="shared" si="18"/>
        <v>706710.0004829145</v>
      </c>
      <c r="L145" s="1143"/>
    </row>
    <row r="146" spans="1:12" ht="18" customHeight="1" x14ac:dyDescent="0.3">
      <c r="A146" s="691" t="s">
        <v>153</v>
      </c>
      <c r="B146" s="690" t="s">
        <v>61</v>
      </c>
      <c r="C146" s="740"/>
      <c r="D146" s="740"/>
      <c r="E146" s="740"/>
      <c r="F146" s="1187">
        <f t="shared" ref="F146:K146" si="19">F108</f>
        <v>1200</v>
      </c>
      <c r="G146" s="1196">
        <f t="shared" si="19"/>
        <v>0</v>
      </c>
      <c r="H146" s="1197">
        <f t="shared" si="19"/>
        <v>54655.494895417869</v>
      </c>
      <c r="I146" s="1197">
        <f t="shared" si="19"/>
        <v>29654.758343455469</v>
      </c>
      <c r="J146" s="1197">
        <f t="shared" si="19"/>
        <v>0</v>
      </c>
      <c r="K146" s="702">
        <f t="shared" si="19"/>
        <v>84310.253238873338</v>
      </c>
      <c r="L146" s="1143"/>
    </row>
    <row r="147" spans="1:12" ht="18" customHeight="1" x14ac:dyDescent="0.25">
      <c r="A147" s="633" t="s">
        <v>155</v>
      </c>
      <c r="B147" s="742" t="s">
        <v>70</v>
      </c>
      <c r="C147" s="742"/>
      <c r="D147" s="742"/>
      <c r="E147" s="742"/>
      <c r="F147" s="1198"/>
      <c r="G147" s="1198"/>
      <c r="H147" s="1199"/>
      <c r="I147" s="1199"/>
      <c r="J147" s="1199"/>
      <c r="K147" s="1200">
        <f>F111</f>
        <v>2786102</v>
      </c>
      <c r="L147" s="1143"/>
    </row>
    <row r="148" spans="1:12" ht="18" customHeight="1" x14ac:dyDescent="0.25">
      <c r="A148" s="633" t="s">
        <v>163</v>
      </c>
      <c r="B148" s="742" t="s">
        <v>71</v>
      </c>
      <c r="C148" s="742"/>
      <c r="D148" s="742"/>
      <c r="E148" s="742"/>
      <c r="F148" s="1198">
        <f t="shared" ref="F148:K148" si="20">F136</f>
        <v>0</v>
      </c>
      <c r="G148" s="1198">
        <f t="shared" si="20"/>
        <v>0</v>
      </c>
      <c r="H148" s="1199">
        <f t="shared" si="20"/>
        <v>263036</v>
      </c>
      <c r="I148" s="1199">
        <f t="shared" si="20"/>
        <v>0</v>
      </c>
      <c r="J148" s="1199">
        <f t="shared" si="20"/>
        <v>14407</v>
      </c>
      <c r="K148" s="1198">
        <f t="shared" si="20"/>
        <v>248629</v>
      </c>
      <c r="L148" s="1143"/>
    </row>
    <row r="149" spans="1:12" ht="18" customHeight="1" x14ac:dyDescent="0.25">
      <c r="A149" s="633" t="s">
        <v>185</v>
      </c>
      <c r="B149" s="742" t="s">
        <v>186</v>
      </c>
      <c r="C149" s="742"/>
      <c r="D149" s="742"/>
      <c r="E149" s="742"/>
      <c r="F149" s="1198"/>
      <c r="G149" s="1198"/>
      <c r="H149" s="1199">
        <f>H18</f>
        <v>4491062</v>
      </c>
      <c r="I149" s="1199">
        <v>0</v>
      </c>
      <c r="J149" s="1199">
        <f>J18</f>
        <v>3795833</v>
      </c>
      <c r="K149" s="1198">
        <f>K18</f>
        <v>695229</v>
      </c>
      <c r="L149" s="1143"/>
    </row>
    <row r="150" spans="1:12" ht="18" customHeight="1" x14ac:dyDescent="0.25">
      <c r="A150" s="633"/>
      <c r="B150" s="742"/>
      <c r="C150" s="742"/>
      <c r="D150" s="742"/>
      <c r="E150" s="742"/>
      <c r="F150" s="1201"/>
      <c r="G150" s="1201"/>
      <c r="H150" s="1199"/>
      <c r="I150" s="1199"/>
      <c r="J150" s="1199"/>
      <c r="K150" s="1201"/>
      <c r="L150" s="1143"/>
    </row>
    <row r="151" spans="1:12" ht="18" customHeight="1" x14ac:dyDescent="0.3">
      <c r="A151" s="639" t="s">
        <v>165</v>
      </c>
      <c r="B151" s="636" t="s">
        <v>26</v>
      </c>
      <c r="C151" s="742"/>
      <c r="D151" s="742"/>
      <c r="E151" s="742"/>
      <c r="F151" s="1198">
        <v>391948.00065380841</v>
      </c>
      <c r="G151" s="1198">
        <v>66155</v>
      </c>
      <c r="H151" s="1199">
        <f>SUM(H140:H150)</f>
        <v>25717107.792322394</v>
      </c>
      <c r="I151" s="1199">
        <f t="shared" ref="I151:K151" si="21">SUM(I140:I150)</f>
        <v>1895302.328384771</v>
      </c>
      <c r="J151" s="1199">
        <f t="shared" si="21"/>
        <v>3811750</v>
      </c>
      <c r="K151" s="1199">
        <f t="shared" si="21"/>
        <v>26586762.120707162</v>
      </c>
      <c r="L151" s="1143"/>
    </row>
    <row r="152" spans="1:12" ht="18" customHeight="1" x14ac:dyDescent="0.25">
      <c r="A152" s="633"/>
      <c r="B152" s="742"/>
      <c r="C152" s="742"/>
      <c r="D152" s="742"/>
      <c r="E152" s="742"/>
      <c r="F152" s="742"/>
      <c r="G152" s="742"/>
      <c r="K152" s="121"/>
    </row>
    <row r="153" spans="1:12" ht="18" customHeight="1" x14ac:dyDescent="0.25">
      <c r="A153" s="633" t="s">
        <v>168</v>
      </c>
      <c r="B153" s="742" t="s">
        <v>28</v>
      </c>
      <c r="C153" s="742"/>
      <c r="D153" s="742"/>
      <c r="E153" s="742"/>
      <c r="F153" s="1202">
        <v>0.13945617595285062</v>
      </c>
      <c r="G153" s="742"/>
      <c r="K153" s="742"/>
    </row>
    <row r="154" spans="1:12" ht="18" customHeight="1" x14ac:dyDescent="0.25">
      <c r="A154" s="633" t="s">
        <v>169</v>
      </c>
      <c r="B154" s="742" t="s">
        <v>72</v>
      </c>
      <c r="C154" s="742"/>
      <c r="D154" s="742"/>
      <c r="E154" s="742"/>
      <c r="F154" s="1202">
        <v>1.3515027511542883</v>
      </c>
      <c r="G154" s="742"/>
      <c r="K154" s="742"/>
    </row>
    <row r="155" spans="1:12" ht="18" customHeight="1" x14ac:dyDescent="0.25">
      <c r="A155" s="633"/>
      <c r="B155" s="742"/>
      <c r="C155" s="742"/>
      <c r="D155" s="742"/>
      <c r="E155" s="742"/>
      <c r="F155" s="742"/>
      <c r="G155" s="742"/>
      <c r="K155" s="742"/>
    </row>
    <row r="156" spans="1:12" ht="18" customHeight="1" x14ac:dyDescent="0.3">
      <c r="A156" s="633"/>
      <c r="B156" s="1136" t="s">
        <v>432</v>
      </c>
      <c r="C156" s="742"/>
      <c r="D156" s="742"/>
      <c r="E156" s="742"/>
      <c r="F156" s="742" t="s">
        <v>9</v>
      </c>
      <c r="G156" s="742" t="s">
        <v>37</v>
      </c>
      <c r="H156" s="121" t="s">
        <v>29</v>
      </c>
      <c r="I156" s="121" t="s">
        <v>30</v>
      </c>
      <c r="J156" s="121" t="s">
        <v>33</v>
      </c>
      <c r="K156" s="742" t="s">
        <v>34</v>
      </c>
    </row>
    <row r="157" spans="1:12" ht="18" customHeight="1" x14ac:dyDescent="0.25">
      <c r="A157" s="633"/>
      <c r="B157" s="742" t="s">
        <v>26</v>
      </c>
      <c r="C157" s="742"/>
      <c r="D157" s="742"/>
      <c r="E157" s="742"/>
      <c r="F157" s="1203">
        <v>391948.00065380841</v>
      </c>
      <c r="G157" s="1203">
        <v>66155</v>
      </c>
      <c r="H157" s="1204">
        <v>24626703.792322394</v>
      </c>
      <c r="I157" s="1204">
        <v>1895302.328384771</v>
      </c>
      <c r="J157" s="1204">
        <v>3811750</v>
      </c>
      <c r="K157" s="1203">
        <v>26586762.120707162</v>
      </c>
    </row>
    <row r="158" spans="1:12" ht="18" customHeight="1" x14ac:dyDescent="0.25">
      <c r="A158" s="633"/>
      <c r="B158" s="742" t="s">
        <v>433</v>
      </c>
      <c r="C158" s="742"/>
      <c r="D158" s="742"/>
      <c r="E158" s="742"/>
      <c r="F158" s="1201"/>
      <c r="G158" s="1201"/>
      <c r="H158" s="1199"/>
      <c r="I158" s="1199"/>
      <c r="J158" s="1199"/>
      <c r="K158" s="1201"/>
    </row>
    <row r="159" spans="1:12" ht="18" customHeight="1" x14ac:dyDescent="0.25">
      <c r="A159" s="633"/>
      <c r="B159" s="742" t="s">
        <v>181</v>
      </c>
      <c r="C159" s="742"/>
      <c r="D159" s="742"/>
      <c r="E159" s="742"/>
      <c r="F159" s="1198"/>
      <c r="G159" s="1198"/>
      <c r="H159" s="1205">
        <v>4491062</v>
      </c>
      <c r="I159" s="1205">
        <v>0</v>
      </c>
      <c r="J159" s="1205">
        <v>3795833</v>
      </c>
      <c r="K159" s="1203">
        <v>695229</v>
      </c>
    </row>
    <row r="160" spans="1:12" ht="18" customHeight="1" x14ac:dyDescent="0.25">
      <c r="A160" s="633"/>
      <c r="B160" s="742" t="s">
        <v>164</v>
      </c>
      <c r="C160" s="742"/>
      <c r="D160" s="742"/>
      <c r="E160" s="742"/>
      <c r="F160" s="1203"/>
      <c r="G160" s="1201"/>
      <c r="H160" s="1199"/>
      <c r="I160" s="1199"/>
      <c r="J160" s="1199"/>
      <c r="K160" s="1206">
        <v>2786102</v>
      </c>
    </row>
    <row r="161" spans="1:11" ht="18" customHeight="1" x14ac:dyDescent="0.25">
      <c r="A161" s="633"/>
      <c r="B161" s="742"/>
      <c r="C161" s="742"/>
      <c r="D161" s="742"/>
      <c r="E161" s="742"/>
      <c r="F161" s="1201"/>
      <c r="G161" s="1201"/>
      <c r="H161" s="1199"/>
      <c r="I161" s="1199"/>
      <c r="J161" s="1199"/>
      <c r="K161" s="1201"/>
    </row>
    <row r="162" spans="1:11" ht="18" customHeight="1" x14ac:dyDescent="0.25">
      <c r="A162" s="633"/>
      <c r="B162" s="742" t="s">
        <v>434</v>
      </c>
      <c r="C162" s="742"/>
      <c r="D162" s="742"/>
      <c r="E162" s="742"/>
      <c r="F162" s="1198">
        <v>391948.00065380841</v>
      </c>
      <c r="G162" s="1198">
        <v>66155</v>
      </c>
      <c r="H162" s="1205">
        <v>20135641.792322394</v>
      </c>
      <c r="I162" s="1205">
        <v>1895302.328384771</v>
      </c>
      <c r="J162" s="1205">
        <v>15917</v>
      </c>
      <c r="K162" s="1198">
        <v>23105431.120707162</v>
      </c>
    </row>
    <row r="163" spans="1:11" ht="18" customHeight="1" x14ac:dyDescent="0.25">
      <c r="A163" s="633"/>
      <c r="B163" s="742"/>
      <c r="C163" s="742"/>
      <c r="D163" s="742"/>
      <c r="E163" s="742"/>
      <c r="F163" s="829"/>
      <c r="G163" s="829"/>
      <c r="H163" s="1183"/>
      <c r="I163" s="1183"/>
      <c r="J163" s="1183"/>
      <c r="K163" s="829"/>
    </row>
    <row r="164" spans="1:11" ht="18" customHeight="1" x14ac:dyDescent="0.25">
      <c r="A164" s="633"/>
      <c r="B164" s="742" t="s">
        <v>28</v>
      </c>
      <c r="C164" s="742"/>
      <c r="D164" s="742"/>
      <c r="E164" s="742"/>
      <c r="F164" s="742"/>
      <c r="G164" s="742"/>
      <c r="H164" s="1207">
        <v>0.10561796099746333</v>
      </c>
      <c r="I164" s="1207">
        <v>9.9414743995928107E-3</v>
      </c>
      <c r="J164" s="1207">
        <v>8.3489818826516167E-5</v>
      </c>
      <c r="K164" s="1202">
        <v>0.12119546762432551</v>
      </c>
    </row>
    <row r="165" spans="1:11" ht="18" customHeight="1" x14ac:dyDescent="0.25">
      <c r="A165" s="633"/>
      <c r="B165" s="742" t="s">
        <v>72</v>
      </c>
      <c r="C165" s="742"/>
      <c r="D165" s="742"/>
      <c r="E165" s="742"/>
      <c r="F165" s="742"/>
      <c r="G165" s="742"/>
      <c r="H165" s="1207">
        <v>1.0235686149004877</v>
      </c>
      <c r="I165" s="1207">
        <v>9.6345177327408049E-2</v>
      </c>
      <c r="J165" s="1207">
        <v>8.0911956079707194E-4</v>
      </c>
      <c r="K165" s="1202">
        <v>1.174533912195362</v>
      </c>
    </row>
  </sheetData>
  <sheetProtection sheet="1" objects="1" scenarios="1"/>
  <mergeCells count="21">
    <mergeCell ref="B126:D126"/>
    <mergeCell ref="B127:D127"/>
    <mergeCell ref="B88:D88"/>
    <mergeCell ref="B97:D97"/>
    <mergeCell ref="B125:D125"/>
    <mergeCell ref="B41:C41"/>
    <mergeCell ref="B87:D87"/>
    <mergeCell ref="B51:C51"/>
    <mergeCell ref="B52:D52"/>
    <mergeCell ref="B57:D57"/>
    <mergeCell ref="B58:D58"/>
    <mergeCell ref="B82:C82"/>
    <mergeCell ref="B86:D86"/>
    <mergeCell ref="C11:G11"/>
    <mergeCell ref="B13:H13"/>
    <mergeCell ref="B30:D30"/>
    <mergeCell ref="C5:G5"/>
    <mergeCell ref="C6:G6"/>
    <mergeCell ref="C7:G7"/>
    <mergeCell ref="C9:G9"/>
    <mergeCell ref="C10:G10"/>
  </mergeCells>
  <pageMargins left="0.75" right="0.75" top="1" bottom="1" header="0.5" footer="0.5"/>
  <pageSetup scale="59" fitToHeight="0" orientation="landscape" horizontalDpi="1200" verticalDpi="1200" r:id="rId1"/>
  <headerFooter alignWithMargins="0"/>
  <rowBreaks count="4" manualBreakCount="4">
    <brk id="37" max="16383" man="1"/>
    <brk id="67" max="16383" man="1"/>
    <brk id="112" max="16383" man="1"/>
    <brk id="13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K156"/>
  <sheetViews>
    <sheetView showGridLines="0" zoomScale="70" zoomScaleNormal="70" zoomScaleSheetLayoutView="100" zoomScalePageLayoutView="80" workbookViewId="0"/>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86" t="s">
        <v>638</v>
      </c>
      <c r="D5" s="1387"/>
      <c r="E5" s="1387"/>
      <c r="F5" s="1387"/>
      <c r="G5" s="1388"/>
      <c r="H5" s="742"/>
      <c r="I5" s="742"/>
      <c r="J5" s="742"/>
      <c r="K5" s="742"/>
    </row>
    <row r="6" spans="1:11" ht="18" customHeight="1" x14ac:dyDescent="0.3">
      <c r="A6" s="742"/>
      <c r="B6" s="733" t="s">
        <v>3</v>
      </c>
      <c r="C6" s="1365" t="s">
        <v>458</v>
      </c>
      <c r="D6" s="1366"/>
      <c r="E6" s="1366"/>
      <c r="F6" s="1366"/>
      <c r="G6" s="1367"/>
      <c r="H6" s="742"/>
      <c r="I6" s="742"/>
      <c r="J6" s="742"/>
      <c r="K6" s="742"/>
    </row>
    <row r="7" spans="1:11" ht="18" customHeight="1" x14ac:dyDescent="0.3">
      <c r="A7" s="742"/>
      <c r="B7" s="733" t="s">
        <v>4</v>
      </c>
      <c r="C7" s="1368">
        <v>1361</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86" t="s">
        <v>797</v>
      </c>
      <c r="D9" s="1387"/>
      <c r="E9" s="1387"/>
      <c r="F9" s="1387"/>
      <c r="G9" s="1388"/>
      <c r="H9" s="742"/>
      <c r="I9" s="742"/>
      <c r="J9" s="742"/>
      <c r="K9" s="742"/>
    </row>
    <row r="10" spans="1:11" ht="18" customHeight="1" x14ac:dyDescent="0.3">
      <c r="A10" s="742"/>
      <c r="B10" s="733" t="s">
        <v>2</v>
      </c>
      <c r="C10" s="1389" t="s">
        <v>798</v>
      </c>
      <c r="D10" s="1390"/>
      <c r="E10" s="1390"/>
      <c r="F10" s="1390"/>
      <c r="G10" s="1391"/>
      <c r="H10" s="742"/>
      <c r="I10" s="742"/>
      <c r="J10" s="742"/>
      <c r="K10" s="742"/>
    </row>
    <row r="11" spans="1:11" ht="18" customHeight="1" x14ac:dyDescent="0.3">
      <c r="A11" s="742"/>
      <c r="B11" s="733" t="s">
        <v>32</v>
      </c>
      <c r="C11" s="1386" t="s">
        <v>799</v>
      </c>
      <c r="D11" s="1387"/>
      <c r="E11" s="1387"/>
      <c r="F11" s="1387"/>
      <c r="G11" s="1387"/>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4"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646" t="s">
        <v>73</v>
      </c>
      <c r="G18" s="646" t="s">
        <v>73</v>
      </c>
      <c r="H18" s="647">
        <v>5010884</v>
      </c>
      <c r="I18" s="673">
        <v>0</v>
      </c>
      <c r="J18" s="647">
        <v>4235186</v>
      </c>
      <c r="K18" s="648">
        <f>(H18+I18)-J18</f>
        <v>775698</v>
      </c>
    </row>
    <row r="19" spans="1:11" ht="45.4"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646">
        <v>978</v>
      </c>
      <c r="G21" s="646">
        <v>4514</v>
      </c>
      <c r="H21" s="647">
        <v>147041.939132</v>
      </c>
      <c r="I21" s="673">
        <f t="shared" ref="I21:I34" si="0">H21*F$114</f>
        <v>72094.662756419595</v>
      </c>
      <c r="J21" s="647">
        <v>20000</v>
      </c>
      <c r="K21" s="648">
        <f t="shared" ref="K21:K34" si="1">(H21+I21)-J21</f>
        <v>199136.60188841959</v>
      </c>
    </row>
    <row r="22" spans="1:11" ht="18" customHeight="1" x14ac:dyDescent="0.3">
      <c r="A22" s="733" t="s">
        <v>76</v>
      </c>
      <c r="B22" s="742" t="s">
        <v>6</v>
      </c>
      <c r="C22" s="742"/>
      <c r="D22" s="742"/>
      <c r="E22" s="742"/>
      <c r="F22" s="646"/>
      <c r="G22" s="646"/>
      <c r="H22" s="647"/>
      <c r="I22" s="673">
        <f t="shared" si="0"/>
        <v>0</v>
      </c>
      <c r="J22" s="647"/>
      <c r="K22" s="648">
        <f t="shared" si="1"/>
        <v>0</v>
      </c>
    </row>
    <row r="23" spans="1:11" ht="18" customHeight="1" x14ac:dyDescent="0.3">
      <c r="A23" s="733" t="s">
        <v>77</v>
      </c>
      <c r="B23" s="742" t="s">
        <v>43</v>
      </c>
      <c r="C23" s="742"/>
      <c r="D23" s="742"/>
      <c r="E23" s="742"/>
      <c r="F23" s="646"/>
      <c r="G23" s="646"/>
      <c r="H23" s="647"/>
      <c r="I23" s="673">
        <f t="shared" si="0"/>
        <v>0</v>
      </c>
      <c r="J23" s="647"/>
      <c r="K23" s="648">
        <f t="shared" si="1"/>
        <v>0</v>
      </c>
    </row>
    <row r="24" spans="1:11" ht="18" customHeight="1" x14ac:dyDescent="0.3">
      <c r="A24" s="733" t="s">
        <v>78</v>
      </c>
      <c r="B24" s="742" t="s">
        <v>44</v>
      </c>
      <c r="C24" s="742"/>
      <c r="D24" s="742"/>
      <c r="E24" s="742"/>
      <c r="F24" s="646"/>
      <c r="G24" s="646"/>
      <c r="H24" s="647"/>
      <c r="I24" s="673">
        <f t="shared" si="0"/>
        <v>0</v>
      </c>
      <c r="J24" s="647"/>
      <c r="K24" s="648">
        <f t="shared" si="1"/>
        <v>0</v>
      </c>
    </row>
    <row r="25" spans="1:11" ht="18" customHeight="1" x14ac:dyDescent="0.3">
      <c r="A25" s="733" t="s">
        <v>79</v>
      </c>
      <c r="B25" s="742" t="s">
        <v>5</v>
      </c>
      <c r="C25" s="742"/>
      <c r="D25" s="742"/>
      <c r="E25" s="742"/>
      <c r="F25" s="646">
        <v>18</v>
      </c>
      <c r="G25" s="646">
        <v>1595</v>
      </c>
      <c r="H25" s="647"/>
      <c r="I25" s="673">
        <f t="shared" si="0"/>
        <v>0</v>
      </c>
      <c r="J25" s="647"/>
      <c r="K25" s="648">
        <f t="shared" si="1"/>
        <v>0</v>
      </c>
    </row>
    <row r="26" spans="1:11" ht="18" customHeight="1" x14ac:dyDescent="0.3">
      <c r="A26" s="733" t="s">
        <v>80</v>
      </c>
      <c r="B26" s="742" t="s">
        <v>45</v>
      </c>
      <c r="C26" s="742"/>
      <c r="D26" s="742"/>
      <c r="E26" s="742"/>
      <c r="F26" s="646">
        <v>48</v>
      </c>
      <c r="G26" s="646">
        <v>170</v>
      </c>
      <c r="H26" s="647">
        <v>2338.6917840000001</v>
      </c>
      <c r="I26" s="673">
        <f t="shared" si="0"/>
        <v>1146.6605816952001</v>
      </c>
      <c r="J26" s="647"/>
      <c r="K26" s="648">
        <f t="shared" si="1"/>
        <v>3485.3523656952002</v>
      </c>
    </row>
    <row r="27" spans="1:11" ht="18" customHeight="1" x14ac:dyDescent="0.3">
      <c r="A27" s="733" t="s">
        <v>81</v>
      </c>
      <c r="B27" s="742" t="s">
        <v>46</v>
      </c>
      <c r="C27" s="742"/>
      <c r="D27" s="742"/>
      <c r="E27" s="742"/>
      <c r="F27" s="646"/>
      <c r="G27" s="646"/>
      <c r="H27" s="647"/>
      <c r="I27" s="673">
        <f t="shared" si="0"/>
        <v>0</v>
      </c>
      <c r="J27" s="647"/>
      <c r="K27" s="648">
        <f t="shared" si="1"/>
        <v>0</v>
      </c>
    </row>
    <row r="28" spans="1:11" ht="18" customHeight="1" x14ac:dyDescent="0.3">
      <c r="A28" s="733" t="s">
        <v>82</v>
      </c>
      <c r="B28" s="742" t="s">
        <v>47</v>
      </c>
      <c r="C28" s="742"/>
      <c r="D28" s="742"/>
      <c r="E28" s="742"/>
      <c r="F28" s="646"/>
      <c r="G28" s="646"/>
      <c r="H28" s="647"/>
      <c r="I28" s="673">
        <f t="shared" si="0"/>
        <v>0</v>
      </c>
      <c r="J28" s="647"/>
      <c r="K28" s="648">
        <f t="shared" si="1"/>
        <v>0</v>
      </c>
    </row>
    <row r="29" spans="1:11" ht="18" customHeight="1" x14ac:dyDescent="0.3">
      <c r="A29" s="733" t="s">
        <v>83</v>
      </c>
      <c r="B29" s="742" t="s">
        <v>48</v>
      </c>
      <c r="C29" s="742"/>
      <c r="D29" s="742"/>
      <c r="E29" s="742"/>
      <c r="F29" s="646">
        <v>4227</v>
      </c>
      <c r="G29" s="646"/>
      <c r="H29" s="647">
        <v>504609.07999999996</v>
      </c>
      <c r="I29" s="673">
        <f t="shared" si="0"/>
        <v>247409.831924</v>
      </c>
      <c r="J29" s="647"/>
      <c r="K29" s="648">
        <f t="shared" si="1"/>
        <v>752018.9119239999</v>
      </c>
    </row>
    <row r="30" spans="1:11" ht="18" customHeight="1" x14ac:dyDescent="0.3">
      <c r="A30" s="733" t="s">
        <v>84</v>
      </c>
      <c r="B30" s="1351" t="s">
        <v>800</v>
      </c>
      <c r="C30" s="1352"/>
      <c r="D30" s="1353"/>
      <c r="E30" s="742"/>
      <c r="F30" s="646">
        <v>90</v>
      </c>
      <c r="G30" s="646">
        <v>427</v>
      </c>
      <c r="H30" s="647">
        <v>2201.5204200000003</v>
      </c>
      <c r="I30" s="673">
        <f t="shared" si="0"/>
        <v>1079.4054619260003</v>
      </c>
      <c r="J30" s="647"/>
      <c r="K30" s="648">
        <f t="shared" si="1"/>
        <v>3280.9258819260003</v>
      </c>
    </row>
    <row r="31" spans="1:11" ht="18" customHeight="1" x14ac:dyDescent="0.3">
      <c r="A31" s="733" t="s">
        <v>133</v>
      </c>
      <c r="B31" s="1351"/>
      <c r="C31" s="1352"/>
      <c r="D31" s="1353"/>
      <c r="E31" s="742"/>
      <c r="F31" s="646"/>
      <c r="G31" s="646"/>
      <c r="H31" s="647"/>
      <c r="I31" s="673">
        <f t="shared" si="0"/>
        <v>0</v>
      </c>
      <c r="J31" s="647"/>
      <c r="K31" s="648">
        <f t="shared" si="1"/>
        <v>0</v>
      </c>
    </row>
    <row r="32" spans="1:11" ht="18" customHeight="1" x14ac:dyDescent="0.3">
      <c r="A32" s="733" t="s">
        <v>134</v>
      </c>
      <c r="B32" s="909"/>
      <c r="C32" s="910"/>
      <c r="D32" s="911"/>
      <c r="E32" s="742"/>
      <c r="F32" s="646"/>
      <c r="G32" s="675"/>
      <c r="H32" s="647"/>
      <c r="I32" s="673">
        <f t="shared" si="0"/>
        <v>0</v>
      </c>
      <c r="J32" s="647"/>
      <c r="K32" s="648">
        <f t="shared" si="1"/>
        <v>0</v>
      </c>
    </row>
    <row r="33" spans="1:11" ht="18" customHeight="1" x14ac:dyDescent="0.3">
      <c r="A33" s="733" t="s">
        <v>135</v>
      </c>
      <c r="B33" s="909"/>
      <c r="C33" s="910"/>
      <c r="D33" s="911"/>
      <c r="E33" s="742"/>
      <c r="F33" s="646"/>
      <c r="G33" s="675"/>
      <c r="H33" s="647"/>
      <c r="I33" s="673">
        <f t="shared" si="0"/>
        <v>0</v>
      </c>
      <c r="J33" s="647"/>
      <c r="K33" s="648">
        <f t="shared" si="1"/>
        <v>0</v>
      </c>
    </row>
    <row r="34" spans="1:11" ht="18" customHeight="1" x14ac:dyDescent="0.3">
      <c r="A34" s="733" t="s">
        <v>136</v>
      </c>
      <c r="B34" s="1351"/>
      <c r="C34" s="1352"/>
      <c r="D34" s="1353"/>
      <c r="E34" s="742"/>
      <c r="F34" s="646"/>
      <c r="G34" s="675"/>
      <c r="H34" s="647"/>
      <c r="I34" s="673">
        <f t="shared" si="0"/>
        <v>0</v>
      </c>
      <c r="J34" s="647"/>
      <c r="K34" s="648">
        <f t="shared" si="1"/>
        <v>0</v>
      </c>
    </row>
    <row r="35" spans="1:11" ht="18" customHeight="1" x14ac:dyDescent="0.25">
      <c r="A35" s="742"/>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5361</v>
      </c>
      <c r="G36" s="650">
        <f t="shared" si="2"/>
        <v>6706</v>
      </c>
      <c r="H36" s="650">
        <f t="shared" si="2"/>
        <v>656191.23133599991</v>
      </c>
      <c r="I36" s="648">
        <f t="shared" si="2"/>
        <v>321730.56072404084</v>
      </c>
      <c r="J36" s="648">
        <f t="shared" si="2"/>
        <v>20000</v>
      </c>
      <c r="K36" s="648">
        <f t="shared" si="2"/>
        <v>957921.79206004064</v>
      </c>
    </row>
    <row r="37" spans="1:11" ht="18" customHeight="1" thickBot="1" x14ac:dyDescent="0.35">
      <c r="A37" s="742"/>
      <c r="B37" s="636"/>
      <c r="C37" s="742"/>
      <c r="D37" s="742"/>
      <c r="E37" s="742"/>
      <c r="F37" s="651"/>
      <c r="G37" s="651"/>
      <c r="H37" s="652"/>
      <c r="I37" s="652"/>
      <c r="J37" s="652"/>
      <c r="K37" s="668"/>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646">
        <v>140559.57504</v>
      </c>
      <c r="G40" s="646"/>
      <c r="H40" s="647">
        <v>6885698.0769999987</v>
      </c>
      <c r="I40" s="673">
        <v>0</v>
      </c>
      <c r="J40" s="647"/>
      <c r="K40" s="648">
        <f t="shared" ref="K40:K47" si="3">(H40+I40)-J40</f>
        <v>6885698.0769999987</v>
      </c>
    </row>
    <row r="41" spans="1:11" ht="18" customHeight="1" x14ac:dyDescent="0.3">
      <c r="A41" s="733" t="s">
        <v>88</v>
      </c>
      <c r="B41" s="1359" t="s">
        <v>50</v>
      </c>
      <c r="C41" s="1359"/>
      <c r="D41" s="742"/>
      <c r="E41" s="742"/>
      <c r="F41" s="646">
        <v>3512</v>
      </c>
      <c r="G41" s="646"/>
      <c r="H41" s="647">
        <v>158664.94635200003</v>
      </c>
      <c r="I41" s="673">
        <v>0</v>
      </c>
      <c r="J41" s="647"/>
      <c r="K41" s="648">
        <f t="shared" si="3"/>
        <v>158664.94635200003</v>
      </c>
    </row>
    <row r="42" spans="1:11" ht="18" customHeight="1" x14ac:dyDescent="0.3">
      <c r="A42" s="733" t="s">
        <v>89</v>
      </c>
      <c r="B42" s="635" t="s">
        <v>11</v>
      </c>
      <c r="C42" s="742"/>
      <c r="D42" s="742"/>
      <c r="E42" s="742"/>
      <c r="F42" s="646"/>
      <c r="G42" s="646"/>
      <c r="H42" s="647"/>
      <c r="I42" s="673">
        <v>0</v>
      </c>
      <c r="J42" s="647"/>
      <c r="K42" s="648">
        <f t="shared" si="3"/>
        <v>0</v>
      </c>
    </row>
    <row r="43" spans="1:11" ht="18" customHeight="1" x14ac:dyDescent="0.3">
      <c r="A43" s="733" t="s">
        <v>90</v>
      </c>
      <c r="B43" s="670" t="s">
        <v>10</v>
      </c>
      <c r="C43" s="642"/>
      <c r="D43" s="642"/>
      <c r="E43" s="742"/>
      <c r="F43" s="646"/>
      <c r="G43" s="646"/>
      <c r="H43" s="647"/>
      <c r="I43" s="673">
        <v>0</v>
      </c>
      <c r="J43" s="647"/>
      <c r="K43" s="648">
        <f t="shared" si="3"/>
        <v>0</v>
      </c>
    </row>
    <row r="44" spans="1:11" ht="18" customHeight="1" x14ac:dyDescent="0.3">
      <c r="A44" s="733" t="s">
        <v>91</v>
      </c>
      <c r="B44" s="1351"/>
      <c r="C44" s="1352"/>
      <c r="D44" s="1353"/>
      <c r="E44" s="742"/>
      <c r="F44" s="677"/>
      <c r="G44" s="677"/>
      <c r="H44" s="677"/>
      <c r="I44" s="678">
        <v>0</v>
      </c>
      <c r="J44" s="677"/>
      <c r="K44" s="679">
        <f t="shared" si="3"/>
        <v>0</v>
      </c>
    </row>
    <row r="45" spans="1:11" ht="18" customHeight="1" x14ac:dyDescent="0.3">
      <c r="A45" s="733" t="s">
        <v>139</v>
      </c>
      <c r="B45" s="1351"/>
      <c r="C45" s="1352"/>
      <c r="D45" s="1353"/>
      <c r="E45" s="742"/>
      <c r="F45" s="646"/>
      <c r="G45" s="646"/>
      <c r="H45" s="647"/>
      <c r="I45" s="673">
        <v>0</v>
      </c>
      <c r="J45" s="647"/>
      <c r="K45" s="648">
        <f t="shared" si="3"/>
        <v>0</v>
      </c>
    </row>
    <row r="46" spans="1:11" ht="18" customHeight="1" x14ac:dyDescent="0.3">
      <c r="A46" s="733" t="s">
        <v>140</v>
      </c>
      <c r="B46" s="1351"/>
      <c r="C46" s="1352"/>
      <c r="D46" s="1353"/>
      <c r="E46" s="742"/>
      <c r="F46" s="646"/>
      <c r="G46" s="646"/>
      <c r="H46" s="647"/>
      <c r="I46" s="673">
        <v>0</v>
      </c>
      <c r="J46" s="647"/>
      <c r="K46" s="648">
        <f t="shared" si="3"/>
        <v>0</v>
      </c>
    </row>
    <row r="47" spans="1:11" ht="18" customHeight="1" x14ac:dyDescent="0.3">
      <c r="A47" s="733" t="s">
        <v>141</v>
      </c>
      <c r="B47" s="1351"/>
      <c r="C47" s="1352"/>
      <c r="D47" s="1353"/>
      <c r="E47" s="742"/>
      <c r="F47" s="646"/>
      <c r="G47" s="646"/>
      <c r="H47" s="647"/>
      <c r="I47" s="673">
        <v>0</v>
      </c>
      <c r="J47" s="647"/>
      <c r="K47" s="648">
        <f t="shared" si="3"/>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144071.57504</v>
      </c>
      <c r="G49" s="654">
        <f t="shared" si="4"/>
        <v>0</v>
      </c>
      <c r="H49" s="648">
        <f t="shared" si="4"/>
        <v>7044363.023351999</v>
      </c>
      <c r="I49" s="648">
        <f t="shared" si="4"/>
        <v>0</v>
      </c>
      <c r="J49" s="648">
        <f t="shared" si="4"/>
        <v>0</v>
      </c>
      <c r="K49" s="648">
        <f t="shared" si="4"/>
        <v>7044363.023351999</v>
      </c>
    </row>
    <row r="50" spans="1:11" ht="18" customHeight="1" thickBot="1" x14ac:dyDescent="0.3">
      <c r="A50" s="742"/>
      <c r="B50" s="742"/>
      <c r="C50" s="742"/>
      <c r="D50" s="742"/>
      <c r="E50" s="742"/>
      <c r="F50" s="742"/>
      <c r="G50" s="655"/>
      <c r="H50" s="655"/>
      <c r="I50" s="655"/>
      <c r="J50" s="655"/>
      <c r="K50" s="655"/>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c r="C53" s="1355"/>
      <c r="D53" s="1356"/>
      <c r="E53" s="742"/>
      <c r="F53" s="646"/>
      <c r="G53" s="646"/>
      <c r="H53" s="647"/>
      <c r="I53" s="673">
        <v>0</v>
      </c>
      <c r="J53" s="647"/>
      <c r="K53" s="648">
        <f t="shared" ref="K53:K62" si="5">(H53+I53)-J53</f>
        <v>0</v>
      </c>
    </row>
    <row r="54" spans="1:11" ht="18" customHeight="1" x14ac:dyDescent="0.3">
      <c r="A54" s="733" t="s">
        <v>93</v>
      </c>
      <c r="B54" s="928" t="s">
        <v>457</v>
      </c>
      <c r="C54" s="913"/>
      <c r="D54" s="914"/>
      <c r="E54" s="742"/>
      <c r="F54" s="646"/>
      <c r="G54" s="646"/>
      <c r="H54" s="647">
        <v>16046717</v>
      </c>
      <c r="I54" s="673">
        <v>0</v>
      </c>
      <c r="J54" s="647"/>
      <c r="K54" s="648">
        <f t="shared" si="5"/>
        <v>16046717</v>
      </c>
    </row>
    <row r="55" spans="1:11" ht="18" customHeight="1" x14ac:dyDescent="0.3">
      <c r="A55" s="733" t="s">
        <v>94</v>
      </c>
      <c r="B55" s="1354"/>
      <c r="C55" s="1355"/>
      <c r="D55" s="1356"/>
      <c r="E55" s="742"/>
      <c r="F55" s="646"/>
      <c r="G55" s="646"/>
      <c r="H55" s="647"/>
      <c r="I55" s="673">
        <v>0</v>
      </c>
      <c r="J55" s="647"/>
      <c r="K55" s="648">
        <f t="shared" si="5"/>
        <v>0</v>
      </c>
    </row>
    <row r="56" spans="1:11" ht="18" customHeight="1" x14ac:dyDescent="0.3">
      <c r="A56" s="733" t="s">
        <v>95</v>
      </c>
      <c r="B56" s="1354"/>
      <c r="C56" s="1355"/>
      <c r="D56" s="1356"/>
      <c r="E56" s="742"/>
      <c r="F56" s="646"/>
      <c r="G56" s="646"/>
      <c r="H56" s="647"/>
      <c r="I56" s="673">
        <v>0</v>
      </c>
      <c r="J56" s="647"/>
      <c r="K56" s="648">
        <f t="shared" si="5"/>
        <v>0</v>
      </c>
    </row>
    <row r="57" spans="1:11" ht="18" customHeight="1" x14ac:dyDescent="0.3">
      <c r="A57" s="733" t="s">
        <v>96</v>
      </c>
      <c r="B57" s="1354"/>
      <c r="C57" s="1355"/>
      <c r="D57" s="1356"/>
      <c r="E57" s="742"/>
      <c r="F57" s="646"/>
      <c r="G57" s="646"/>
      <c r="H57" s="647"/>
      <c r="I57" s="673">
        <v>0</v>
      </c>
      <c r="J57" s="647"/>
      <c r="K57" s="648">
        <f t="shared" si="5"/>
        <v>0</v>
      </c>
    </row>
    <row r="58" spans="1:11" ht="18" customHeight="1" x14ac:dyDescent="0.3">
      <c r="A58" s="733" t="s">
        <v>97</v>
      </c>
      <c r="B58" s="912"/>
      <c r="C58" s="913"/>
      <c r="D58" s="914"/>
      <c r="E58" s="742"/>
      <c r="F58" s="646"/>
      <c r="G58" s="646"/>
      <c r="H58" s="647"/>
      <c r="I58" s="673">
        <v>0</v>
      </c>
      <c r="J58" s="647"/>
      <c r="K58" s="648">
        <f t="shared" si="5"/>
        <v>0</v>
      </c>
    </row>
    <row r="59" spans="1:11" ht="18" customHeight="1" x14ac:dyDescent="0.3">
      <c r="A59" s="733" t="s">
        <v>98</v>
      </c>
      <c r="B59" s="1354"/>
      <c r="C59" s="1355"/>
      <c r="D59" s="1356"/>
      <c r="E59" s="742"/>
      <c r="F59" s="646"/>
      <c r="G59" s="646"/>
      <c r="H59" s="647"/>
      <c r="I59" s="673">
        <v>0</v>
      </c>
      <c r="J59" s="647"/>
      <c r="K59" s="648">
        <f t="shared" si="5"/>
        <v>0</v>
      </c>
    </row>
    <row r="60" spans="1:11" ht="18" customHeight="1" x14ac:dyDescent="0.3">
      <c r="A60" s="733" t="s">
        <v>99</v>
      </c>
      <c r="B60" s="912"/>
      <c r="C60" s="913"/>
      <c r="D60" s="914"/>
      <c r="E60" s="742"/>
      <c r="F60" s="646"/>
      <c r="G60" s="646"/>
      <c r="H60" s="647"/>
      <c r="I60" s="673">
        <v>0</v>
      </c>
      <c r="J60" s="647"/>
      <c r="K60" s="648">
        <f t="shared" si="5"/>
        <v>0</v>
      </c>
    </row>
    <row r="61" spans="1:11" ht="18" customHeight="1" x14ac:dyDescent="0.3">
      <c r="A61" s="733" t="s">
        <v>100</v>
      </c>
      <c r="B61" s="912"/>
      <c r="C61" s="913"/>
      <c r="D61" s="914"/>
      <c r="E61" s="742"/>
      <c r="F61" s="646"/>
      <c r="G61" s="646"/>
      <c r="H61" s="647"/>
      <c r="I61" s="673">
        <v>0</v>
      </c>
      <c r="J61" s="647"/>
      <c r="K61" s="648">
        <f t="shared" si="5"/>
        <v>0</v>
      </c>
    </row>
    <row r="62" spans="1:11" ht="18" customHeight="1" x14ac:dyDescent="0.3">
      <c r="A62" s="733" t="s">
        <v>101</v>
      </c>
      <c r="B62" s="1354"/>
      <c r="C62" s="1355"/>
      <c r="D62" s="1356"/>
      <c r="E62" s="742"/>
      <c r="F62" s="646"/>
      <c r="G62" s="646"/>
      <c r="H62" s="647"/>
      <c r="I62" s="673">
        <v>0</v>
      </c>
      <c r="J62" s="647"/>
      <c r="K62" s="648">
        <f t="shared" si="5"/>
        <v>0</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6">SUM(F53:F62)</f>
        <v>0</v>
      </c>
      <c r="G64" s="650">
        <f t="shared" si="6"/>
        <v>0</v>
      </c>
      <c r="H64" s="648">
        <f t="shared" si="6"/>
        <v>16046717</v>
      </c>
      <c r="I64" s="648">
        <f t="shared" si="6"/>
        <v>0</v>
      </c>
      <c r="J64" s="648">
        <f t="shared" si="6"/>
        <v>0</v>
      </c>
      <c r="K64" s="648">
        <f t="shared" si="6"/>
        <v>16046717</v>
      </c>
    </row>
    <row r="65" spans="1:11" ht="18" customHeight="1" x14ac:dyDescent="0.25">
      <c r="A65" s="742"/>
      <c r="B65" s="742"/>
      <c r="C65" s="742"/>
      <c r="D65" s="742"/>
      <c r="E65" s="742"/>
      <c r="F65" s="671"/>
      <c r="G65" s="671"/>
      <c r="H65" s="671"/>
      <c r="I65" s="671"/>
      <c r="J65" s="671"/>
      <c r="K65" s="671"/>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674"/>
      <c r="G68" s="674"/>
      <c r="H68" s="674"/>
      <c r="I68" s="673">
        <v>0</v>
      </c>
      <c r="J68" s="674"/>
      <c r="K68" s="648">
        <f>(H68+I68)-J68</f>
        <v>0</v>
      </c>
    </row>
    <row r="69" spans="1:11" ht="18" customHeight="1" x14ac:dyDescent="0.3">
      <c r="A69" s="733" t="s">
        <v>104</v>
      </c>
      <c r="B69" s="635" t="s">
        <v>53</v>
      </c>
      <c r="C69" s="742"/>
      <c r="D69" s="742"/>
      <c r="E69" s="742"/>
      <c r="F69" s="674"/>
      <c r="G69" s="674"/>
      <c r="H69" s="674"/>
      <c r="I69" s="673">
        <v>0</v>
      </c>
      <c r="J69" s="674"/>
      <c r="K69" s="648">
        <f>(H69+I69)-J69</f>
        <v>0</v>
      </c>
    </row>
    <row r="70" spans="1:11" ht="18" customHeight="1" x14ac:dyDescent="0.3">
      <c r="A70" s="733" t="s">
        <v>178</v>
      </c>
      <c r="B70" s="912"/>
      <c r="C70" s="913"/>
      <c r="D70" s="914"/>
      <c r="E70" s="636"/>
      <c r="F70" s="658"/>
      <c r="G70" s="658"/>
      <c r="H70" s="659"/>
      <c r="I70" s="673">
        <v>0</v>
      </c>
      <c r="J70" s="659"/>
      <c r="K70" s="648">
        <f>(H70+I70)-J70</f>
        <v>0</v>
      </c>
    </row>
    <row r="71" spans="1:11" ht="18" customHeight="1" x14ac:dyDescent="0.3">
      <c r="A71" s="733" t="s">
        <v>179</v>
      </c>
      <c r="B71" s="912"/>
      <c r="C71" s="913"/>
      <c r="D71" s="914"/>
      <c r="E71" s="636"/>
      <c r="F71" s="658"/>
      <c r="G71" s="658"/>
      <c r="H71" s="659"/>
      <c r="I71" s="673">
        <v>0</v>
      </c>
      <c r="J71" s="659"/>
      <c r="K71" s="648">
        <f>(H71+I71)-J71</f>
        <v>0</v>
      </c>
    </row>
    <row r="72" spans="1:11" ht="18" customHeight="1" x14ac:dyDescent="0.3">
      <c r="A72" s="733" t="s">
        <v>180</v>
      </c>
      <c r="B72" s="930"/>
      <c r="C72" s="929"/>
      <c r="D72" s="657"/>
      <c r="E72" s="636"/>
      <c r="F72" s="646"/>
      <c r="G72" s="646"/>
      <c r="H72" s="647"/>
      <c r="I72" s="673">
        <v>0</v>
      </c>
      <c r="J72" s="647"/>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646">
        <v>130</v>
      </c>
      <c r="G77" s="646"/>
      <c r="H77" s="647">
        <v>48700</v>
      </c>
      <c r="I77" s="673">
        <v>0</v>
      </c>
      <c r="J77" s="647"/>
      <c r="K77" s="648">
        <f>(H77+I77)-J77</f>
        <v>48700</v>
      </c>
    </row>
    <row r="78" spans="1:11" ht="18" customHeight="1" x14ac:dyDescent="0.3">
      <c r="A78" s="733" t="s">
        <v>108</v>
      </c>
      <c r="B78" s="635" t="s">
        <v>55</v>
      </c>
      <c r="C78" s="742"/>
      <c r="D78" s="742"/>
      <c r="E78" s="742"/>
      <c r="F78" s="646"/>
      <c r="G78" s="646"/>
      <c r="H78" s="647"/>
      <c r="I78" s="673">
        <v>0</v>
      </c>
      <c r="J78" s="647"/>
      <c r="K78" s="648">
        <f>(H78+I78)-J78</f>
        <v>0</v>
      </c>
    </row>
    <row r="79" spans="1:11" ht="18" customHeight="1" x14ac:dyDescent="0.3">
      <c r="A79" s="733" t="s">
        <v>109</v>
      </c>
      <c r="B79" s="635" t="s">
        <v>13</v>
      </c>
      <c r="C79" s="742"/>
      <c r="D79" s="742"/>
      <c r="E79" s="742"/>
      <c r="F79" s="646">
        <v>498.5</v>
      </c>
      <c r="G79" s="646"/>
      <c r="H79" s="647">
        <v>49372.25</v>
      </c>
      <c r="I79" s="673">
        <v>0</v>
      </c>
      <c r="J79" s="647"/>
      <c r="K79" s="648">
        <f>(H79+I79)-J79</f>
        <v>49372.25</v>
      </c>
    </row>
    <row r="80" spans="1:11" ht="18" customHeight="1" x14ac:dyDescent="0.3">
      <c r="A80" s="733" t="s">
        <v>110</v>
      </c>
      <c r="B80" s="635" t="s">
        <v>56</v>
      </c>
      <c r="C80" s="742"/>
      <c r="D80" s="742"/>
      <c r="E80" s="742"/>
      <c r="F80" s="646"/>
      <c r="G80" s="646"/>
      <c r="H80" s="647"/>
      <c r="I80" s="673">
        <v>0</v>
      </c>
      <c r="J80" s="647"/>
      <c r="K80" s="648">
        <f>(H80+I80)-J80</f>
        <v>0</v>
      </c>
    </row>
    <row r="81" spans="1:11" ht="18" customHeight="1" x14ac:dyDescent="0.3">
      <c r="A81" s="733"/>
      <c r="B81" s="742"/>
      <c r="C81" s="742"/>
      <c r="D81" s="742"/>
      <c r="E81" s="742"/>
      <c r="F81" s="742"/>
      <c r="G81" s="742"/>
      <c r="H81" s="742"/>
      <c r="I81" s="742"/>
      <c r="J81" s="742"/>
      <c r="K81" s="663"/>
    </row>
    <row r="82" spans="1:11" ht="18" customHeight="1" x14ac:dyDescent="0.3">
      <c r="A82" s="733" t="s">
        <v>148</v>
      </c>
      <c r="B82" s="636" t="s">
        <v>149</v>
      </c>
      <c r="C82" s="742"/>
      <c r="D82" s="742"/>
      <c r="E82" s="636" t="s">
        <v>7</v>
      </c>
      <c r="F82" s="653">
        <f t="shared" ref="F82:K82" si="8">SUM(F77:F80)</f>
        <v>628.5</v>
      </c>
      <c r="G82" s="653">
        <f t="shared" si="8"/>
        <v>0</v>
      </c>
      <c r="H82" s="649">
        <f t="shared" si="8"/>
        <v>98072.25</v>
      </c>
      <c r="I82" s="649">
        <f t="shared" si="8"/>
        <v>0</v>
      </c>
      <c r="J82" s="649">
        <f t="shared" si="8"/>
        <v>0</v>
      </c>
      <c r="K82" s="649">
        <f t="shared" si="8"/>
        <v>98072.25</v>
      </c>
    </row>
    <row r="83" spans="1:11" ht="18" customHeight="1" thickBot="1" x14ac:dyDescent="0.35">
      <c r="A83" s="733"/>
      <c r="B83" s="742"/>
      <c r="C83" s="742"/>
      <c r="D83" s="742"/>
      <c r="E83" s="742"/>
      <c r="F83" s="655"/>
      <c r="G83" s="655"/>
      <c r="H83" s="655"/>
      <c r="I83" s="655"/>
      <c r="J83" s="655"/>
      <c r="K83" s="655"/>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733" t="s">
        <v>114</v>
      </c>
      <c r="B87" s="635" t="s">
        <v>14</v>
      </c>
      <c r="C87" s="742"/>
      <c r="D87" s="742"/>
      <c r="E87" s="742"/>
      <c r="F87" s="646"/>
      <c r="G87" s="646"/>
      <c r="H87" s="647"/>
      <c r="I87" s="673">
        <f t="shared" si="9"/>
        <v>0</v>
      </c>
      <c r="J87" s="647"/>
      <c r="K87" s="648">
        <f t="shared" si="10"/>
        <v>0</v>
      </c>
    </row>
    <row r="88" spans="1:11" ht="18" customHeight="1" x14ac:dyDescent="0.3">
      <c r="A88" s="733" t="s">
        <v>115</v>
      </c>
      <c r="B88" s="635" t="s">
        <v>116</v>
      </c>
      <c r="C88" s="742"/>
      <c r="D88" s="742"/>
      <c r="E88" s="742"/>
      <c r="F88" s="646">
        <v>62</v>
      </c>
      <c r="G88" s="646">
        <v>2141</v>
      </c>
      <c r="H88" s="647">
        <v>7088</v>
      </c>
      <c r="I88" s="673">
        <f t="shared" si="9"/>
        <v>3475.2464</v>
      </c>
      <c r="J88" s="647"/>
      <c r="K88" s="648">
        <f t="shared" si="10"/>
        <v>10563.2464</v>
      </c>
    </row>
    <row r="89" spans="1:11" ht="18" customHeight="1" x14ac:dyDescent="0.3">
      <c r="A89" s="733" t="s">
        <v>117</v>
      </c>
      <c r="B89" s="635" t="s">
        <v>58</v>
      </c>
      <c r="C89" s="742"/>
      <c r="D89" s="742"/>
      <c r="E89" s="742"/>
      <c r="F89" s="646"/>
      <c r="G89" s="646"/>
      <c r="H89" s="647">
        <v>2978.22</v>
      </c>
      <c r="I89" s="673">
        <f t="shared" si="9"/>
        <v>1460.221266</v>
      </c>
      <c r="J89" s="647"/>
      <c r="K89" s="648">
        <f t="shared" si="10"/>
        <v>4438.4412659999998</v>
      </c>
    </row>
    <row r="90" spans="1:11" ht="18" customHeight="1" x14ac:dyDescent="0.3">
      <c r="A90" s="733" t="s">
        <v>118</v>
      </c>
      <c r="B90" s="1359" t="s">
        <v>59</v>
      </c>
      <c r="C90" s="1359"/>
      <c r="D90" s="742"/>
      <c r="E90" s="742"/>
      <c r="F90" s="646"/>
      <c r="G90" s="646"/>
      <c r="H90" s="647"/>
      <c r="I90" s="673">
        <f t="shared" si="9"/>
        <v>0</v>
      </c>
      <c r="J90" s="647"/>
      <c r="K90" s="648">
        <f t="shared" si="10"/>
        <v>0</v>
      </c>
    </row>
    <row r="91" spans="1:11" ht="18" customHeight="1" x14ac:dyDescent="0.3">
      <c r="A91" s="733" t="s">
        <v>119</v>
      </c>
      <c r="B91" s="635" t="s">
        <v>60</v>
      </c>
      <c r="C91" s="742"/>
      <c r="D91" s="742"/>
      <c r="E91" s="742"/>
      <c r="F91" s="646">
        <v>60</v>
      </c>
      <c r="G91" s="646"/>
      <c r="H91" s="647">
        <v>6000</v>
      </c>
      <c r="I91" s="673">
        <f t="shared" si="9"/>
        <v>2941.8</v>
      </c>
      <c r="J91" s="647"/>
      <c r="K91" s="648">
        <f t="shared" si="10"/>
        <v>8941.7999999999993</v>
      </c>
    </row>
    <row r="92" spans="1:11" ht="18" customHeight="1" x14ac:dyDescent="0.3">
      <c r="A92" s="733" t="s">
        <v>120</v>
      </c>
      <c r="B92" s="635" t="s">
        <v>121</v>
      </c>
      <c r="C92" s="742"/>
      <c r="D92" s="742"/>
      <c r="E92" s="742"/>
      <c r="F92" s="661"/>
      <c r="G92" s="661"/>
      <c r="H92" s="662"/>
      <c r="I92" s="673">
        <f t="shared" si="9"/>
        <v>0</v>
      </c>
      <c r="J92" s="662"/>
      <c r="K92" s="648">
        <f t="shared" si="10"/>
        <v>0</v>
      </c>
    </row>
    <row r="93" spans="1:11" ht="18" customHeight="1" x14ac:dyDescent="0.3">
      <c r="A93" s="733" t="s">
        <v>122</v>
      </c>
      <c r="B93" s="635" t="s">
        <v>123</v>
      </c>
      <c r="C93" s="742"/>
      <c r="D93" s="742"/>
      <c r="E93" s="742"/>
      <c r="F93" s="646">
        <v>936</v>
      </c>
      <c r="G93" s="646"/>
      <c r="H93" s="647">
        <v>35166</v>
      </c>
      <c r="I93" s="673">
        <f t="shared" si="9"/>
        <v>17241.889800000001</v>
      </c>
      <c r="J93" s="647"/>
      <c r="K93" s="648">
        <f t="shared" si="10"/>
        <v>52407.889800000004</v>
      </c>
    </row>
    <row r="94" spans="1:11" ht="18" customHeight="1" x14ac:dyDescent="0.3">
      <c r="A94" s="733" t="s">
        <v>124</v>
      </c>
      <c r="B94" s="1354"/>
      <c r="C94" s="1355"/>
      <c r="D94" s="1356"/>
      <c r="E94" s="742"/>
      <c r="F94" s="646"/>
      <c r="G94" s="646"/>
      <c r="H94" s="647"/>
      <c r="I94" s="673">
        <f t="shared" si="9"/>
        <v>0</v>
      </c>
      <c r="J94" s="647"/>
      <c r="K94" s="648">
        <f t="shared" si="10"/>
        <v>0</v>
      </c>
    </row>
    <row r="95" spans="1:11" ht="18" customHeight="1" x14ac:dyDescent="0.3">
      <c r="A95" s="733" t="s">
        <v>125</v>
      </c>
      <c r="B95" s="1354"/>
      <c r="C95" s="1355"/>
      <c r="D95" s="1356"/>
      <c r="E95" s="742"/>
      <c r="F95" s="646"/>
      <c r="G95" s="646"/>
      <c r="H95" s="647"/>
      <c r="I95" s="673">
        <f t="shared" si="9"/>
        <v>0</v>
      </c>
      <c r="J95" s="647"/>
      <c r="K95" s="648">
        <f t="shared" si="10"/>
        <v>0</v>
      </c>
    </row>
    <row r="96" spans="1:11" ht="18" customHeight="1" x14ac:dyDescent="0.3">
      <c r="A96" s="733" t="s">
        <v>126</v>
      </c>
      <c r="B96" s="1354"/>
      <c r="C96" s="1355"/>
      <c r="D96" s="1356"/>
      <c r="E96" s="742"/>
      <c r="F96" s="646"/>
      <c r="G96" s="646"/>
      <c r="H96" s="647"/>
      <c r="I96" s="673">
        <f t="shared" si="9"/>
        <v>0</v>
      </c>
      <c r="J96" s="647"/>
      <c r="K96" s="648">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1058</v>
      </c>
      <c r="G98" s="650">
        <f t="shared" si="11"/>
        <v>2141</v>
      </c>
      <c r="H98" s="650">
        <f t="shared" si="11"/>
        <v>51232.22</v>
      </c>
      <c r="I98" s="650">
        <f t="shared" si="11"/>
        <v>25119.157466000001</v>
      </c>
      <c r="J98" s="650">
        <f t="shared" si="11"/>
        <v>0</v>
      </c>
      <c r="K98" s="650">
        <f t="shared" si="11"/>
        <v>76351.377466000005</v>
      </c>
    </row>
    <row r="99" spans="1:11" ht="18" customHeight="1" thickBot="1" x14ac:dyDescent="0.35">
      <c r="A99" s="742"/>
      <c r="B99" s="636"/>
      <c r="C99" s="742"/>
      <c r="D99" s="742"/>
      <c r="E99" s="742"/>
      <c r="F99" s="655"/>
      <c r="G99" s="655"/>
      <c r="H99" s="655"/>
      <c r="I99" s="655"/>
      <c r="J99" s="655"/>
      <c r="K99" s="655"/>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646">
        <v>520</v>
      </c>
      <c r="G102" s="646"/>
      <c r="H102" s="647">
        <v>51933.058100000002</v>
      </c>
      <c r="I102" s="673">
        <f>H102*F$114</f>
        <v>25462.77838643</v>
      </c>
      <c r="J102" s="647"/>
      <c r="K102" s="648">
        <f>(H102+I102)-J102</f>
        <v>77395.836486429995</v>
      </c>
    </row>
    <row r="103" spans="1:11" ht="18" customHeight="1" x14ac:dyDescent="0.3">
      <c r="A103" s="733" t="s">
        <v>132</v>
      </c>
      <c r="B103" s="1357" t="s">
        <v>62</v>
      </c>
      <c r="C103" s="1357"/>
      <c r="D103" s="742"/>
      <c r="E103" s="742"/>
      <c r="F103" s="646">
        <v>312</v>
      </c>
      <c r="G103" s="646"/>
      <c r="H103" s="647">
        <v>25529.538100000002</v>
      </c>
      <c r="I103" s="673">
        <f>H103*F$114</f>
        <v>12517.132530430001</v>
      </c>
      <c r="J103" s="647"/>
      <c r="K103" s="648">
        <f>(H103+I103)-J103</f>
        <v>38046.670630430002</v>
      </c>
    </row>
    <row r="104" spans="1:11" ht="18" customHeight="1" x14ac:dyDescent="0.3">
      <c r="A104" s="733" t="s">
        <v>128</v>
      </c>
      <c r="B104" s="1354"/>
      <c r="C104" s="1355"/>
      <c r="D104" s="1356"/>
      <c r="E104" s="742"/>
      <c r="F104" s="646"/>
      <c r="G104" s="646"/>
      <c r="H104" s="647"/>
      <c r="I104" s="673">
        <f>H104*F$114</f>
        <v>0</v>
      </c>
      <c r="J104" s="647"/>
      <c r="K104" s="648">
        <f>(H104+I104)-J104</f>
        <v>0</v>
      </c>
    </row>
    <row r="105" spans="1:11" ht="18" customHeight="1" x14ac:dyDescent="0.3">
      <c r="A105" s="733" t="s">
        <v>127</v>
      </c>
      <c r="B105" s="1354"/>
      <c r="C105" s="1355"/>
      <c r="D105" s="1356"/>
      <c r="E105" s="742"/>
      <c r="F105" s="646"/>
      <c r="G105" s="646"/>
      <c r="H105" s="647"/>
      <c r="I105" s="673">
        <f>H105*F$114</f>
        <v>0</v>
      </c>
      <c r="J105" s="647"/>
      <c r="K105" s="648">
        <f>(H105+I105)-J105</f>
        <v>0</v>
      </c>
    </row>
    <row r="106" spans="1:11" ht="18" customHeight="1" x14ac:dyDescent="0.3">
      <c r="A106" s="733" t="s">
        <v>129</v>
      </c>
      <c r="B106" s="1354"/>
      <c r="C106" s="1355"/>
      <c r="D106" s="1356"/>
      <c r="E106" s="742"/>
      <c r="F106" s="646"/>
      <c r="G106" s="646"/>
      <c r="H106" s="647"/>
      <c r="I106" s="673">
        <f>H106*F$114</f>
        <v>0</v>
      </c>
      <c r="J106" s="647"/>
      <c r="K106" s="648">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832</v>
      </c>
      <c r="G108" s="650">
        <f t="shared" si="12"/>
        <v>0</v>
      </c>
      <c r="H108" s="648">
        <f t="shared" si="12"/>
        <v>77462.5962</v>
      </c>
      <c r="I108" s="648">
        <f t="shared" si="12"/>
        <v>37979.910916859997</v>
      </c>
      <c r="J108" s="648">
        <f t="shared" si="12"/>
        <v>0</v>
      </c>
      <c r="K108" s="648">
        <f t="shared" si="12"/>
        <v>115442.50711686</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5174000</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656">
        <v>0.49030000000000001</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647">
        <v>205151000</v>
      </c>
      <c r="G117" s="740"/>
      <c r="H117" s="740"/>
      <c r="I117" s="740"/>
      <c r="J117" s="740"/>
      <c r="K117" s="740"/>
    </row>
    <row r="118" spans="1:11" ht="18" customHeight="1" x14ac:dyDescent="0.3">
      <c r="A118" s="733" t="s">
        <v>173</v>
      </c>
      <c r="B118" s="742" t="s">
        <v>18</v>
      </c>
      <c r="C118" s="742"/>
      <c r="D118" s="742"/>
      <c r="E118" s="742"/>
      <c r="F118" s="647">
        <v>10221000</v>
      </c>
      <c r="G118" s="740"/>
      <c r="H118" s="740"/>
      <c r="I118" s="740"/>
      <c r="J118" s="740"/>
      <c r="K118" s="740"/>
    </row>
    <row r="119" spans="1:11" ht="18" customHeight="1" x14ac:dyDescent="0.3">
      <c r="A119" s="733" t="s">
        <v>174</v>
      </c>
      <c r="B119" s="636" t="s">
        <v>19</v>
      </c>
      <c r="C119" s="742"/>
      <c r="D119" s="742"/>
      <c r="E119" s="742"/>
      <c r="F119" s="649">
        <f>SUM(F117:F118)</f>
        <v>215372000</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647">
        <v>204226000</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647">
        <v>11146000</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647">
        <v>-462000</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647">
        <v>10684000</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646"/>
      <c r="G131" s="646"/>
      <c r="H131" s="647"/>
      <c r="I131" s="673">
        <v>0</v>
      </c>
      <c r="J131" s="647"/>
      <c r="K131" s="648">
        <f>(H131+I131)-J131</f>
        <v>0</v>
      </c>
    </row>
    <row r="132" spans="1:11" ht="18" customHeight="1" x14ac:dyDescent="0.3">
      <c r="A132" s="733" t="s">
        <v>159</v>
      </c>
      <c r="B132" s="742" t="s">
        <v>25</v>
      </c>
      <c r="C132" s="742"/>
      <c r="D132" s="742"/>
      <c r="E132" s="742"/>
      <c r="F132" s="646"/>
      <c r="G132" s="646"/>
      <c r="H132" s="647"/>
      <c r="I132" s="673">
        <v>0</v>
      </c>
      <c r="J132" s="647"/>
      <c r="K132" s="648">
        <f>(H132+I132)-J132</f>
        <v>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664">
        <f t="shared" ref="F141:K141" si="14">F36</f>
        <v>5361</v>
      </c>
      <c r="G141" s="664">
        <f t="shared" si="14"/>
        <v>6706</v>
      </c>
      <c r="H141" s="664">
        <f t="shared" si="14"/>
        <v>656191.23133599991</v>
      </c>
      <c r="I141" s="664">
        <f t="shared" si="14"/>
        <v>321730.56072404084</v>
      </c>
      <c r="J141" s="664">
        <f t="shared" si="14"/>
        <v>20000</v>
      </c>
      <c r="K141" s="664">
        <f t="shared" si="14"/>
        <v>957921.79206004064</v>
      </c>
    </row>
    <row r="142" spans="1:11" ht="18" customHeight="1" x14ac:dyDescent="0.3">
      <c r="A142" s="733" t="s">
        <v>142</v>
      </c>
      <c r="B142" s="636" t="s">
        <v>65</v>
      </c>
      <c r="C142" s="742"/>
      <c r="D142" s="742"/>
      <c r="E142" s="742"/>
      <c r="F142" s="664">
        <f t="shared" ref="F142:K142" si="15">F49</f>
        <v>144071.57504</v>
      </c>
      <c r="G142" s="664">
        <f t="shared" si="15"/>
        <v>0</v>
      </c>
      <c r="H142" s="664">
        <f t="shared" si="15"/>
        <v>7044363.023351999</v>
      </c>
      <c r="I142" s="664">
        <f t="shared" si="15"/>
        <v>0</v>
      </c>
      <c r="J142" s="664">
        <f t="shared" si="15"/>
        <v>0</v>
      </c>
      <c r="K142" s="664">
        <f t="shared" si="15"/>
        <v>7044363.023351999</v>
      </c>
    </row>
    <row r="143" spans="1:11" ht="18" customHeight="1" x14ac:dyDescent="0.3">
      <c r="A143" s="733" t="s">
        <v>144</v>
      </c>
      <c r="B143" s="636" t="s">
        <v>66</v>
      </c>
      <c r="C143" s="742"/>
      <c r="D143" s="742"/>
      <c r="E143" s="742"/>
      <c r="F143" s="664">
        <f t="shared" ref="F143:K143" si="16">F64</f>
        <v>0</v>
      </c>
      <c r="G143" s="664">
        <f t="shared" si="16"/>
        <v>0</v>
      </c>
      <c r="H143" s="664">
        <f t="shared" si="16"/>
        <v>16046717</v>
      </c>
      <c r="I143" s="664">
        <f t="shared" si="16"/>
        <v>0</v>
      </c>
      <c r="J143" s="664">
        <f t="shared" si="16"/>
        <v>0</v>
      </c>
      <c r="K143" s="664">
        <f t="shared" si="16"/>
        <v>16046717</v>
      </c>
    </row>
    <row r="144" spans="1:11" ht="18" customHeight="1" x14ac:dyDescent="0.3">
      <c r="A144" s="733"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733" t="s">
        <v>148</v>
      </c>
      <c r="B145" s="636" t="s">
        <v>68</v>
      </c>
      <c r="C145" s="742"/>
      <c r="D145" s="742"/>
      <c r="E145" s="742"/>
      <c r="F145" s="664">
        <f t="shared" ref="F145:K145" si="18">F82</f>
        <v>628.5</v>
      </c>
      <c r="G145" s="664">
        <f t="shared" si="18"/>
        <v>0</v>
      </c>
      <c r="H145" s="664">
        <f t="shared" si="18"/>
        <v>98072.25</v>
      </c>
      <c r="I145" s="664">
        <f t="shared" si="18"/>
        <v>0</v>
      </c>
      <c r="J145" s="664">
        <f t="shared" si="18"/>
        <v>0</v>
      </c>
      <c r="K145" s="664">
        <f t="shared" si="18"/>
        <v>98072.25</v>
      </c>
    </row>
    <row r="146" spans="1:11" ht="18" customHeight="1" x14ac:dyDescent="0.3">
      <c r="A146" s="733" t="s">
        <v>150</v>
      </c>
      <c r="B146" s="636" t="s">
        <v>69</v>
      </c>
      <c r="C146" s="742"/>
      <c r="D146" s="742"/>
      <c r="E146" s="742"/>
      <c r="F146" s="664">
        <f t="shared" ref="F146:K146" si="19">F98</f>
        <v>1058</v>
      </c>
      <c r="G146" s="664">
        <f t="shared" si="19"/>
        <v>2141</v>
      </c>
      <c r="H146" s="664">
        <f t="shared" si="19"/>
        <v>51232.22</v>
      </c>
      <c r="I146" s="664">
        <f t="shared" si="19"/>
        <v>25119.157466000001</v>
      </c>
      <c r="J146" s="664">
        <f t="shared" si="19"/>
        <v>0</v>
      </c>
      <c r="K146" s="664">
        <f t="shared" si="19"/>
        <v>76351.377466000005</v>
      </c>
    </row>
    <row r="147" spans="1:11" ht="18" customHeight="1" x14ac:dyDescent="0.3">
      <c r="A147" s="733" t="s">
        <v>153</v>
      </c>
      <c r="B147" s="636" t="s">
        <v>61</v>
      </c>
      <c r="C147" s="742"/>
      <c r="D147" s="742"/>
      <c r="E147" s="742"/>
      <c r="F147" s="650">
        <f t="shared" ref="F147:K147" si="20">F108</f>
        <v>832</v>
      </c>
      <c r="G147" s="650">
        <f t="shared" si="20"/>
        <v>0</v>
      </c>
      <c r="H147" s="650">
        <f t="shared" si="20"/>
        <v>77462.5962</v>
      </c>
      <c r="I147" s="650">
        <f t="shared" si="20"/>
        <v>37979.910916859997</v>
      </c>
      <c r="J147" s="650">
        <f t="shared" si="20"/>
        <v>0</v>
      </c>
      <c r="K147" s="650">
        <f t="shared" si="20"/>
        <v>115442.50711686</v>
      </c>
    </row>
    <row r="148" spans="1:11" ht="18" customHeight="1" x14ac:dyDescent="0.3">
      <c r="A148" s="733" t="s">
        <v>155</v>
      </c>
      <c r="B148" s="636" t="s">
        <v>70</v>
      </c>
      <c r="C148" s="742"/>
      <c r="D148" s="742"/>
      <c r="E148" s="742"/>
      <c r="F148" s="665" t="s">
        <v>73</v>
      </c>
      <c r="G148" s="665" t="s">
        <v>73</v>
      </c>
      <c r="H148" s="666" t="s">
        <v>73</v>
      </c>
      <c r="I148" s="666" t="s">
        <v>73</v>
      </c>
      <c r="J148" s="666" t="s">
        <v>73</v>
      </c>
      <c r="K148" s="660">
        <f>F111</f>
        <v>5174000</v>
      </c>
    </row>
    <row r="149" spans="1:11" ht="18" customHeight="1" x14ac:dyDescent="0.3">
      <c r="A149" s="733"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733" t="s">
        <v>185</v>
      </c>
      <c r="B150" s="636" t="s">
        <v>186</v>
      </c>
      <c r="C150" s="742"/>
      <c r="D150" s="742"/>
      <c r="E150" s="742"/>
      <c r="F150" s="665" t="s">
        <v>73</v>
      </c>
      <c r="G150" s="665" t="s">
        <v>73</v>
      </c>
      <c r="H150" s="650">
        <f>H18</f>
        <v>5010884</v>
      </c>
      <c r="I150" s="650">
        <f>I18</f>
        <v>0</v>
      </c>
      <c r="J150" s="650">
        <f>J18</f>
        <v>4235186</v>
      </c>
      <c r="K150" s="650">
        <f>K18</f>
        <v>775698</v>
      </c>
    </row>
    <row r="151" spans="1:11" ht="18" customHeight="1" x14ac:dyDescent="0.3">
      <c r="A151" s="742"/>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151951.07504</v>
      </c>
      <c r="G152" s="672">
        <f t="shared" si="22"/>
        <v>8847</v>
      </c>
      <c r="H152" s="672">
        <f t="shared" si="22"/>
        <v>28984922.320887998</v>
      </c>
      <c r="I152" s="672">
        <f t="shared" si="22"/>
        <v>384829.62910690083</v>
      </c>
      <c r="J152" s="672">
        <f t="shared" si="22"/>
        <v>4255186</v>
      </c>
      <c r="K152" s="672">
        <f t="shared" si="22"/>
        <v>30288565.949994903</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0.14830905932640753</v>
      </c>
      <c r="G154" s="742"/>
      <c r="H154" s="742"/>
      <c r="I154" s="742"/>
      <c r="J154" s="742"/>
      <c r="K154" s="742"/>
    </row>
    <row r="155" spans="1:11" ht="18" customHeight="1" x14ac:dyDescent="0.3">
      <c r="A155" s="639" t="s">
        <v>169</v>
      </c>
      <c r="B155" s="636" t="s">
        <v>72</v>
      </c>
      <c r="C155" s="742"/>
      <c r="D155" s="742"/>
      <c r="E155" s="742"/>
      <c r="F155" s="687">
        <f>K152/F127</f>
        <v>2.8349462701230723</v>
      </c>
      <c r="G155" s="636"/>
      <c r="H155" s="742"/>
      <c r="I155" s="742"/>
      <c r="J155" s="742"/>
      <c r="K155" s="742"/>
    </row>
    <row r="156" spans="1:11" ht="18" customHeight="1" x14ac:dyDescent="0.3">
      <c r="A156" s="470"/>
      <c r="B156" s="470"/>
      <c r="C156" s="470"/>
      <c r="D156" s="470"/>
      <c r="E156" s="470"/>
      <c r="F156" s="470"/>
      <c r="G156" s="471"/>
      <c r="H156" s="470"/>
      <c r="I156" s="470"/>
      <c r="J156" s="470"/>
      <c r="K156" s="470"/>
    </row>
  </sheetData>
  <sheetProtection sheet="1" objects="1" scenarios="1"/>
  <mergeCells count="34">
    <mergeCell ref="C5:G5"/>
    <mergeCell ref="C6:G6"/>
    <mergeCell ref="C7:G7"/>
    <mergeCell ref="C9:G9"/>
    <mergeCell ref="C10:G10"/>
    <mergeCell ref="B34:D34"/>
    <mergeCell ref="C11:G11"/>
    <mergeCell ref="B41:C41"/>
    <mergeCell ref="B44:D44"/>
    <mergeCell ref="B13:H13"/>
    <mergeCell ref="B30:D30"/>
    <mergeCell ref="B31:D31"/>
    <mergeCell ref="B56:D56"/>
    <mergeCell ref="B59:D59"/>
    <mergeCell ref="B62:D62"/>
    <mergeCell ref="B45:D45"/>
    <mergeCell ref="B46:D46"/>
    <mergeCell ref="B47:D47"/>
    <mergeCell ref="B103:C103"/>
    <mergeCell ref="D2:H2"/>
    <mergeCell ref="B134:D134"/>
    <mergeCell ref="B135:D135"/>
    <mergeCell ref="B133:D133"/>
    <mergeCell ref="B104:D104"/>
    <mergeCell ref="B105:D105"/>
    <mergeCell ref="B106:D106"/>
    <mergeCell ref="B96:D96"/>
    <mergeCell ref="B95:D95"/>
    <mergeCell ref="B57:D57"/>
    <mergeCell ref="B94:D94"/>
    <mergeCell ref="B52:C52"/>
    <mergeCell ref="B90:C90"/>
    <mergeCell ref="B53:D53"/>
    <mergeCell ref="B55:D55"/>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156"/>
  <sheetViews>
    <sheetView zoomScale="70" zoomScaleNormal="70" zoomScaleSheetLayoutView="70" workbookViewId="0"/>
  </sheetViews>
  <sheetFormatPr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256" width="9.26953125" style="28"/>
    <col min="257" max="257" width="8.26953125" style="28" customWidth="1"/>
    <col min="258" max="258" width="55.453125" style="28" bestFit="1" customWidth="1"/>
    <col min="259" max="259" width="9.54296875" style="28" customWidth="1"/>
    <col min="260" max="260" width="9.26953125" style="28"/>
    <col min="261" max="261" width="12.453125" style="28" customWidth="1"/>
    <col min="262" max="262" width="18.54296875" style="28" customWidth="1"/>
    <col min="263" max="263" width="23.54296875" style="28" customWidth="1"/>
    <col min="264" max="264" width="17.26953125" style="28" customWidth="1"/>
    <col min="265" max="265" width="21.26953125" style="28" customWidth="1"/>
    <col min="266" max="266" width="19.7265625" style="28" customWidth="1"/>
    <col min="267" max="267" width="17.54296875" style="28" customWidth="1"/>
    <col min="268" max="512" width="9.26953125" style="28"/>
    <col min="513" max="513" width="8.26953125" style="28" customWidth="1"/>
    <col min="514" max="514" width="55.453125" style="28" bestFit="1" customWidth="1"/>
    <col min="515" max="515" width="9.54296875" style="28" customWidth="1"/>
    <col min="516" max="516" width="9.26953125" style="28"/>
    <col min="517" max="517" width="12.453125" style="28" customWidth="1"/>
    <col min="518" max="518" width="18.54296875" style="28" customWidth="1"/>
    <col min="519" max="519" width="23.54296875" style="28" customWidth="1"/>
    <col min="520" max="520" width="17.26953125" style="28" customWidth="1"/>
    <col min="521" max="521" width="21.26953125" style="28" customWidth="1"/>
    <col min="522" max="522" width="19.7265625" style="28" customWidth="1"/>
    <col min="523" max="523" width="17.54296875" style="28" customWidth="1"/>
    <col min="524" max="768" width="9.26953125" style="28"/>
    <col min="769" max="769" width="8.26953125" style="28" customWidth="1"/>
    <col min="770" max="770" width="55.453125" style="28" bestFit="1" customWidth="1"/>
    <col min="771" max="771" width="9.54296875" style="28" customWidth="1"/>
    <col min="772" max="772" width="9.26953125" style="28"/>
    <col min="773" max="773" width="12.453125" style="28" customWidth="1"/>
    <col min="774" max="774" width="18.54296875" style="28" customWidth="1"/>
    <col min="775" max="775" width="23.54296875" style="28" customWidth="1"/>
    <col min="776" max="776" width="17.26953125" style="28" customWidth="1"/>
    <col min="777" max="777" width="21.26953125" style="28" customWidth="1"/>
    <col min="778" max="778" width="19.7265625" style="28" customWidth="1"/>
    <col min="779" max="779" width="17.54296875" style="28" customWidth="1"/>
    <col min="780" max="1024" width="9.26953125" style="28"/>
    <col min="1025" max="1025" width="8.26953125" style="28" customWidth="1"/>
    <col min="1026" max="1026" width="55.453125" style="28" bestFit="1" customWidth="1"/>
    <col min="1027" max="1027" width="9.54296875" style="28" customWidth="1"/>
    <col min="1028" max="1028" width="9.26953125" style="28"/>
    <col min="1029" max="1029" width="12.453125" style="28" customWidth="1"/>
    <col min="1030" max="1030" width="18.54296875" style="28" customWidth="1"/>
    <col min="1031" max="1031" width="23.54296875" style="28" customWidth="1"/>
    <col min="1032" max="1032" width="17.26953125" style="28" customWidth="1"/>
    <col min="1033" max="1033" width="21.26953125" style="28" customWidth="1"/>
    <col min="1034" max="1034" width="19.7265625" style="28" customWidth="1"/>
    <col min="1035" max="1035" width="17.54296875" style="28" customWidth="1"/>
    <col min="1036" max="1280" width="9.26953125" style="28"/>
    <col min="1281" max="1281" width="8.26953125" style="28" customWidth="1"/>
    <col min="1282" max="1282" width="55.453125" style="28" bestFit="1" customWidth="1"/>
    <col min="1283" max="1283" width="9.54296875" style="28" customWidth="1"/>
    <col min="1284" max="1284" width="9.26953125" style="28"/>
    <col min="1285" max="1285" width="12.453125" style="28" customWidth="1"/>
    <col min="1286" max="1286" width="18.54296875" style="28" customWidth="1"/>
    <col min="1287" max="1287" width="23.54296875" style="28" customWidth="1"/>
    <col min="1288" max="1288" width="17.26953125" style="28" customWidth="1"/>
    <col min="1289" max="1289" width="21.26953125" style="28" customWidth="1"/>
    <col min="1290" max="1290" width="19.7265625" style="28" customWidth="1"/>
    <col min="1291" max="1291" width="17.54296875" style="28" customWidth="1"/>
    <col min="1292" max="1536" width="9.26953125" style="28"/>
    <col min="1537" max="1537" width="8.26953125" style="28" customWidth="1"/>
    <col min="1538" max="1538" width="55.453125" style="28" bestFit="1" customWidth="1"/>
    <col min="1539" max="1539" width="9.54296875" style="28" customWidth="1"/>
    <col min="1540" max="1540" width="9.26953125" style="28"/>
    <col min="1541" max="1541" width="12.453125" style="28" customWidth="1"/>
    <col min="1542" max="1542" width="18.54296875" style="28" customWidth="1"/>
    <col min="1543" max="1543" width="23.54296875" style="28" customWidth="1"/>
    <col min="1544" max="1544" width="17.26953125" style="28" customWidth="1"/>
    <col min="1545" max="1545" width="21.26953125" style="28" customWidth="1"/>
    <col min="1546" max="1546" width="19.7265625" style="28" customWidth="1"/>
    <col min="1547" max="1547" width="17.54296875" style="28" customWidth="1"/>
    <col min="1548" max="1792" width="9.26953125" style="28"/>
    <col min="1793" max="1793" width="8.26953125" style="28" customWidth="1"/>
    <col min="1794" max="1794" width="55.453125" style="28" bestFit="1" customWidth="1"/>
    <col min="1795" max="1795" width="9.54296875" style="28" customWidth="1"/>
    <col min="1796" max="1796" width="9.26953125" style="28"/>
    <col min="1797" max="1797" width="12.453125" style="28" customWidth="1"/>
    <col min="1798" max="1798" width="18.54296875" style="28" customWidth="1"/>
    <col min="1799" max="1799" width="23.54296875" style="28" customWidth="1"/>
    <col min="1800" max="1800" width="17.26953125" style="28" customWidth="1"/>
    <col min="1801" max="1801" width="21.26953125" style="28" customWidth="1"/>
    <col min="1802" max="1802" width="19.7265625" style="28" customWidth="1"/>
    <col min="1803" max="1803" width="17.54296875" style="28" customWidth="1"/>
    <col min="1804" max="2048" width="9.26953125" style="28"/>
    <col min="2049" max="2049" width="8.26953125" style="28" customWidth="1"/>
    <col min="2050" max="2050" width="55.453125" style="28" bestFit="1" customWidth="1"/>
    <col min="2051" max="2051" width="9.54296875" style="28" customWidth="1"/>
    <col min="2052" max="2052" width="9.26953125" style="28"/>
    <col min="2053" max="2053" width="12.453125" style="28" customWidth="1"/>
    <col min="2054" max="2054" width="18.54296875" style="28" customWidth="1"/>
    <col min="2055" max="2055" width="23.54296875" style="28" customWidth="1"/>
    <col min="2056" max="2056" width="17.26953125" style="28" customWidth="1"/>
    <col min="2057" max="2057" width="21.26953125" style="28" customWidth="1"/>
    <col min="2058" max="2058" width="19.7265625" style="28" customWidth="1"/>
    <col min="2059" max="2059" width="17.54296875" style="28" customWidth="1"/>
    <col min="2060" max="2304" width="9.26953125" style="28"/>
    <col min="2305" max="2305" width="8.26953125" style="28" customWidth="1"/>
    <col min="2306" max="2306" width="55.453125" style="28" bestFit="1" customWidth="1"/>
    <col min="2307" max="2307" width="9.54296875" style="28" customWidth="1"/>
    <col min="2308" max="2308" width="9.26953125" style="28"/>
    <col min="2309" max="2309" width="12.453125" style="28" customWidth="1"/>
    <col min="2310" max="2310" width="18.54296875" style="28" customWidth="1"/>
    <col min="2311" max="2311" width="23.54296875" style="28" customWidth="1"/>
    <col min="2312" max="2312" width="17.26953125" style="28" customWidth="1"/>
    <col min="2313" max="2313" width="21.26953125" style="28" customWidth="1"/>
    <col min="2314" max="2314" width="19.7265625" style="28" customWidth="1"/>
    <col min="2315" max="2315" width="17.54296875" style="28" customWidth="1"/>
    <col min="2316" max="2560" width="9.26953125" style="28"/>
    <col min="2561" max="2561" width="8.26953125" style="28" customWidth="1"/>
    <col min="2562" max="2562" width="55.453125" style="28" bestFit="1" customWidth="1"/>
    <col min="2563" max="2563" width="9.54296875" style="28" customWidth="1"/>
    <col min="2564" max="2564" width="9.26953125" style="28"/>
    <col min="2565" max="2565" width="12.453125" style="28" customWidth="1"/>
    <col min="2566" max="2566" width="18.54296875" style="28" customWidth="1"/>
    <col min="2567" max="2567" width="23.54296875" style="28" customWidth="1"/>
    <col min="2568" max="2568" width="17.26953125" style="28" customWidth="1"/>
    <col min="2569" max="2569" width="21.26953125" style="28" customWidth="1"/>
    <col min="2570" max="2570" width="19.7265625" style="28" customWidth="1"/>
    <col min="2571" max="2571" width="17.54296875" style="28" customWidth="1"/>
    <col min="2572" max="2816" width="9.26953125" style="28"/>
    <col min="2817" max="2817" width="8.26953125" style="28" customWidth="1"/>
    <col min="2818" max="2818" width="55.453125" style="28" bestFit="1" customWidth="1"/>
    <col min="2819" max="2819" width="9.54296875" style="28" customWidth="1"/>
    <col min="2820" max="2820" width="9.26953125" style="28"/>
    <col min="2821" max="2821" width="12.453125" style="28" customWidth="1"/>
    <col min="2822" max="2822" width="18.54296875" style="28" customWidth="1"/>
    <col min="2823" max="2823" width="23.54296875" style="28" customWidth="1"/>
    <col min="2824" max="2824" width="17.26953125" style="28" customWidth="1"/>
    <col min="2825" max="2825" width="21.26953125" style="28" customWidth="1"/>
    <col min="2826" max="2826" width="19.7265625" style="28" customWidth="1"/>
    <col min="2827" max="2827" width="17.54296875" style="28" customWidth="1"/>
    <col min="2828" max="3072" width="9.26953125" style="28"/>
    <col min="3073" max="3073" width="8.26953125" style="28" customWidth="1"/>
    <col min="3074" max="3074" width="55.453125" style="28" bestFit="1" customWidth="1"/>
    <col min="3075" max="3075" width="9.54296875" style="28" customWidth="1"/>
    <col min="3076" max="3076" width="9.26953125" style="28"/>
    <col min="3077" max="3077" width="12.453125" style="28" customWidth="1"/>
    <col min="3078" max="3078" width="18.54296875" style="28" customWidth="1"/>
    <col min="3079" max="3079" width="23.54296875" style="28" customWidth="1"/>
    <col min="3080" max="3080" width="17.26953125" style="28" customWidth="1"/>
    <col min="3081" max="3081" width="21.26953125" style="28" customWidth="1"/>
    <col min="3082" max="3082" width="19.7265625" style="28" customWidth="1"/>
    <col min="3083" max="3083" width="17.54296875" style="28" customWidth="1"/>
    <col min="3084" max="3328" width="9.26953125" style="28"/>
    <col min="3329" max="3329" width="8.26953125" style="28" customWidth="1"/>
    <col min="3330" max="3330" width="55.453125" style="28" bestFit="1" customWidth="1"/>
    <col min="3331" max="3331" width="9.54296875" style="28" customWidth="1"/>
    <col min="3332" max="3332" width="9.26953125" style="28"/>
    <col min="3333" max="3333" width="12.453125" style="28" customWidth="1"/>
    <col min="3334" max="3334" width="18.54296875" style="28" customWidth="1"/>
    <col min="3335" max="3335" width="23.54296875" style="28" customWidth="1"/>
    <col min="3336" max="3336" width="17.26953125" style="28" customWidth="1"/>
    <col min="3337" max="3337" width="21.26953125" style="28" customWidth="1"/>
    <col min="3338" max="3338" width="19.7265625" style="28" customWidth="1"/>
    <col min="3339" max="3339" width="17.54296875" style="28" customWidth="1"/>
    <col min="3340" max="3584" width="9.26953125" style="28"/>
    <col min="3585" max="3585" width="8.26953125" style="28" customWidth="1"/>
    <col min="3586" max="3586" width="55.453125" style="28" bestFit="1" customWidth="1"/>
    <col min="3587" max="3587" width="9.54296875" style="28" customWidth="1"/>
    <col min="3588" max="3588" width="9.26953125" style="28"/>
    <col min="3589" max="3589" width="12.453125" style="28" customWidth="1"/>
    <col min="3590" max="3590" width="18.54296875" style="28" customWidth="1"/>
    <col min="3591" max="3591" width="23.54296875" style="28" customWidth="1"/>
    <col min="3592" max="3592" width="17.26953125" style="28" customWidth="1"/>
    <col min="3593" max="3593" width="21.26953125" style="28" customWidth="1"/>
    <col min="3594" max="3594" width="19.7265625" style="28" customWidth="1"/>
    <col min="3595" max="3595" width="17.54296875" style="28" customWidth="1"/>
    <col min="3596" max="3840" width="9.26953125" style="28"/>
    <col min="3841" max="3841" width="8.26953125" style="28" customWidth="1"/>
    <col min="3842" max="3842" width="55.453125" style="28" bestFit="1" customWidth="1"/>
    <col min="3843" max="3843" width="9.54296875" style="28" customWidth="1"/>
    <col min="3844" max="3844" width="9.26953125" style="28"/>
    <col min="3845" max="3845" width="12.453125" style="28" customWidth="1"/>
    <col min="3846" max="3846" width="18.54296875" style="28" customWidth="1"/>
    <col min="3847" max="3847" width="23.54296875" style="28" customWidth="1"/>
    <col min="3848" max="3848" width="17.26953125" style="28" customWidth="1"/>
    <col min="3849" max="3849" width="21.26953125" style="28" customWidth="1"/>
    <col min="3850" max="3850" width="19.7265625" style="28" customWidth="1"/>
    <col min="3851" max="3851" width="17.54296875" style="28" customWidth="1"/>
    <col min="3852" max="4096" width="9.26953125" style="28"/>
    <col min="4097" max="4097" width="8.26953125" style="28" customWidth="1"/>
    <col min="4098" max="4098" width="55.453125" style="28" bestFit="1" customWidth="1"/>
    <col min="4099" max="4099" width="9.54296875" style="28" customWidth="1"/>
    <col min="4100" max="4100" width="9.26953125" style="28"/>
    <col min="4101" max="4101" width="12.453125" style="28" customWidth="1"/>
    <col min="4102" max="4102" width="18.54296875" style="28" customWidth="1"/>
    <col min="4103" max="4103" width="23.54296875" style="28" customWidth="1"/>
    <col min="4104" max="4104" width="17.26953125" style="28" customWidth="1"/>
    <col min="4105" max="4105" width="21.26953125" style="28" customWidth="1"/>
    <col min="4106" max="4106" width="19.7265625" style="28" customWidth="1"/>
    <col min="4107" max="4107" width="17.54296875" style="28" customWidth="1"/>
    <col min="4108" max="4352" width="9.26953125" style="28"/>
    <col min="4353" max="4353" width="8.26953125" style="28" customWidth="1"/>
    <col min="4354" max="4354" width="55.453125" style="28" bestFit="1" customWidth="1"/>
    <col min="4355" max="4355" width="9.54296875" style="28" customWidth="1"/>
    <col min="4356" max="4356" width="9.26953125" style="28"/>
    <col min="4357" max="4357" width="12.453125" style="28" customWidth="1"/>
    <col min="4358" max="4358" width="18.54296875" style="28" customWidth="1"/>
    <col min="4359" max="4359" width="23.54296875" style="28" customWidth="1"/>
    <col min="4360" max="4360" width="17.26953125" style="28" customWidth="1"/>
    <col min="4361" max="4361" width="21.26953125" style="28" customWidth="1"/>
    <col min="4362" max="4362" width="19.7265625" style="28" customWidth="1"/>
    <col min="4363" max="4363" width="17.54296875" style="28" customWidth="1"/>
    <col min="4364" max="4608" width="9.26953125" style="28"/>
    <col min="4609" max="4609" width="8.26953125" style="28" customWidth="1"/>
    <col min="4610" max="4610" width="55.453125" style="28" bestFit="1" customWidth="1"/>
    <col min="4611" max="4611" width="9.54296875" style="28" customWidth="1"/>
    <col min="4612" max="4612" width="9.26953125" style="28"/>
    <col min="4613" max="4613" width="12.453125" style="28" customWidth="1"/>
    <col min="4614" max="4614" width="18.54296875" style="28" customWidth="1"/>
    <col min="4615" max="4615" width="23.54296875" style="28" customWidth="1"/>
    <col min="4616" max="4616" width="17.26953125" style="28" customWidth="1"/>
    <col min="4617" max="4617" width="21.26953125" style="28" customWidth="1"/>
    <col min="4618" max="4618" width="19.7265625" style="28" customWidth="1"/>
    <col min="4619" max="4619" width="17.54296875" style="28" customWidth="1"/>
    <col min="4620" max="4864" width="9.26953125" style="28"/>
    <col min="4865" max="4865" width="8.26953125" style="28" customWidth="1"/>
    <col min="4866" max="4866" width="55.453125" style="28" bestFit="1" customWidth="1"/>
    <col min="4867" max="4867" width="9.54296875" style="28" customWidth="1"/>
    <col min="4868" max="4868" width="9.26953125" style="28"/>
    <col min="4869" max="4869" width="12.453125" style="28" customWidth="1"/>
    <col min="4870" max="4870" width="18.54296875" style="28" customWidth="1"/>
    <col min="4871" max="4871" width="23.54296875" style="28" customWidth="1"/>
    <col min="4872" max="4872" width="17.26953125" style="28" customWidth="1"/>
    <col min="4873" max="4873" width="21.26953125" style="28" customWidth="1"/>
    <col min="4874" max="4874" width="19.7265625" style="28" customWidth="1"/>
    <col min="4875" max="4875" width="17.54296875" style="28" customWidth="1"/>
    <col min="4876" max="5120" width="9.26953125" style="28"/>
    <col min="5121" max="5121" width="8.26953125" style="28" customWidth="1"/>
    <col min="5122" max="5122" width="55.453125" style="28" bestFit="1" customWidth="1"/>
    <col min="5123" max="5123" width="9.54296875" style="28" customWidth="1"/>
    <col min="5124" max="5124" width="9.26953125" style="28"/>
    <col min="5125" max="5125" width="12.453125" style="28" customWidth="1"/>
    <col min="5126" max="5126" width="18.54296875" style="28" customWidth="1"/>
    <col min="5127" max="5127" width="23.54296875" style="28" customWidth="1"/>
    <col min="5128" max="5128" width="17.26953125" style="28" customWidth="1"/>
    <col min="5129" max="5129" width="21.26953125" style="28" customWidth="1"/>
    <col min="5130" max="5130" width="19.7265625" style="28" customWidth="1"/>
    <col min="5131" max="5131" width="17.54296875" style="28" customWidth="1"/>
    <col min="5132" max="5376" width="9.26953125" style="28"/>
    <col min="5377" max="5377" width="8.26953125" style="28" customWidth="1"/>
    <col min="5378" max="5378" width="55.453125" style="28" bestFit="1" customWidth="1"/>
    <col min="5379" max="5379" width="9.54296875" style="28" customWidth="1"/>
    <col min="5380" max="5380" width="9.26953125" style="28"/>
    <col min="5381" max="5381" width="12.453125" style="28" customWidth="1"/>
    <col min="5382" max="5382" width="18.54296875" style="28" customWidth="1"/>
    <col min="5383" max="5383" width="23.54296875" style="28" customWidth="1"/>
    <col min="5384" max="5384" width="17.26953125" style="28" customWidth="1"/>
    <col min="5385" max="5385" width="21.26953125" style="28" customWidth="1"/>
    <col min="5386" max="5386" width="19.7265625" style="28" customWidth="1"/>
    <col min="5387" max="5387" width="17.54296875" style="28" customWidth="1"/>
    <col min="5388" max="5632" width="9.26953125" style="28"/>
    <col min="5633" max="5633" width="8.26953125" style="28" customWidth="1"/>
    <col min="5634" max="5634" width="55.453125" style="28" bestFit="1" customWidth="1"/>
    <col min="5635" max="5635" width="9.54296875" style="28" customWidth="1"/>
    <col min="5636" max="5636" width="9.26953125" style="28"/>
    <col min="5637" max="5637" width="12.453125" style="28" customWidth="1"/>
    <col min="5638" max="5638" width="18.54296875" style="28" customWidth="1"/>
    <col min="5639" max="5639" width="23.54296875" style="28" customWidth="1"/>
    <col min="5640" max="5640" width="17.26953125" style="28" customWidth="1"/>
    <col min="5641" max="5641" width="21.26953125" style="28" customWidth="1"/>
    <col min="5642" max="5642" width="19.7265625" style="28" customWidth="1"/>
    <col min="5643" max="5643" width="17.54296875" style="28" customWidth="1"/>
    <col min="5644" max="5888" width="9.26953125" style="28"/>
    <col min="5889" max="5889" width="8.26953125" style="28" customWidth="1"/>
    <col min="5890" max="5890" width="55.453125" style="28" bestFit="1" customWidth="1"/>
    <col min="5891" max="5891" width="9.54296875" style="28" customWidth="1"/>
    <col min="5892" max="5892" width="9.26953125" style="28"/>
    <col min="5893" max="5893" width="12.453125" style="28" customWidth="1"/>
    <col min="5894" max="5894" width="18.54296875" style="28" customWidth="1"/>
    <col min="5895" max="5895" width="23.54296875" style="28" customWidth="1"/>
    <col min="5896" max="5896" width="17.26953125" style="28" customWidth="1"/>
    <col min="5897" max="5897" width="21.26953125" style="28" customWidth="1"/>
    <col min="5898" max="5898" width="19.7265625" style="28" customWidth="1"/>
    <col min="5899" max="5899" width="17.54296875" style="28" customWidth="1"/>
    <col min="5900" max="6144" width="9.26953125" style="28"/>
    <col min="6145" max="6145" width="8.26953125" style="28" customWidth="1"/>
    <col min="6146" max="6146" width="55.453125" style="28" bestFit="1" customWidth="1"/>
    <col min="6147" max="6147" width="9.54296875" style="28" customWidth="1"/>
    <col min="6148" max="6148" width="9.26953125" style="28"/>
    <col min="6149" max="6149" width="12.453125" style="28" customWidth="1"/>
    <col min="6150" max="6150" width="18.54296875" style="28" customWidth="1"/>
    <col min="6151" max="6151" width="23.54296875" style="28" customWidth="1"/>
    <col min="6152" max="6152" width="17.26953125" style="28" customWidth="1"/>
    <col min="6153" max="6153" width="21.26953125" style="28" customWidth="1"/>
    <col min="6154" max="6154" width="19.7265625" style="28" customWidth="1"/>
    <col min="6155" max="6155" width="17.54296875" style="28" customWidth="1"/>
    <col min="6156" max="6400" width="9.26953125" style="28"/>
    <col min="6401" max="6401" width="8.26953125" style="28" customWidth="1"/>
    <col min="6402" max="6402" width="55.453125" style="28" bestFit="1" customWidth="1"/>
    <col min="6403" max="6403" width="9.54296875" style="28" customWidth="1"/>
    <col min="6404" max="6404" width="9.26953125" style="28"/>
    <col min="6405" max="6405" width="12.453125" style="28" customWidth="1"/>
    <col min="6406" max="6406" width="18.54296875" style="28" customWidth="1"/>
    <col min="6407" max="6407" width="23.54296875" style="28" customWidth="1"/>
    <col min="6408" max="6408" width="17.26953125" style="28" customWidth="1"/>
    <col min="6409" max="6409" width="21.26953125" style="28" customWidth="1"/>
    <col min="6410" max="6410" width="19.7265625" style="28" customWidth="1"/>
    <col min="6411" max="6411" width="17.54296875" style="28" customWidth="1"/>
    <col min="6412" max="6656" width="9.26953125" style="28"/>
    <col min="6657" max="6657" width="8.26953125" style="28" customWidth="1"/>
    <col min="6658" max="6658" width="55.453125" style="28" bestFit="1" customWidth="1"/>
    <col min="6659" max="6659" width="9.54296875" style="28" customWidth="1"/>
    <col min="6660" max="6660" width="9.26953125" style="28"/>
    <col min="6661" max="6661" width="12.453125" style="28" customWidth="1"/>
    <col min="6662" max="6662" width="18.54296875" style="28" customWidth="1"/>
    <col min="6663" max="6663" width="23.54296875" style="28" customWidth="1"/>
    <col min="6664" max="6664" width="17.26953125" style="28" customWidth="1"/>
    <col min="6665" max="6665" width="21.26953125" style="28" customWidth="1"/>
    <col min="6666" max="6666" width="19.7265625" style="28" customWidth="1"/>
    <col min="6667" max="6667" width="17.54296875" style="28" customWidth="1"/>
    <col min="6668" max="6912" width="9.26953125" style="28"/>
    <col min="6913" max="6913" width="8.26953125" style="28" customWidth="1"/>
    <col min="6914" max="6914" width="55.453125" style="28" bestFit="1" customWidth="1"/>
    <col min="6915" max="6915" width="9.54296875" style="28" customWidth="1"/>
    <col min="6916" max="6916" width="9.26953125" style="28"/>
    <col min="6917" max="6917" width="12.453125" style="28" customWidth="1"/>
    <col min="6918" max="6918" width="18.54296875" style="28" customWidth="1"/>
    <col min="6919" max="6919" width="23.54296875" style="28" customWidth="1"/>
    <col min="6920" max="6920" width="17.26953125" style="28" customWidth="1"/>
    <col min="6921" max="6921" width="21.26953125" style="28" customWidth="1"/>
    <col min="6922" max="6922" width="19.7265625" style="28" customWidth="1"/>
    <col min="6923" max="6923" width="17.54296875" style="28" customWidth="1"/>
    <col min="6924" max="7168" width="9.26953125" style="28"/>
    <col min="7169" max="7169" width="8.26953125" style="28" customWidth="1"/>
    <col min="7170" max="7170" width="55.453125" style="28" bestFit="1" customWidth="1"/>
    <col min="7171" max="7171" width="9.54296875" style="28" customWidth="1"/>
    <col min="7172" max="7172" width="9.26953125" style="28"/>
    <col min="7173" max="7173" width="12.453125" style="28" customWidth="1"/>
    <col min="7174" max="7174" width="18.54296875" style="28" customWidth="1"/>
    <col min="7175" max="7175" width="23.54296875" style="28" customWidth="1"/>
    <col min="7176" max="7176" width="17.26953125" style="28" customWidth="1"/>
    <col min="7177" max="7177" width="21.26953125" style="28" customWidth="1"/>
    <col min="7178" max="7178" width="19.7265625" style="28" customWidth="1"/>
    <col min="7179" max="7179" width="17.54296875" style="28" customWidth="1"/>
    <col min="7180" max="7424" width="9.26953125" style="28"/>
    <col min="7425" max="7425" width="8.26953125" style="28" customWidth="1"/>
    <col min="7426" max="7426" width="55.453125" style="28" bestFit="1" customWidth="1"/>
    <col min="7427" max="7427" width="9.54296875" style="28" customWidth="1"/>
    <col min="7428" max="7428" width="9.26953125" style="28"/>
    <col min="7429" max="7429" width="12.453125" style="28" customWidth="1"/>
    <col min="7430" max="7430" width="18.54296875" style="28" customWidth="1"/>
    <col min="7431" max="7431" width="23.54296875" style="28" customWidth="1"/>
    <col min="7432" max="7432" width="17.26953125" style="28" customWidth="1"/>
    <col min="7433" max="7433" width="21.26953125" style="28" customWidth="1"/>
    <col min="7434" max="7434" width="19.7265625" style="28" customWidth="1"/>
    <col min="7435" max="7435" width="17.54296875" style="28" customWidth="1"/>
    <col min="7436" max="7680" width="9.26953125" style="28"/>
    <col min="7681" max="7681" width="8.26953125" style="28" customWidth="1"/>
    <col min="7682" max="7682" width="55.453125" style="28" bestFit="1" customWidth="1"/>
    <col min="7683" max="7683" width="9.54296875" style="28" customWidth="1"/>
    <col min="7684" max="7684" width="9.26953125" style="28"/>
    <col min="7685" max="7685" width="12.453125" style="28" customWidth="1"/>
    <col min="7686" max="7686" width="18.54296875" style="28" customWidth="1"/>
    <col min="7687" max="7687" width="23.54296875" style="28" customWidth="1"/>
    <col min="7688" max="7688" width="17.26953125" style="28" customWidth="1"/>
    <col min="7689" max="7689" width="21.26953125" style="28" customWidth="1"/>
    <col min="7690" max="7690" width="19.7265625" style="28" customWidth="1"/>
    <col min="7691" max="7691" width="17.54296875" style="28" customWidth="1"/>
    <col min="7692" max="7936" width="9.26953125" style="28"/>
    <col min="7937" max="7937" width="8.26953125" style="28" customWidth="1"/>
    <col min="7938" max="7938" width="55.453125" style="28" bestFit="1" customWidth="1"/>
    <col min="7939" max="7939" width="9.54296875" style="28" customWidth="1"/>
    <col min="7940" max="7940" width="9.26953125" style="28"/>
    <col min="7941" max="7941" width="12.453125" style="28" customWidth="1"/>
    <col min="7942" max="7942" width="18.54296875" style="28" customWidth="1"/>
    <col min="7943" max="7943" width="23.54296875" style="28" customWidth="1"/>
    <col min="7944" max="7944" width="17.26953125" style="28" customWidth="1"/>
    <col min="7945" max="7945" width="21.26953125" style="28" customWidth="1"/>
    <col min="7946" max="7946" width="19.7265625" style="28" customWidth="1"/>
    <col min="7947" max="7947" width="17.54296875" style="28" customWidth="1"/>
    <col min="7948" max="8192" width="9.26953125" style="28"/>
    <col min="8193" max="8193" width="8.26953125" style="28" customWidth="1"/>
    <col min="8194" max="8194" width="55.453125" style="28" bestFit="1" customWidth="1"/>
    <col min="8195" max="8195" width="9.54296875" style="28" customWidth="1"/>
    <col min="8196" max="8196" width="9.26953125" style="28"/>
    <col min="8197" max="8197" width="12.453125" style="28" customWidth="1"/>
    <col min="8198" max="8198" width="18.54296875" style="28" customWidth="1"/>
    <col min="8199" max="8199" width="23.54296875" style="28" customWidth="1"/>
    <col min="8200" max="8200" width="17.26953125" style="28" customWidth="1"/>
    <col min="8201" max="8201" width="21.26953125" style="28" customWidth="1"/>
    <col min="8202" max="8202" width="19.7265625" style="28" customWidth="1"/>
    <col min="8203" max="8203" width="17.54296875" style="28" customWidth="1"/>
    <col min="8204" max="8448" width="9.26953125" style="28"/>
    <col min="8449" max="8449" width="8.26953125" style="28" customWidth="1"/>
    <col min="8450" max="8450" width="55.453125" style="28" bestFit="1" customWidth="1"/>
    <col min="8451" max="8451" width="9.54296875" style="28" customWidth="1"/>
    <col min="8452" max="8452" width="9.26953125" style="28"/>
    <col min="8453" max="8453" width="12.453125" style="28" customWidth="1"/>
    <col min="8454" max="8454" width="18.54296875" style="28" customWidth="1"/>
    <col min="8455" max="8455" width="23.54296875" style="28" customWidth="1"/>
    <col min="8456" max="8456" width="17.26953125" style="28" customWidth="1"/>
    <col min="8457" max="8457" width="21.26953125" style="28" customWidth="1"/>
    <col min="8458" max="8458" width="19.7265625" style="28" customWidth="1"/>
    <col min="8459" max="8459" width="17.54296875" style="28" customWidth="1"/>
    <col min="8460" max="8704" width="9.26953125" style="28"/>
    <col min="8705" max="8705" width="8.26953125" style="28" customWidth="1"/>
    <col min="8706" max="8706" width="55.453125" style="28" bestFit="1" customWidth="1"/>
    <col min="8707" max="8707" width="9.54296875" style="28" customWidth="1"/>
    <col min="8708" max="8708" width="9.26953125" style="28"/>
    <col min="8709" max="8709" width="12.453125" style="28" customWidth="1"/>
    <col min="8710" max="8710" width="18.54296875" style="28" customWidth="1"/>
    <col min="8711" max="8711" width="23.54296875" style="28" customWidth="1"/>
    <col min="8712" max="8712" width="17.26953125" style="28" customWidth="1"/>
    <col min="8713" max="8713" width="21.26953125" style="28" customWidth="1"/>
    <col min="8714" max="8714" width="19.7265625" style="28" customWidth="1"/>
    <col min="8715" max="8715" width="17.54296875" style="28" customWidth="1"/>
    <col min="8716" max="8960" width="9.26953125" style="28"/>
    <col min="8961" max="8961" width="8.26953125" style="28" customWidth="1"/>
    <col min="8962" max="8962" width="55.453125" style="28" bestFit="1" customWidth="1"/>
    <col min="8963" max="8963" width="9.54296875" style="28" customWidth="1"/>
    <col min="8964" max="8964" width="9.26953125" style="28"/>
    <col min="8965" max="8965" width="12.453125" style="28" customWidth="1"/>
    <col min="8966" max="8966" width="18.54296875" style="28" customWidth="1"/>
    <col min="8967" max="8967" width="23.54296875" style="28" customWidth="1"/>
    <col min="8968" max="8968" width="17.26953125" style="28" customWidth="1"/>
    <col min="8969" max="8969" width="21.26953125" style="28" customWidth="1"/>
    <col min="8970" max="8970" width="19.7265625" style="28" customWidth="1"/>
    <col min="8971" max="8971" width="17.54296875" style="28" customWidth="1"/>
    <col min="8972" max="9216" width="9.26953125" style="28"/>
    <col min="9217" max="9217" width="8.26953125" style="28" customWidth="1"/>
    <col min="9218" max="9218" width="55.453125" style="28" bestFit="1" customWidth="1"/>
    <col min="9219" max="9219" width="9.54296875" style="28" customWidth="1"/>
    <col min="9220" max="9220" width="9.26953125" style="28"/>
    <col min="9221" max="9221" width="12.453125" style="28" customWidth="1"/>
    <col min="9222" max="9222" width="18.54296875" style="28" customWidth="1"/>
    <col min="9223" max="9223" width="23.54296875" style="28" customWidth="1"/>
    <col min="9224" max="9224" width="17.26953125" style="28" customWidth="1"/>
    <col min="9225" max="9225" width="21.26953125" style="28" customWidth="1"/>
    <col min="9226" max="9226" width="19.7265625" style="28" customWidth="1"/>
    <col min="9227" max="9227" width="17.54296875" style="28" customWidth="1"/>
    <col min="9228" max="9472" width="9.26953125" style="28"/>
    <col min="9473" max="9473" width="8.26953125" style="28" customWidth="1"/>
    <col min="9474" max="9474" width="55.453125" style="28" bestFit="1" customWidth="1"/>
    <col min="9475" max="9475" width="9.54296875" style="28" customWidth="1"/>
    <col min="9476" max="9476" width="9.26953125" style="28"/>
    <col min="9477" max="9477" width="12.453125" style="28" customWidth="1"/>
    <col min="9478" max="9478" width="18.54296875" style="28" customWidth="1"/>
    <col min="9479" max="9479" width="23.54296875" style="28" customWidth="1"/>
    <col min="9480" max="9480" width="17.26953125" style="28" customWidth="1"/>
    <col min="9481" max="9481" width="21.26953125" style="28" customWidth="1"/>
    <col min="9482" max="9482" width="19.7265625" style="28" customWidth="1"/>
    <col min="9483" max="9483" width="17.54296875" style="28" customWidth="1"/>
    <col min="9484" max="9728" width="9.26953125" style="28"/>
    <col min="9729" max="9729" width="8.26953125" style="28" customWidth="1"/>
    <col min="9730" max="9730" width="55.453125" style="28" bestFit="1" customWidth="1"/>
    <col min="9731" max="9731" width="9.54296875" style="28" customWidth="1"/>
    <col min="9732" max="9732" width="9.26953125" style="28"/>
    <col min="9733" max="9733" width="12.453125" style="28" customWidth="1"/>
    <col min="9734" max="9734" width="18.54296875" style="28" customWidth="1"/>
    <col min="9735" max="9735" width="23.54296875" style="28" customWidth="1"/>
    <col min="9736" max="9736" width="17.26953125" style="28" customWidth="1"/>
    <col min="9737" max="9737" width="21.26953125" style="28" customWidth="1"/>
    <col min="9738" max="9738" width="19.7265625" style="28" customWidth="1"/>
    <col min="9739" max="9739" width="17.54296875" style="28" customWidth="1"/>
    <col min="9740" max="9984" width="9.26953125" style="28"/>
    <col min="9985" max="9985" width="8.26953125" style="28" customWidth="1"/>
    <col min="9986" max="9986" width="55.453125" style="28" bestFit="1" customWidth="1"/>
    <col min="9987" max="9987" width="9.54296875" style="28" customWidth="1"/>
    <col min="9988" max="9988" width="9.26953125" style="28"/>
    <col min="9989" max="9989" width="12.453125" style="28" customWidth="1"/>
    <col min="9990" max="9990" width="18.54296875" style="28" customWidth="1"/>
    <col min="9991" max="9991" width="23.54296875" style="28" customWidth="1"/>
    <col min="9992" max="9992" width="17.26953125" style="28" customWidth="1"/>
    <col min="9993" max="9993" width="21.26953125" style="28" customWidth="1"/>
    <col min="9994" max="9994" width="19.7265625" style="28" customWidth="1"/>
    <col min="9995" max="9995" width="17.54296875" style="28" customWidth="1"/>
    <col min="9996" max="10240" width="9.26953125" style="28"/>
    <col min="10241" max="10241" width="8.26953125" style="28" customWidth="1"/>
    <col min="10242" max="10242" width="55.453125" style="28" bestFit="1" customWidth="1"/>
    <col min="10243" max="10243" width="9.54296875" style="28" customWidth="1"/>
    <col min="10244" max="10244" width="9.26953125" style="28"/>
    <col min="10245" max="10245" width="12.453125" style="28" customWidth="1"/>
    <col min="10246" max="10246" width="18.54296875" style="28" customWidth="1"/>
    <col min="10247" max="10247" width="23.54296875" style="28" customWidth="1"/>
    <col min="10248" max="10248" width="17.26953125" style="28" customWidth="1"/>
    <col min="10249" max="10249" width="21.26953125" style="28" customWidth="1"/>
    <col min="10250" max="10250" width="19.7265625" style="28" customWidth="1"/>
    <col min="10251" max="10251" width="17.54296875" style="28" customWidth="1"/>
    <col min="10252" max="10496" width="9.26953125" style="28"/>
    <col min="10497" max="10497" width="8.26953125" style="28" customWidth="1"/>
    <col min="10498" max="10498" width="55.453125" style="28" bestFit="1" customWidth="1"/>
    <col min="10499" max="10499" width="9.54296875" style="28" customWidth="1"/>
    <col min="10500" max="10500" width="9.26953125" style="28"/>
    <col min="10501" max="10501" width="12.453125" style="28" customWidth="1"/>
    <col min="10502" max="10502" width="18.54296875" style="28" customWidth="1"/>
    <col min="10503" max="10503" width="23.54296875" style="28" customWidth="1"/>
    <col min="10504" max="10504" width="17.26953125" style="28" customWidth="1"/>
    <col min="10505" max="10505" width="21.26953125" style="28" customWidth="1"/>
    <col min="10506" max="10506" width="19.7265625" style="28" customWidth="1"/>
    <col min="10507" max="10507" width="17.54296875" style="28" customWidth="1"/>
    <col min="10508" max="10752" width="9.26953125" style="28"/>
    <col min="10753" max="10753" width="8.26953125" style="28" customWidth="1"/>
    <col min="10754" max="10754" width="55.453125" style="28" bestFit="1" customWidth="1"/>
    <col min="10755" max="10755" width="9.54296875" style="28" customWidth="1"/>
    <col min="10756" max="10756" width="9.26953125" style="28"/>
    <col min="10757" max="10757" width="12.453125" style="28" customWidth="1"/>
    <col min="10758" max="10758" width="18.54296875" style="28" customWidth="1"/>
    <col min="10759" max="10759" width="23.54296875" style="28" customWidth="1"/>
    <col min="10760" max="10760" width="17.26953125" style="28" customWidth="1"/>
    <col min="10761" max="10761" width="21.26953125" style="28" customWidth="1"/>
    <col min="10762" max="10762" width="19.7265625" style="28" customWidth="1"/>
    <col min="10763" max="10763" width="17.54296875" style="28" customWidth="1"/>
    <col min="10764" max="11008" width="9.26953125" style="28"/>
    <col min="11009" max="11009" width="8.26953125" style="28" customWidth="1"/>
    <col min="11010" max="11010" width="55.453125" style="28" bestFit="1" customWidth="1"/>
    <col min="11011" max="11011" width="9.54296875" style="28" customWidth="1"/>
    <col min="11012" max="11012" width="9.26953125" style="28"/>
    <col min="11013" max="11013" width="12.453125" style="28" customWidth="1"/>
    <col min="11014" max="11014" width="18.54296875" style="28" customWidth="1"/>
    <col min="11015" max="11015" width="23.54296875" style="28" customWidth="1"/>
    <col min="11016" max="11016" width="17.26953125" style="28" customWidth="1"/>
    <col min="11017" max="11017" width="21.26953125" style="28" customWidth="1"/>
    <col min="11018" max="11018" width="19.7265625" style="28" customWidth="1"/>
    <col min="11019" max="11019" width="17.54296875" style="28" customWidth="1"/>
    <col min="11020" max="11264" width="9.26953125" style="28"/>
    <col min="11265" max="11265" width="8.26953125" style="28" customWidth="1"/>
    <col min="11266" max="11266" width="55.453125" style="28" bestFit="1" customWidth="1"/>
    <col min="11267" max="11267" width="9.54296875" style="28" customWidth="1"/>
    <col min="11268" max="11268" width="9.26953125" style="28"/>
    <col min="11269" max="11269" width="12.453125" style="28" customWidth="1"/>
    <col min="11270" max="11270" width="18.54296875" style="28" customWidth="1"/>
    <col min="11271" max="11271" width="23.54296875" style="28" customWidth="1"/>
    <col min="11272" max="11272" width="17.26953125" style="28" customWidth="1"/>
    <col min="11273" max="11273" width="21.26953125" style="28" customWidth="1"/>
    <col min="11274" max="11274" width="19.7265625" style="28" customWidth="1"/>
    <col min="11275" max="11275" width="17.54296875" style="28" customWidth="1"/>
    <col min="11276" max="11520" width="9.26953125" style="28"/>
    <col min="11521" max="11521" width="8.26953125" style="28" customWidth="1"/>
    <col min="11522" max="11522" width="55.453125" style="28" bestFit="1" customWidth="1"/>
    <col min="11523" max="11523" width="9.54296875" style="28" customWidth="1"/>
    <col min="11524" max="11524" width="9.26953125" style="28"/>
    <col min="11525" max="11525" width="12.453125" style="28" customWidth="1"/>
    <col min="11526" max="11526" width="18.54296875" style="28" customWidth="1"/>
    <col min="11527" max="11527" width="23.54296875" style="28" customWidth="1"/>
    <col min="11528" max="11528" width="17.26953125" style="28" customWidth="1"/>
    <col min="11529" max="11529" width="21.26953125" style="28" customWidth="1"/>
    <col min="11530" max="11530" width="19.7265625" style="28" customWidth="1"/>
    <col min="11531" max="11531" width="17.54296875" style="28" customWidth="1"/>
    <col min="11532" max="11776" width="9.26953125" style="28"/>
    <col min="11777" max="11777" width="8.26953125" style="28" customWidth="1"/>
    <col min="11778" max="11778" width="55.453125" style="28" bestFit="1" customWidth="1"/>
    <col min="11779" max="11779" width="9.54296875" style="28" customWidth="1"/>
    <col min="11780" max="11780" width="9.26953125" style="28"/>
    <col min="11781" max="11781" width="12.453125" style="28" customWidth="1"/>
    <col min="11782" max="11782" width="18.54296875" style="28" customWidth="1"/>
    <col min="11783" max="11783" width="23.54296875" style="28" customWidth="1"/>
    <col min="11784" max="11784" width="17.26953125" style="28" customWidth="1"/>
    <col min="11785" max="11785" width="21.26953125" style="28" customWidth="1"/>
    <col min="11786" max="11786" width="19.7265625" style="28" customWidth="1"/>
    <col min="11787" max="11787" width="17.54296875" style="28" customWidth="1"/>
    <col min="11788" max="12032" width="9.26953125" style="28"/>
    <col min="12033" max="12033" width="8.26953125" style="28" customWidth="1"/>
    <col min="12034" max="12034" width="55.453125" style="28" bestFit="1" customWidth="1"/>
    <col min="12035" max="12035" width="9.54296875" style="28" customWidth="1"/>
    <col min="12036" max="12036" width="9.26953125" style="28"/>
    <col min="12037" max="12037" width="12.453125" style="28" customWidth="1"/>
    <col min="12038" max="12038" width="18.54296875" style="28" customWidth="1"/>
    <col min="12039" max="12039" width="23.54296875" style="28" customWidth="1"/>
    <col min="12040" max="12040" width="17.26953125" style="28" customWidth="1"/>
    <col min="12041" max="12041" width="21.26953125" style="28" customWidth="1"/>
    <col min="12042" max="12042" width="19.7265625" style="28" customWidth="1"/>
    <col min="12043" max="12043" width="17.54296875" style="28" customWidth="1"/>
    <col min="12044" max="12288" width="9.26953125" style="28"/>
    <col min="12289" max="12289" width="8.26953125" style="28" customWidth="1"/>
    <col min="12290" max="12290" width="55.453125" style="28" bestFit="1" customWidth="1"/>
    <col min="12291" max="12291" width="9.54296875" style="28" customWidth="1"/>
    <col min="12292" max="12292" width="9.26953125" style="28"/>
    <col min="12293" max="12293" width="12.453125" style="28" customWidth="1"/>
    <col min="12294" max="12294" width="18.54296875" style="28" customWidth="1"/>
    <col min="12295" max="12295" width="23.54296875" style="28" customWidth="1"/>
    <col min="12296" max="12296" width="17.26953125" style="28" customWidth="1"/>
    <col min="12297" max="12297" width="21.26953125" style="28" customWidth="1"/>
    <col min="12298" max="12298" width="19.7265625" style="28" customWidth="1"/>
    <col min="12299" max="12299" width="17.54296875" style="28" customWidth="1"/>
    <col min="12300" max="12544" width="9.26953125" style="28"/>
    <col min="12545" max="12545" width="8.26953125" style="28" customWidth="1"/>
    <col min="12546" max="12546" width="55.453125" style="28" bestFit="1" customWidth="1"/>
    <col min="12547" max="12547" width="9.54296875" style="28" customWidth="1"/>
    <col min="12548" max="12548" width="9.26953125" style="28"/>
    <col min="12549" max="12549" width="12.453125" style="28" customWidth="1"/>
    <col min="12550" max="12550" width="18.54296875" style="28" customWidth="1"/>
    <col min="12551" max="12551" width="23.54296875" style="28" customWidth="1"/>
    <col min="12552" max="12552" width="17.26953125" style="28" customWidth="1"/>
    <col min="12553" max="12553" width="21.26953125" style="28" customWidth="1"/>
    <col min="12554" max="12554" width="19.7265625" style="28" customWidth="1"/>
    <col min="12555" max="12555" width="17.54296875" style="28" customWidth="1"/>
    <col min="12556" max="12800" width="9.26953125" style="28"/>
    <col min="12801" max="12801" width="8.26953125" style="28" customWidth="1"/>
    <col min="12802" max="12802" width="55.453125" style="28" bestFit="1" customWidth="1"/>
    <col min="12803" max="12803" width="9.54296875" style="28" customWidth="1"/>
    <col min="12804" max="12804" width="9.26953125" style="28"/>
    <col min="12805" max="12805" width="12.453125" style="28" customWidth="1"/>
    <col min="12806" max="12806" width="18.54296875" style="28" customWidth="1"/>
    <col min="12807" max="12807" width="23.54296875" style="28" customWidth="1"/>
    <col min="12808" max="12808" width="17.26953125" style="28" customWidth="1"/>
    <col min="12809" max="12809" width="21.26953125" style="28" customWidth="1"/>
    <col min="12810" max="12810" width="19.7265625" style="28" customWidth="1"/>
    <col min="12811" max="12811" width="17.54296875" style="28" customWidth="1"/>
    <col min="12812" max="13056" width="9.26953125" style="28"/>
    <col min="13057" max="13057" width="8.26953125" style="28" customWidth="1"/>
    <col min="13058" max="13058" width="55.453125" style="28" bestFit="1" customWidth="1"/>
    <col min="13059" max="13059" width="9.54296875" style="28" customWidth="1"/>
    <col min="13060" max="13060" width="9.26953125" style="28"/>
    <col min="13061" max="13061" width="12.453125" style="28" customWidth="1"/>
    <col min="13062" max="13062" width="18.54296875" style="28" customWidth="1"/>
    <col min="13063" max="13063" width="23.54296875" style="28" customWidth="1"/>
    <col min="13064" max="13064" width="17.26953125" style="28" customWidth="1"/>
    <col min="13065" max="13065" width="21.26953125" style="28" customWidth="1"/>
    <col min="13066" max="13066" width="19.7265625" style="28" customWidth="1"/>
    <col min="13067" max="13067" width="17.54296875" style="28" customWidth="1"/>
    <col min="13068" max="13312" width="9.26953125" style="28"/>
    <col min="13313" max="13313" width="8.26953125" style="28" customWidth="1"/>
    <col min="13314" max="13314" width="55.453125" style="28" bestFit="1" customWidth="1"/>
    <col min="13315" max="13315" width="9.54296875" style="28" customWidth="1"/>
    <col min="13316" max="13316" width="9.26953125" style="28"/>
    <col min="13317" max="13317" width="12.453125" style="28" customWidth="1"/>
    <col min="13318" max="13318" width="18.54296875" style="28" customWidth="1"/>
    <col min="13319" max="13319" width="23.54296875" style="28" customWidth="1"/>
    <col min="13320" max="13320" width="17.26953125" style="28" customWidth="1"/>
    <col min="13321" max="13321" width="21.26953125" style="28" customWidth="1"/>
    <col min="13322" max="13322" width="19.7265625" style="28" customWidth="1"/>
    <col min="13323" max="13323" width="17.54296875" style="28" customWidth="1"/>
    <col min="13324" max="13568" width="9.26953125" style="28"/>
    <col min="13569" max="13569" width="8.26953125" style="28" customWidth="1"/>
    <col min="13570" max="13570" width="55.453125" style="28" bestFit="1" customWidth="1"/>
    <col min="13571" max="13571" width="9.54296875" style="28" customWidth="1"/>
    <col min="13572" max="13572" width="9.26953125" style="28"/>
    <col min="13573" max="13573" width="12.453125" style="28" customWidth="1"/>
    <col min="13574" max="13574" width="18.54296875" style="28" customWidth="1"/>
    <col min="13575" max="13575" width="23.54296875" style="28" customWidth="1"/>
    <col min="13576" max="13576" width="17.26953125" style="28" customWidth="1"/>
    <col min="13577" max="13577" width="21.26953125" style="28" customWidth="1"/>
    <col min="13578" max="13578" width="19.7265625" style="28" customWidth="1"/>
    <col min="13579" max="13579" width="17.54296875" style="28" customWidth="1"/>
    <col min="13580" max="13824" width="9.26953125" style="28"/>
    <col min="13825" max="13825" width="8.26953125" style="28" customWidth="1"/>
    <col min="13826" max="13826" width="55.453125" style="28" bestFit="1" customWidth="1"/>
    <col min="13827" max="13827" width="9.54296875" style="28" customWidth="1"/>
    <col min="13828" max="13828" width="9.26953125" style="28"/>
    <col min="13829" max="13829" width="12.453125" style="28" customWidth="1"/>
    <col min="13830" max="13830" width="18.54296875" style="28" customWidth="1"/>
    <col min="13831" max="13831" width="23.54296875" style="28" customWidth="1"/>
    <col min="13832" max="13832" width="17.26953125" style="28" customWidth="1"/>
    <col min="13833" max="13833" width="21.26953125" style="28" customWidth="1"/>
    <col min="13834" max="13834" width="19.7265625" style="28" customWidth="1"/>
    <col min="13835" max="13835" width="17.54296875" style="28" customWidth="1"/>
    <col min="13836" max="14080" width="9.26953125" style="28"/>
    <col min="14081" max="14081" width="8.26953125" style="28" customWidth="1"/>
    <col min="14082" max="14082" width="55.453125" style="28" bestFit="1" customWidth="1"/>
    <col min="14083" max="14083" width="9.54296875" style="28" customWidth="1"/>
    <col min="14084" max="14084" width="9.26953125" style="28"/>
    <col min="14085" max="14085" width="12.453125" style="28" customWidth="1"/>
    <col min="14086" max="14086" width="18.54296875" style="28" customWidth="1"/>
    <col min="14087" max="14087" width="23.54296875" style="28" customWidth="1"/>
    <col min="14088" max="14088" width="17.26953125" style="28" customWidth="1"/>
    <col min="14089" max="14089" width="21.26953125" style="28" customWidth="1"/>
    <col min="14090" max="14090" width="19.7265625" style="28" customWidth="1"/>
    <col min="14091" max="14091" width="17.54296875" style="28" customWidth="1"/>
    <col min="14092" max="14336" width="9.26953125" style="28"/>
    <col min="14337" max="14337" width="8.26953125" style="28" customWidth="1"/>
    <col min="14338" max="14338" width="55.453125" style="28" bestFit="1" customWidth="1"/>
    <col min="14339" max="14339" width="9.54296875" style="28" customWidth="1"/>
    <col min="14340" max="14340" width="9.26953125" style="28"/>
    <col min="14341" max="14341" width="12.453125" style="28" customWidth="1"/>
    <col min="14342" max="14342" width="18.54296875" style="28" customWidth="1"/>
    <col min="14343" max="14343" width="23.54296875" style="28" customWidth="1"/>
    <col min="14344" max="14344" width="17.26953125" style="28" customWidth="1"/>
    <col min="14345" max="14345" width="21.26953125" style="28" customWidth="1"/>
    <col min="14346" max="14346" width="19.7265625" style="28" customWidth="1"/>
    <col min="14347" max="14347" width="17.54296875" style="28" customWidth="1"/>
    <col min="14348" max="14592" width="9.26953125" style="28"/>
    <col min="14593" max="14593" width="8.26953125" style="28" customWidth="1"/>
    <col min="14594" max="14594" width="55.453125" style="28" bestFit="1" customWidth="1"/>
    <col min="14595" max="14595" width="9.54296875" style="28" customWidth="1"/>
    <col min="14596" max="14596" width="9.26953125" style="28"/>
    <col min="14597" max="14597" width="12.453125" style="28" customWidth="1"/>
    <col min="14598" max="14598" width="18.54296875" style="28" customWidth="1"/>
    <col min="14599" max="14599" width="23.54296875" style="28" customWidth="1"/>
    <col min="14600" max="14600" width="17.26953125" style="28" customWidth="1"/>
    <col min="14601" max="14601" width="21.26953125" style="28" customWidth="1"/>
    <col min="14602" max="14602" width="19.7265625" style="28" customWidth="1"/>
    <col min="14603" max="14603" width="17.54296875" style="28" customWidth="1"/>
    <col min="14604" max="14848" width="9.26953125" style="28"/>
    <col min="14849" max="14849" width="8.26953125" style="28" customWidth="1"/>
    <col min="14850" max="14850" width="55.453125" style="28" bestFit="1" customWidth="1"/>
    <col min="14851" max="14851" width="9.54296875" style="28" customWidth="1"/>
    <col min="14852" max="14852" width="9.26953125" style="28"/>
    <col min="14853" max="14853" width="12.453125" style="28" customWidth="1"/>
    <col min="14854" max="14854" width="18.54296875" style="28" customWidth="1"/>
    <col min="14855" max="14855" width="23.54296875" style="28" customWidth="1"/>
    <col min="14856" max="14856" width="17.26953125" style="28" customWidth="1"/>
    <col min="14857" max="14857" width="21.26953125" style="28" customWidth="1"/>
    <col min="14858" max="14858" width="19.7265625" style="28" customWidth="1"/>
    <col min="14859" max="14859" width="17.54296875" style="28" customWidth="1"/>
    <col min="14860" max="15104" width="9.26953125" style="28"/>
    <col min="15105" max="15105" width="8.26953125" style="28" customWidth="1"/>
    <col min="15106" max="15106" width="55.453125" style="28" bestFit="1" customWidth="1"/>
    <col min="15107" max="15107" width="9.54296875" style="28" customWidth="1"/>
    <col min="15108" max="15108" width="9.26953125" style="28"/>
    <col min="15109" max="15109" width="12.453125" style="28" customWidth="1"/>
    <col min="15110" max="15110" width="18.54296875" style="28" customWidth="1"/>
    <col min="15111" max="15111" width="23.54296875" style="28" customWidth="1"/>
    <col min="15112" max="15112" width="17.26953125" style="28" customWidth="1"/>
    <col min="15113" max="15113" width="21.26953125" style="28" customWidth="1"/>
    <col min="15114" max="15114" width="19.7265625" style="28" customWidth="1"/>
    <col min="15115" max="15115" width="17.54296875" style="28" customWidth="1"/>
    <col min="15116" max="15360" width="9.26953125" style="28"/>
    <col min="15361" max="15361" width="8.26953125" style="28" customWidth="1"/>
    <col min="15362" max="15362" width="55.453125" style="28" bestFit="1" customWidth="1"/>
    <col min="15363" max="15363" width="9.54296875" style="28" customWidth="1"/>
    <col min="15364" max="15364" width="9.26953125" style="28"/>
    <col min="15365" max="15365" width="12.453125" style="28" customWidth="1"/>
    <col min="15366" max="15366" width="18.54296875" style="28" customWidth="1"/>
    <col min="15367" max="15367" width="23.54296875" style="28" customWidth="1"/>
    <col min="15368" max="15368" width="17.26953125" style="28" customWidth="1"/>
    <col min="15369" max="15369" width="21.26953125" style="28" customWidth="1"/>
    <col min="15370" max="15370" width="19.7265625" style="28" customWidth="1"/>
    <col min="15371" max="15371" width="17.54296875" style="28" customWidth="1"/>
    <col min="15372" max="15616" width="9.26953125" style="28"/>
    <col min="15617" max="15617" width="8.26953125" style="28" customWidth="1"/>
    <col min="15618" max="15618" width="55.453125" style="28" bestFit="1" customWidth="1"/>
    <col min="15619" max="15619" width="9.54296875" style="28" customWidth="1"/>
    <col min="15620" max="15620" width="9.26953125" style="28"/>
    <col min="15621" max="15621" width="12.453125" style="28" customWidth="1"/>
    <col min="15622" max="15622" width="18.54296875" style="28" customWidth="1"/>
    <col min="15623" max="15623" width="23.54296875" style="28" customWidth="1"/>
    <col min="15624" max="15624" width="17.26953125" style="28" customWidth="1"/>
    <col min="15625" max="15625" width="21.26953125" style="28" customWidth="1"/>
    <col min="15626" max="15626" width="19.7265625" style="28" customWidth="1"/>
    <col min="15627" max="15627" width="17.54296875" style="28" customWidth="1"/>
    <col min="15628" max="15872" width="9.26953125" style="28"/>
    <col min="15873" max="15873" width="8.26953125" style="28" customWidth="1"/>
    <col min="15874" max="15874" width="55.453125" style="28" bestFit="1" customWidth="1"/>
    <col min="15875" max="15875" width="9.54296875" style="28" customWidth="1"/>
    <col min="15876" max="15876" width="9.26953125" style="28"/>
    <col min="15877" max="15877" width="12.453125" style="28" customWidth="1"/>
    <col min="15878" max="15878" width="18.54296875" style="28" customWidth="1"/>
    <col min="15879" max="15879" width="23.54296875" style="28" customWidth="1"/>
    <col min="15880" max="15880" width="17.26953125" style="28" customWidth="1"/>
    <col min="15881" max="15881" width="21.26953125" style="28" customWidth="1"/>
    <col min="15882" max="15882" width="19.7265625" style="28" customWidth="1"/>
    <col min="15883" max="15883" width="17.54296875" style="28" customWidth="1"/>
    <col min="15884" max="16128" width="9.26953125" style="28"/>
    <col min="16129" max="16129" width="8.26953125" style="28" customWidth="1"/>
    <col min="16130" max="16130" width="55.453125" style="28" bestFit="1" customWidth="1"/>
    <col min="16131" max="16131" width="9.54296875" style="28" customWidth="1"/>
    <col min="16132" max="16132" width="9.26953125" style="28"/>
    <col min="16133" max="16133" width="12.453125" style="28" customWidth="1"/>
    <col min="16134" max="16134" width="18.54296875" style="28" customWidth="1"/>
    <col min="16135" max="16135" width="23.54296875" style="28" customWidth="1"/>
    <col min="16136" max="16136" width="17.26953125" style="28" customWidth="1"/>
    <col min="16137" max="16137" width="21.26953125" style="28" customWidth="1"/>
    <col min="16138" max="16138" width="19.7265625" style="28" customWidth="1"/>
    <col min="16139" max="16139" width="17.54296875" style="28" customWidth="1"/>
    <col min="16140"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61" t="s">
        <v>801</v>
      </c>
      <c r="D5" s="1362"/>
      <c r="E5" s="1362"/>
      <c r="F5" s="1362"/>
      <c r="G5" s="1364"/>
      <c r="H5" s="742"/>
      <c r="I5" s="742"/>
      <c r="J5" s="742"/>
      <c r="K5" s="742"/>
    </row>
    <row r="6" spans="1:11" ht="18" customHeight="1" x14ac:dyDescent="0.3">
      <c r="A6" s="742"/>
      <c r="B6" s="733" t="s">
        <v>3</v>
      </c>
      <c r="C6" s="1365">
        <v>39</v>
      </c>
      <c r="D6" s="1366"/>
      <c r="E6" s="1366"/>
      <c r="F6" s="1366"/>
      <c r="G6" s="1367"/>
      <c r="H6" s="742"/>
      <c r="I6" s="742"/>
      <c r="J6" s="742"/>
      <c r="K6" s="742"/>
    </row>
    <row r="7" spans="1:11" ht="18" customHeight="1" x14ac:dyDescent="0.3">
      <c r="A7" s="742"/>
      <c r="B7" s="733" t="s">
        <v>4</v>
      </c>
      <c r="C7" s="1368">
        <v>1314</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61" t="s">
        <v>321</v>
      </c>
      <c r="D9" s="1362"/>
      <c r="E9" s="1362"/>
      <c r="F9" s="1362"/>
      <c r="G9" s="1364"/>
      <c r="H9" s="742"/>
      <c r="I9" s="742"/>
      <c r="J9" s="742"/>
      <c r="K9" s="742"/>
    </row>
    <row r="10" spans="1:11" ht="18" customHeight="1" x14ac:dyDescent="0.3">
      <c r="A10" s="742"/>
      <c r="B10" s="733" t="s">
        <v>2</v>
      </c>
      <c r="C10" s="1371" t="s">
        <v>639</v>
      </c>
      <c r="D10" s="1372"/>
      <c r="E10" s="1372"/>
      <c r="F10" s="1372"/>
      <c r="G10" s="1373"/>
      <c r="H10" s="742"/>
      <c r="I10" s="742"/>
      <c r="J10" s="742"/>
      <c r="K10" s="742"/>
    </row>
    <row r="11" spans="1:11" ht="18" customHeight="1" x14ac:dyDescent="0.3">
      <c r="A11" s="742"/>
      <c r="B11" s="733" t="s">
        <v>32</v>
      </c>
      <c r="C11" s="1361" t="s">
        <v>802</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646" t="s">
        <v>73</v>
      </c>
      <c r="G18" s="646" t="s">
        <v>73</v>
      </c>
      <c r="H18" s="647">
        <v>3373144</v>
      </c>
      <c r="I18" s="673">
        <v>0</v>
      </c>
      <c r="J18" s="647">
        <v>2850972</v>
      </c>
      <c r="K18" s="648">
        <f>(H18+I18)-J18</f>
        <v>522172</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646">
        <v>1871</v>
      </c>
      <c r="G21" s="646">
        <v>4626</v>
      </c>
      <c r="H21" s="647">
        <v>362628</v>
      </c>
      <c r="I21" s="673">
        <v>279827</v>
      </c>
      <c r="J21" s="647">
        <v>0</v>
      </c>
      <c r="K21" s="648">
        <f t="shared" ref="K21:K34" si="0">(H21+I21)-J21</f>
        <v>642455</v>
      </c>
    </row>
    <row r="22" spans="1:11" ht="18" customHeight="1" x14ac:dyDescent="0.3">
      <c r="A22" s="733" t="s">
        <v>76</v>
      </c>
      <c r="B22" s="742" t="s">
        <v>6</v>
      </c>
      <c r="C22" s="742"/>
      <c r="D22" s="742"/>
      <c r="E22" s="742"/>
      <c r="F22" s="646">
        <v>203</v>
      </c>
      <c r="G22" s="646">
        <v>1045</v>
      </c>
      <c r="H22" s="647">
        <v>10349</v>
      </c>
      <c r="I22" s="673">
        <v>8163</v>
      </c>
      <c r="J22" s="647">
        <v>0</v>
      </c>
      <c r="K22" s="648">
        <f t="shared" si="0"/>
        <v>18512</v>
      </c>
    </row>
    <row r="23" spans="1:11" ht="18" customHeight="1" x14ac:dyDescent="0.3">
      <c r="A23" s="733" t="s">
        <v>77</v>
      </c>
      <c r="B23" s="742" t="s">
        <v>43</v>
      </c>
      <c r="C23" s="742"/>
      <c r="D23" s="742"/>
      <c r="E23" s="742"/>
      <c r="F23" s="646">
        <v>54</v>
      </c>
      <c r="G23" s="646">
        <v>25</v>
      </c>
      <c r="H23" s="647">
        <v>3389</v>
      </c>
      <c r="I23" s="673">
        <v>2674</v>
      </c>
      <c r="J23" s="647">
        <v>0</v>
      </c>
      <c r="K23" s="648">
        <f t="shared" si="0"/>
        <v>6063</v>
      </c>
    </row>
    <row r="24" spans="1:11" ht="18" customHeight="1" x14ac:dyDescent="0.3">
      <c r="A24" s="733" t="s">
        <v>78</v>
      </c>
      <c r="B24" s="742" t="s">
        <v>44</v>
      </c>
      <c r="C24" s="742"/>
      <c r="D24" s="742"/>
      <c r="E24" s="742"/>
      <c r="F24" s="646">
        <v>21</v>
      </c>
      <c r="G24" s="646">
        <v>40</v>
      </c>
      <c r="H24" s="647">
        <v>2567</v>
      </c>
      <c r="I24" s="673">
        <v>2025</v>
      </c>
      <c r="J24" s="647">
        <v>0</v>
      </c>
      <c r="K24" s="648">
        <f t="shared" si="0"/>
        <v>4592</v>
      </c>
    </row>
    <row r="25" spans="1:11" ht="18" customHeight="1" x14ac:dyDescent="0.3">
      <c r="A25" s="733" t="s">
        <v>79</v>
      </c>
      <c r="B25" s="742" t="s">
        <v>5</v>
      </c>
      <c r="C25" s="742"/>
      <c r="D25" s="742"/>
      <c r="E25" s="742"/>
      <c r="F25" s="646">
        <v>191</v>
      </c>
      <c r="G25" s="646">
        <v>496</v>
      </c>
      <c r="H25" s="647">
        <v>7839</v>
      </c>
      <c r="I25" s="673">
        <v>6192</v>
      </c>
      <c r="J25" s="647">
        <v>0</v>
      </c>
      <c r="K25" s="648">
        <f t="shared" si="0"/>
        <v>14031</v>
      </c>
    </row>
    <row r="26" spans="1:11" ht="18" customHeight="1" x14ac:dyDescent="0.3">
      <c r="A26" s="733" t="s">
        <v>80</v>
      </c>
      <c r="B26" s="742" t="s">
        <v>45</v>
      </c>
      <c r="C26" s="742"/>
      <c r="D26" s="742"/>
      <c r="E26" s="742"/>
      <c r="F26" s="646"/>
      <c r="G26" s="646"/>
      <c r="H26" s="647"/>
      <c r="I26" s="673">
        <f t="shared" ref="I26:I34" si="1">H26*F$114</f>
        <v>0</v>
      </c>
      <c r="J26" s="647"/>
      <c r="K26" s="648">
        <f t="shared" si="0"/>
        <v>0</v>
      </c>
    </row>
    <row r="27" spans="1:11" ht="18" customHeight="1" x14ac:dyDescent="0.3">
      <c r="A27" s="733" t="s">
        <v>81</v>
      </c>
      <c r="B27" s="742" t="s">
        <v>46</v>
      </c>
      <c r="C27" s="742"/>
      <c r="D27" s="742"/>
      <c r="E27" s="742"/>
      <c r="F27" s="646"/>
      <c r="G27" s="646"/>
      <c r="H27" s="647"/>
      <c r="I27" s="673">
        <f t="shared" si="1"/>
        <v>0</v>
      </c>
      <c r="J27" s="647"/>
      <c r="K27" s="648">
        <f t="shared" si="0"/>
        <v>0</v>
      </c>
    </row>
    <row r="28" spans="1:11" ht="18" customHeight="1" x14ac:dyDescent="0.3">
      <c r="A28" s="733" t="s">
        <v>82</v>
      </c>
      <c r="B28" s="742" t="s">
        <v>47</v>
      </c>
      <c r="C28" s="742"/>
      <c r="D28" s="742"/>
      <c r="E28" s="742"/>
      <c r="F28" s="646">
        <v>440</v>
      </c>
      <c r="G28" s="646">
        <v>475</v>
      </c>
      <c r="H28" s="647">
        <v>16119</v>
      </c>
      <c r="I28" s="673">
        <v>12726</v>
      </c>
      <c r="J28" s="647">
        <v>0</v>
      </c>
      <c r="K28" s="648">
        <f t="shared" si="0"/>
        <v>28845</v>
      </c>
    </row>
    <row r="29" spans="1:11" ht="18" customHeight="1" x14ac:dyDescent="0.3">
      <c r="A29" s="733" t="s">
        <v>83</v>
      </c>
      <c r="B29" s="742" t="s">
        <v>48</v>
      </c>
      <c r="C29" s="742"/>
      <c r="D29" s="742"/>
      <c r="E29" s="742"/>
      <c r="F29" s="646">
        <v>729</v>
      </c>
      <c r="G29" s="646">
        <v>2322</v>
      </c>
      <c r="H29" s="647">
        <v>375839</v>
      </c>
      <c r="I29" s="673">
        <v>296668</v>
      </c>
      <c r="J29" s="647">
        <v>0</v>
      </c>
      <c r="K29" s="648">
        <f t="shared" si="0"/>
        <v>672507</v>
      </c>
    </row>
    <row r="30" spans="1:11" ht="18" customHeight="1" x14ac:dyDescent="0.3">
      <c r="A30" s="733" t="s">
        <v>84</v>
      </c>
      <c r="B30" s="1351"/>
      <c r="C30" s="1352"/>
      <c r="D30" s="1353"/>
      <c r="E30" s="742"/>
      <c r="F30" s="646"/>
      <c r="G30" s="646"/>
      <c r="H30" s="647"/>
      <c r="I30" s="673">
        <f t="shared" si="1"/>
        <v>0</v>
      </c>
      <c r="J30" s="647"/>
      <c r="K30" s="648">
        <f t="shared" si="0"/>
        <v>0</v>
      </c>
    </row>
    <row r="31" spans="1:11" ht="18" customHeight="1" x14ac:dyDescent="0.3">
      <c r="A31" s="733" t="s">
        <v>133</v>
      </c>
      <c r="B31" s="1351"/>
      <c r="C31" s="1352"/>
      <c r="D31" s="1353"/>
      <c r="E31" s="742"/>
      <c r="F31" s="646"/>
      <c r="G31" s="646"/>
      <c r="H31" s="647"/>
      <c r="I31" s="673">
        <f t="shared" si="1"/>
        <v>0</v>
      </c>
      <c r="J31" s="647"/>
      <c r="K31" s="648">
        <f t="shared" si="0"/>
        <v>0</v>
      </c>
    </row>
    <row r="32" spans="1:11" ht="18" customHeight="1" x14ac:dyDescent="0.3">
      <c r="A32" s="733" t="s">
        <v>134</v>
      </c>
      <c r="B32" s="909"/>
      <c r="C32" s="910"/>
      <c r="D32" s="911"/>
      <c r="E32" s="742"/>
      <c r="F32" s="646"/>
      <c r="G32" s="675"/>
      <c r="H32" s="647"/>
      <c r="I32" s="673">
        <f t="shared" si="1"/>
        <v>0</v>
      </c>
      <c r="J32" s="647"/>
      <c r="K32" s="648">
        <f t="shared" si="0"/>
        <v>0</v>
      </c>
    </row>
    <row r="33" spans="1:11" ht="18" customHeight="1" x14ac:dyDescent="0.3">
      <c r="A33" s="733" t="s">
        <v>135</v>
      </c>
      <c r="B33" s="909"/>
      <c r="C33" s="910"/>
      <c r="D33" s="911"/>
      <c r="E33" s="742"/>
      <c r="F33" s="646"/>
      <c r="G33" s="675"/>
      <c r="H33" s="647"/>
      <c r="I33" s="673">
        <f t="shared" si="1"/>
        <v>0</v>
      </c>
      <c r="J33" s="647"/>
      <c r="K33" s="648">
        <f t="shared" si="0"/>
        <v>0</v>
      </c>
    </row>
    <row r="34" spans="1:11" ht="18" customHeight="1" x14ac:dyDescent="0.3">
      <c r="A34" s="733" t="s">
        <v>136</v>
      </c>
      <c r="B34" s="1351"/>
      <c r="C34" s="1352"/>
      <c r="D34" s="1353"/>
      <c r="E34" s="742"/>
      <c r="F34" s="646"/>
      <c r="G34" s="675"/>
      <c r="H34" s="647"/>
      <c r="I34" s="673">
        <f t="shared" si="1"/>
        <v>0</v>
      </c>
      <c r="J34" s="647"/>
      <c r="K34" s="648">
        <f t="shared" si="0"/>
        <v>0</v>
      </c>
    </row>
    <row r="35" spans="1:11" ht="18" customHeight="1" x14ac:dyDescent="0.25">
      <c r="A35" s="742"/>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3509</v>
      </c>
      <c r="G36" s="650">
        <f t="shared" si="2"/>
        <v>9029</v>
      </c>
      <c r="H36" s="650">
        <f t="shared" si="2"/>
        <v>778730</v>
      </c>
      <c r="I36" s="648">
        <f t="shared" si="2"/>
        <v>608275</v>
      </c>
      <c r="J36" s="648">
        <f t="shared" si="2"/>
        <v>0</v>
      </c>
      <c r="K36" s="648">
        <f t="shared" si="2"/>
        <v>1387005</v>
      </c>
    </row>
    <row r="37" spans="1:11" ht="18" customHeight="1" thickBot="1" x14ac:dyDescent="0.35">
      <c r="A37" s="742"/>
      <c r="B37" s="636"/>
      <c r="C37" s="742"/>
      <c r="D37" s="742"/>
      <c r="E37" s="742"/>
      <c r="F37" s="651"/>
      <c r="G37" s="651"/>
      <c r="H37" s="652"/>
      <c r="I37" s="652"/>
      <c r="J37" s="652"/>
      <c r="K37" s="668"/>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646"/>
      <c r="G40" s="646"/>
      <c r="H40" s="647"/>
      <c r="I40" s="673">
        <f>H40*0.3269</f>
        <v>0</v>
      </c>
      <c r="J40" s="647"/>
      <c r="K40" s="648">
        <f t="shared" ref="K40:K47" si="3">(H40+I40)-J40</f>
        <v>0</v>
      </c>
    </row>
    <row r="41" spans="1:11" ht="18" customHeight="1" x14ac:dyDescent="0.3">
      <c r="A41" s="733" t="s">
        <v>88</v>
      </c>
      <c r="B41" s="1359" t="s">
        <v>50</v>
      </c>
      <c r="C41" s="1359"/>
      <c r="D41" s="742"/>
      <c r="E41" s="742"/>
      <c r="F41" s="646"/>
      <c r="G41" s="646"/>
      <c r="H41" s="647"/>
      <c r="I41" s="673">
        <f t="shared" ref="I41:I47" si="4">H41*0.3269</f>
        <v>0</v>
      </c>
      <c r="J41" s="647"/>
      <c r="K41" s="648">
        <f t="shared" si="3"/>
        <v>0</v>
      </c>
    </row>
    <row r="42" spans="1:11" ht="18" customHeight="1" x14ac:dyDescent="0.3">
      <c r="A42" s="733" t="s">
        <v>89</v>
      </c>
      <c r="B42" s="635" t="s">
        <v>11</v>
      </c>
      <c r="C42" s="742"/>
      <c r="D42" s="742"/>
      <c r="E42" s="742"/>
      <c r="F42" s="646">
        <v>257</v>
      </c>
      <c r="G42" s="646">
        <v>5</v>
      </c>
      <c r="H42" s="647">
        <v>11227</v>
      </c>
      <c r="I42" s="673">
        <v>2892</v>
      </c>
      <c r="J42" s="647"/>
      <c r="K42" s="648">
        <f t="shared" si="3"/>
        <v>14119</v>
      </c>
    </row>
    <row r="43" spans="1:11" ht="18" customHeight="1" x14ac:dyDescent="0.3">
      <c r="A43" s="733" t="s">
        <v>90</v>
      </c>
      <c r="B43" s="670" t="s">
        <v>10</v>
      </c>
      <c r="C43" s="642"/>
      <c r="D43" s="642"/>
      <c r="E43" s="742"/>
      <c r="F43" s="646"/>
      <c r="G43" s="646"/>
      <c r="H43" s="647"/>
      <c r="I43" s="673">
        <f t="shared" si="4"/>
        <v>0</v>
      </c>
      <c r="J43" s="647"/>
      <c r="K43" s="648">
        <f t="shared" si="3"/>
        <v>0</v>
      </c>
    </row>
    <row r="44" spans="1:11" ht="18" customHeight="1" x14ac:dyDescent="0.3">
      <c r="A44" s="733" t="s">
        <v>91</v>
      </c>
      <c r="B44" s="1351" t="s">
        <v>803</v>
      </c>
      <c r="C44" s="1352"/>
      <c r="D44" s="1353"/>
      <c r="E44" s="742"/>
      <c r="F44" s="677">
        <v>15673</v>
      </c>
      <c r="G44" s="677">
        <v>1245</v>
      </c>
      <c r="H44" s="647">
        <v>783064</v>
      </c>
      <c r="I44" s="678">
        <v>270925</v>
      </c>
      <c r="J44" s="647"/>
      <c r="K44" s="679">
        <f t="shared" si="3"/>
        <v>1053989</v>
      </c>
    </row>
    <row r="45" spans="1:11" ht="18" customHeight="1" x14ac:dyDescent="0.3">
      <c r="A45" s="733" t="s">
        <v>139</v>
      </c>
      <c r="B45" s="1351"/>
      <c r="C45" s="1352"/>
      <c r="D45" s="1353"/>
      <c r="E45" s="742"/>
      <c r="F45" s="646"/>
      <c r="G45" s="646"/>
      <c r="H45" s="647"/>
      <c r="I45" s="673">
        <f t="shared" si="4"/>
        <v>0</v>
      </c>
      <c r="J45" s="647"/>
      <c r="K45" s="648">
        <f t="shared" si="3"/>
        <v>0</v>
      </c>
    </row>
    <row r="46" spans="1:11" ht="18" customHeight="1" x14ac:dyDescent="0.3">
      <c r="A46" s="733" t="s">
        <v>140</v>
      </c>
      <c r="B46" s="1351"/>
      <c r="C46" s="1352"/>
      <c r="D46" s="1353"/>
      <c r="E46" s="742"/>
      <c r="F46" s="646"/>
      <c r="G46" s="646"/>
      <c r="H46" s="647"/>
      <c r="I46" s="673">
        <f t="shared" si="4"/>
        <v>0</v>
      </c>
      <c r="J46" s="647"/>
      <c r="K46" s="648">
        <f t="shared" si="3"/>
        <v>0</v>
      </c>
    </row>
    <row r="47" spans="1:11" ht="18" customHeight="1" x14ac:dyDescent="0.3">
      <c r="A47" s="733" t="s">
        <v>141</v>
      </c>
      <c r="B47" s="1351"/>
      <c r="C47" s="1352"/>
      <c r="D47" s="1353"/>
      <c r="E47" s="742"/>
      <c r="F47" s="646"/>
      <c r="G47" s="646"/>
      <c r="H47" s="647"/>
      <c r="I47" s="673">
        <f t="shared" si="4"/>
        <v>0</v>
      </c>
      <c r="J47" s="647"/>
      <c r="K47" s="648">
        <f t="shared" si="3"/>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5">SUM(F40:F47)</f>
        <v>15930</v>
      </c>
      <c r="G49" s="654">
        <f t="shared" si="5"/>
        <v>1250</v>
      </c>
      <c r="H49" s="648">
        <f t="shared" si="5"/>
        <v>794291</v>
      </c>
      <c r="I49" s="648">
        <f t="shared" si="5"/>
        <v>273817</v>
      </c>
      <c r="J49" s="648">
        <f t="shared" si="5"/>
        <v>0</v>
      </c>
      <c r="K49" s="648">
        <f t="shared" si="5"/>
        <v>1068108</v>
      </c>
    </row>
    <row r="50" spans="1:11" ht="18" customHeight="1" thickBot="1" x14ac:dyDescent="0.3">
      <c r="A50" s="742"/>
      <c r="B50" s="742"/>
      <c r="C50" s="742"/>
      <c r="D50" s="742"/>
      <c r="E50" s="742"/>
      <c r="F50" s="742"/>
      <c r="G50" s="655"/>
      <c r="H50" s="655"/>
      <c r="I50" s="655"/>
      <c r="J50" s="655"/>
      <c r="K50" s="655"/>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1" t="s">
        <v>804</v>
      </c>
      <c r="C53" s="1352" t="s">
        <v>804</v>
      </c>
      <c r="D53" s="1353" t="s">
        <v>804</v>
      </c>
      <c r="E53" s="742"/>
      <c r="F53" s="646">
        <v>41178</v>
      </c>
      <c r="G53" s="646">
        <v>28702</v>
      </c>
      <c r="H53" s="647">
        <v>3231261.7742230003</v>
      </c>
      <c r="I53" s="673">
        <v>1446969</v>
      </c>
      <c r="J53" s="647">
        <v>2907697.69</v>
      </c>
      <c r="K53" s="648">
        <f t="shared" ref="K53:K62" si="6">(H53+I53)-J53</f>
        <v>1770533.0842229999</v>
      </c>
    </row>
    <row r="54" spans="1:11" ht="18" customHeight="1" x14ac:dyDescent="0.3">
      <c r="A54" s="733" t="s">
        <v>93</v>
      </c>
      <c r="B54" s="1351" t="s">
        <v>805</v>
      </c>
      <c r="C54" s="1352"/>
      <c r="D54" s="1353"/>
      <c r="E54" s="742"/>
      <c r="F54" s="646">
        <v>8709</v>
      </c>
      <c r="G54" s="646">
        <v>3217</v>
      </c>
      <c r="H54" s="647">
        <v>848680.84107300011</v>
      </c>
      <c r="I54" s="673">
        <v>380041</v>
      </c>
      <c r="J54" s="647">
        <v>54365.859999999993</v>
      </c>
      <c r="K54" s="648">
        <f t="shared" si="6"/>
        <v>1174355.981073</v>
      </c>
    </row>
    <row r="55" spans="1:11" ht="18" customHeight="1" x14ac:dyDescent="0.3">
      <c r="A55" s="733" t="s">
        <v>94</v>
      </c>
      <c r="B55" s="1351" t="s">
        <v>806</v>
      </c>
      <c r="C55" s="1352" t="s">
        <v>806</v>
      </c>
      <c r="D55" s="1353" t="s">
        <v>806</v>
      </c>
      <c r="E55" s="742"/>
      <c r="F55" s="646">
        <v>42265</v>
      </c>
      <c r="G55" s="646">
        <v>270</v>
      </c>
      <c r="H55" s="647">
        <v>2471074.979295</v>
      </c>
      <c r="I55" s="673">
        <v>1106555</v>
      </c>
      <c r="J55" s="647">
        <v>1765499.05</v>
      </c>
      <c r="K55" s="648">
        <f t="shared" si="6"/>
        <v>1812130.9292949999</v>
      </c>
    </row>
    <row r="56" spans="1:11" ht="18" customHeight="1" x14ac:dyDescent="0.3">
      <c r="A56" s="733" t="s">
        <v>95</v>
      </c>
      <c r="B56" s="1351" t="s">
        <v>807</v>
      </c>
      <c r="C56" s="1352" t="s">
        <v>807</v>
      </c>
      <c r="D56" s="1353" t="s">
        <v>807</v>
      </c>
      <c r="E56" s="742"/>
      <c r="F56" s="646">
        <v>11853</v>
      </c>
      <c r="G56" s="646">
        <v>0</v>
      </c>
      <c r="H56" s="647">
        <v>1026085.914478</v>
      </c>
      <c r="I56" s="673">
        <v>459483</v>
      </c>
      <c r="J56" s="647">
        <v>276862</v>
      </c>
      <c r="K56" s="648">
        <f t="shared" si="6"/>
        <v>1208706.914478</v>
      </c>
    </row>
    <row r="57" spans="1:11" ht="18" customHeight="1" x14ac:dyDescent="0.3">
      <c r="A57" s="733" t="s">
        <v>96</v>
      </c>
      <c r="B57" s="1351" t="s">
        <v>808</v>
      </c>
      <c r="C57" s="1352" t="s">
        <v>807</v>
      </c>
      <c r="D57" s="1353" t="s">
        <v>807</v>
      </c>
      <c r="E57" s="742"/>
      <c r="F57" s="646">
        <v>0</v>
      </c>
      <c r="G57" s="646">
        <v>0</v>
      </c>
      <c r="H57" s="647">
        <v>1955221</v>
      </c>
      <c r="I57" s="673">
        <v>875554</v>
      </c>
      <c r="J57" s="647">
        <v>0</v>
      </c>
      <c r="K57" s="648">
        <f t="shared" si="6"/>
        <v>2830775</v>
      </c>
    </row>
    <row r="58" spans="1:11" ht="18" customHeight="1" x14ac:dyDescent="0.3">
      <c r="A58" s="733" t="s">
        <v>97</v>
      </c>
      <c r="B58" s="1351" t="s">
        <v>809</v>
      </c>
      <c r="C58" s="1352" t="s">
        <v>809</v>
      </c>
      <c r="D58" s="1353" t="s">
        <v>809</v>
      </c>
      <c r="E58" s="742"/>
      <c r="F58" s="646">
        <v>0</v>
      </c>
      <c r="G58" s="646">
        <v>0</v>
      </c>
      <c r="H58" s="647">
        <v>25000</v>
      </c>
      <c r="I58" s="673">
        <v>11195</v>
      </c>
      <c r="J58" s="647">
        <v>0</v>
      </c>
      <c r="K58" s="648">
        <f t="shared" si="6"/>
        <v>36195</v>
      </c>
    </row>
    <row r="59" spans="1:11" ht="18" customHeight="1" x14ac:dyDescent="0.3">
      <c r="A59" s="733" t="s">
        <v>98</v>
      </c>
      <c r="B59" s="1351" t="s">
        <v>810</v>
      </c>
      <c r="C59" s="1352" t="s">
        <v>809</v>
      </c>
      <c r="D59" s="1353" t="s">
        <v>809</v>
      </c>
      <c r="E59" s="742"/>
      <c r="F59" s="646">
        <v>0</v>
      </c>
      <c r="G59" s="646">
        <v>0</v>
      </c>
      <c r="H59" s="647">
        <v>600</v>
      </c>
      <c r="I59" s="673">
        <v>269</v>
      </c>
      <c r="J59" s="647">
        <v>0</v>
      </c>
      <c r="K59" s="648">
        <f t="shared" si="6"/>
        <v>869</v>
      </c>
    </row>
    <row r="60" spans="1:11" ht="18" customHeight="1" x14ac:dyDescent="0.3">
      <c r="A60" s="733" t="s">
        <v>99</v>
      </c>
      <c r="B60" s="1351" t="s">
        <v>811</v>
      </c>
      <c r="C60" s="1352"/>
      <c r="D60" s="1353"/>
      <c r="E60" s="742"/>
      <c r="F60" s="646">
        <v>0</v>
      </c>
      <c r="G60" s="646">
        <v>0</v>
      </c>
      <c r="H60" s="647">
        <v>702240</v>
      </c>
      <c r="I60" s="673">
        <v>314464</v>
      </c>
      <c r="J60" s="647">
        <v>307581.09999999998</v>
      </c>
      <c r="K60" s="648">
        <f t="shared" si="6"/>
        <v>709122.9</v>
      </c>
    </row>
    <row r="61" spans="1:11" ht="18" customHeight="1" x14ac:dyDescent="0.3">
      <c r="A61" s="733" t="s">
        <v>100</v>
      </c>
      <c r="B61" s="1351" t="s">
        <v>812</v>
      </c>
      <c r="C61" s="1352" t="s">
        <v>812</v>
      </c>
      <c r="D61" s="1353" t="s">
        <v>812</v>
      </c>
      <c r="E61" s="742"/>
      <c r="F61" s="646">
        <v>54389</v>
      </c>
      <c r="G61" s="646">
        <v>23026</v>
      </c>
      <c r="H61" s="647">
        <v>2393648.0365159996</v>
      </c>
      <c r="I61" s="673">
        <v>1071883</v>
      </c>
      <c r="J61" s="647">
        <v>1779609</v>
      </c>
      <c r="K61" s="648">
        <f t="shared" si="6"/>
        <v>1685922.0365159996</v>
      </c>
    </row>
    <row r="62" spans="1:11" ht="18" customHeight="1" x14ac:dyDescent="0.3">
      <c r="A62" s="733" t="s">
        <v>101</v>
      </c>
      <c r="B62" s="1351"/>
      <c r="C62" s="1352"/>
      <c r="D62" s="1353"/>
      <c r="E62" s="742"/>
      <c r="F62" s="646"/>
      <c r="G62" s="646"/>
      <c r="H62" s="647"/>
      <c r="I62" s="673">
        <v>0</v>
      </c>
      <c r="J62" s="647"/>
      <c r="K62" s="648">
        <f t="shared" si="6"/>
        <v>0</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7">SUM(F53:F62)</f>
        <v>158394</v>
      </c>
      <c r="G64" s="650">
        <f t="shared" si="7"/>
        <v>55215</v>
      </c>
      <c r="H64" s="648">
        <f t="shared" si="7"/>
        <v>12653812.545585001</v>
      </c>
      <c r="I64" s="648">
        <f t="shared" si="7"/>
        <v>5666413</v>
      </c>
      <c r="J64" s="648">
        <f t="shared" si="7"/>
        <v>7091614.6999999993</v>
      </c>
      <c r="K64" s="648">
        <f t="shared" si="7"/>
        <v>11228610.845585</v>
      </c>
    </row>
    <row r="65" spans="1:11" ht="18" customHeight="1" x14ac:dyDescent="0.25">
      <c r="A65" s="742"/>
      <c r="B65" s="742"/>
      <c r="C65" s="742"/>
      <c r="D65" s="742"/>
      <c r="E65" s="742"/>
      <c r="F65" s="671"/>
      <c r="G65" s="671"/>
      <c r="H65" s="671"/>
      <c r="I65" s="671"/>
      <c r="J65" s="671"/>
      <c r="K65" s="671"/>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674"/>
      <c r="G68" s="674"/>
      <c r="H68" s="674"/>
      <c r="I68" s="673">
        <f t="shared" ref="I68:I72" si="8">H68*0.3269</f>
        <v>0</v>
      </c>
      <c r="J68" s="674"/>
      <c r="K68" s="648">
        <f>(H68+I68)-J68</f>
        <v>0</v>
      </c>
    </row>
    <row r="69" spans="1:11" ht="18" customHeight="1" x14ac:dyDescent="0.3">
      <c r="A69" s="733" t="s">
        <v>104</v>
      </c>
      <c r="B69" s="635" t="s">
        <v>53</v>
      </c>
      <c r="C69" s="742"/>
      <c r="D69" s="742"/>
      <c r="E69" s="742"/>
      <c r="F69" s="674"/>
      <c r="G69" s="674"/>
      <c r="H69" s="674"/>
      <c r="I69" s="673">
        <f t="shared" si="8"/>
        <v>0</v>
      </c>
      <c r="J69" s="674"/>
      <c r="K69" s="648">
        <f>(H69+I69)-J69</f>
        <v>0</v>
      </c>
    </row>
    <row r="70" spans="1:11" ht="18" customHeight="1" x14ac:dyDescent="0.3">
      <c r="A70" s="733" t="s">
        <v>178</v>
      </c>
      <c r="B70" s="912"/>
      <c r="C70" s="913"/>
      <c r="D70" s="914"/>
      <c r="E70" s="636"/>
      <c r="F70" s="658"/>
      <c r="G70" s="658"/>
      <c r="H70" s="659"/>
      <c r="I70" s="673">
        <f t="shared" si="8"/>
        <v>0</v>
      </c>
      <c r="J70" s="659"/>
      <c r="K70" s="648">
        <f>(H70+I70)-J70</f>
        <v>0</v>
      </c>
    </row>
    <row r="71" spans="1:11" ht="18" customHeight="1" x14ac:dyDescent="0.3">
      <c r="A71" s="733" t="s">
        <v>179</v>
      </c>
      <c r="B71" s="912"/>
      <c r="C71" s="913"/>
      <c r="D71" s="914"/>
      <c r="E71" s="636"/>
      <c r="F71" s="658"/>
      <c r="G71" s="658"/>
      <c r="H71" s="659"/>
      <c r="I71" s="673">
        <f t="shared" si="8"/>
        <v>0</v>
      </c>
      <c r="J71" s="659"/>
      <c r="K71" s="648">
        <f>(H71+I71)-J71</f>
        <v>0</v>
      </c>
    </row>
    <row r="72" spans="1:11" ht="18" customHeight="1" x14ac:dyDescent="0.3">
      <c r="A72" s="733" t="s">
        <v>180</v>
      </c>
      <c r="B72" s="930"/>
      <c r="C72" s="929"/>
      <c r="D72" s="657"/>
      <c r="E72" s="636"/>
      <c r="F72" s="646"/>
      <c r="G72" s="646"/>
      <c r="H72" s="647"/>
      <c r="I72" s="673">
        <f t="shared" si="8"/>
        <v>0</v>
      </c>
      <c r="J72" s="647"/>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9">SUM(F68:F72)</f>
        <v>0</v>
      </c>
      <c r="G74" s="653">
        <f t="shared" si="9"/>
        <v>0</v>
      </c>
      <c r="H74" s="653">
        <f t="shared" si="9"/>
        <v>0</v>
      </c>
      <c r="I74" s="676">
        <f t="shared" si="9"/>
        <v>0</v>
      </c>
      <c r="J74" s="653">
        <f t="shared" si="9"/>
        <v>0</v>
      </c>
      <c r="K74" s="649">
        <f t="shared" si="9"/>
        <v>0</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646"/>
      <c r="G77" s="646"/>
      <c r="H77" s="647"/>
      <c r="I77" s="673">
        <f t="shared" ref="I77:I80" si="10">H77*0.3269</f>
        <v>0</v>
      </c>
      <c r="J77" s="647"/>
      <c r="K77" s="648">
        <f>(H77+I77)-J77</f>
        <v>0</v>
      </c>
    </row>
    <row r="78" spans="1:11" ht="18" customHeight="1" x14ac:dyDescent="0.3">
      <c r="A78" s="733" t="s">
        <v>108</v>
      </c>
      <c r="B78" s="635" t="s">
        <v>55</v>
      </c>
      <c r="C78" s="742"/>
      <c r="D78" s="742"/>
      <c r="E78" s="742"/>
      <c r="F78" s="646"/>
      <c r="G78" s="646"/>
      <c r="H78" s="647"/>
      <c r="I78" s="673">
        <f t="shared" si="10"/>
        <v>0</v>
      </c>
      <c r="J78" s="647"/>
      <c r="K78" s="648">
        <f>(H78+I78)-J78</f>
        <v>0</v>
      </c>
    </row>
    <row r="79" spans="1:11" ht="18" customHeight="1" x14ac:dyDescent="0.3">
      <c r="A79" s="733" t="s">
        <v>109</v>
      </c>
      <c r="B79" s="635" t="s">
        <v>13</v>
      </c>
      <c r="C79" s="742"/>
      <c r="D79" s="742"/>
      <c r="E79" s="742"/>
      <c r="F79" s="646"/>
      <c r="G79" s="646">
        <v>390</v>
      </c>
      <c r="H79" s="647">
        <v>29300</v>
      </c>
      <c r="I79" s="673">
        <v>9233</v>
      </c>
      <c r="J79" s="647"/>
      <c r="K79" s="648">
        <f>(H79+I79)-J79</f>
        <v>38533</v>
      </c>
    </row>
    <row r="80" spans="1:11" ht="18" customHeight="1" x14ac:dyDescent="0.3">
      <c r="A80" s="733" t="s">
        <v>110</v>
      </c>
      <c r="B80" s="635" t="s">
        <v>56</v>
      </c>
      <c r="C80" s="742"/>
      <c r="D80" s="742"/>
      <c r="E80" s="742"/>
      <c r="F80" s="646"/>
      <c r="G80" s="646"/>
      <c r="H80" s="647"/>
      <c r="I80" s="673">
        <f t="shared" si="10"/>
        <v>0</v>
      </c>
      <c r="J80" s="647"/>
      <c r="K80" s="648">
        <f>(H80+I80)-J80</f>
        <v>0</v>
      </c>
    </row>
    <row r="81" spans="1:11" ht="18" customHeight="1" x14ac:dyDescent="0.3">
      <c r="A81" s="733"/>
      <c r="B81" s="742"/>
      <c r="C81" s="742"/>
      <c r="D81" s="742"/>
      <c r="E81" s="742"/>
      <c r="F81" s="742"/>
      <c r="G81" s="742"/>
      <c r="H81" s="742"/>
      <c r="I81" s="742"/>
      <c r="J81" s="742"/>
      <c r="K81" s="663"/>
    </row>
    <row r="82" spans="1:11" ht="18" customHeight="1" x14ac:dyDescent="0.3">
      <c r="A82" s="733" t="s">
        <v>148</v>
      </c>
      <c r="B82" s="636" t="s">
        <v>149</v>
      </c>
      <c r="C82" s="742"/>
      <c r="D82" s="742"/>
      <c r="E82" s="636" t="s">
        <v>7</v>
      </c>
      <c r="F82" s="653">
        <f t="shared" ref="F82:K82" si="11">SUM(F77:F80)</f>
        <v>0</v>
      </c>
      <c r="G82" s="653">
        <f t="shared" si="11"/>
        <v>390</v>
      </c>
      <c r="H82" s="649">
        <f t="shared" si="11"/>
        <v>29300</v>
      </c>
      <c r="I82" s="649">
        <f t="shared" si="11"/>
        <v>9233</v>
      </c>
      <c r="J82" s="649">
        <f t="shared" si="11"/>
        <v>0</v>
      </c>
      <c r="K82" s="649">
        <f t="shared" si="11"/>
        <v>38533</v>
      </c>
    </row>
    <row r="83" spans="1:11" ht="18" customHeight="1" thickBot="1" x14ac:dyDescent="0.35">
      <c r="A83" s="733"/>
      <c r="B83" s="742"/>
      <c r="C83" s="742"/>
      <c r="D83" s="742"/>
      <c r="E83" s="742"/>
      <c r="F83" s="655"/>
      <c r="G83" s="655"/>
      <c r="H83" s="655"/>
      <c r="I83" s="655"/>
      <c r="J83" s="655"/>
      <c r="K83" s="655"/>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646"/>
      <c r="G86" s="646"/>
      <c r="H86" s="647"/>
      <c r="I86" s="673">
        <f t="shared" ref="I86:I96" si="12">H86*F$114</f>
        <v>0</v>
      </c>
      <c r="J86" s="647"/>
      <c r="K86" s="648">
        <f t="shared" ref="K86:K96" si="13">(H86+I86)-J86</f>
        <v>0</v>
      </c>
    </row>
    <row r="87" spans="1:11" ht="18" customHeight="1" x14ac:dyDescent="0.3">
      <c r="A87" s="733" t="s">
        <v>114</v>
      </c>
      <c r="B87" s="635" t="s">
        <v>14</v>
      </c>
      <c r="C87" s="742"/>
      <c r="D87" s="742"/>
      <c r="E87" s="742"/>
      <c r="F87" s="646"/>
      <c r="G87" s="646"/>
      <c r="H87" s="647"/>
      <c r="I87" s="673">
        <f t="shared" si="12"/>
        <v>0</v>
      </c>
      <c r="J87" s="647"/>
      <c r="K87" s="648">
        <f t="shared" si="13"/>
        <v>0</v>
      </c>
    </row>
    <row r="88" spans="1:11" ht="18" customHeight="1" x14ac:dyDescent="0.3">
      <c r="A88" s="733" t="s">
        <v>115</v>
      </c>
      <c r="B88" s="635" t="s">
        <v>116</v>
      </c>
      <c r="C88" s="742"/>
      <c r="D88" s="742"/>
      <c r="E88" s="742"/>
      <c r="F88" s="646">
        <v>317.5</v>
      </c>
      <c r="G88" s="646">
        <v>64</v>
      </c>
      <c r="H88" s="647">
        <v>14453</v>
      </c>
      <c r="I88" s="673">
        <v>4625</v>
      </c>
      <c r="J88" s="647">
        <v>0</v>
      </c>
      <c r="K88" s="648">
        <f t="shared" si="13"/>
        <v>19078</v>
      </c>
    </row>
    <row r="89" spans="1:11" ht="18" customHeight="1" x14ac:dyDescent="0.3">
      <c r="A89" s="733" t="s">
        <v>117</v>
      </c>
      <c r="B89" s="635" t="s">
        <v>58</v>
      </c>
      <c r="C89" s="742"/>
      <c r="D89" s="742"/>
      <c r="E89" s="742"/>
      <c r="F89" s="646"/>
      <c r="G89" s="646"/>
      <c r="H89" s="647"/>
      <c r="I89" s="673">
        <f t="shared" si="12"/>
        <v>0</v>
      </c>
      <c r="J89" s="647"/>
      <c r="K89" s="648">
        <f t="shared" si="13"/>
        <v>0</v>
      </c>
    </row>
    <row r="90" spans="1:11" ht="18" customHeight="1" x14ac:dyDescent="0.3">
      <c r="A90" s="733" t="s">
        <v>118</v>
      </c>
      <c r="B90" s="1359" t="s">
        <v>59</v>
      </c>
      <c r="C90" s="1359"/>
      <c r="D90" s="742"/>
      <c r="E90" s="742"/>
      <c r="F90" s="646">
        <v>35</v>
      </c>
      <c r="G90" s="646">
        <v>20</v>
      </c>
      <c r="H90" s="647">
        <v>4012</v>
      </c>
      <c r="I90" s="673">
        <v>3166</v>
      </c>
      <c r="J90" s="647">
        <v>0</v>
      </c>
      <c r="K90" s="648">
        <f t="shared" si="13"/>
        <v>7178</v>
      </c>
    </row>
    <row r="91" spans="1:11" ht="18" customHeight="1" x14ac:dyDescent="0.3">
      <c r="A91" s="733" t="s">
        <v>119</v>
      </c>
      <c r="B91" s="635" t="s">
        <v>60</v>
      </c>
      <c r="C91" s="742"/>
      <c r="D91" s="742"/>
      <c r="E91" s="742"/>
      <c r="F91" s="646">
        <v>273.5</v>
      </c>
      <c r="G91" s="646">
        <v>126</v>
      </c>
      <c r="H91" s="647">
        <v>37816</v>
      </c>
      <c r="I91" s="673">
        <v>29507</v>
      </c>
      <c r="J91" s="647">
        <v>0</v>
      </c>
      <c r="K91" s="648">
        <f t="shared" si="13"/>
        <v>67323</v>
      </c>
    </row>
    <row r="92" spans="1:11" ht="18" customHeight="1" x14ac:dyDescent="0.3">
      <c r="A92" s="733" t="s">
        <v>120</v>
      </c>
      <c r="B92" s="635" t="s">
        <v>121</v>
      </c>
      <c r="C92" s="742"/>
      <c r="D92" s="742"/>
      <c r="E92" s="742"/>
      <c r="F92" s="661">
        <v>725</v>
      </c>
      <c r="G92" s="661">
        <v>5326</v>
      </c>
      <c r="H92" s="662">
        <v>34165</v>
      </c>
      <c r="I92" s="673">
        <v>26960</v>
      </c>
      <c r="J92" s="662">
        <v>0</v>
      </c>
      <c r="K92" s="648">
        <f t="shared" si="13"/>
        <v>61125</v>
      </c>
    </row>
    <row r="93" spans="1:11" ht="18" customHeight="1" x14ac:dyDescent="0.3">
      <c r="A93" s="733" t="s">
        <v>122</v>
      </c>
      <c r="B93" s="635" t="s">
        <v>123</v>
      </c>
      <c r="C93" s="742"/>
      <c r="D93" s="742"/>
      <c r="E93" s="742"/>
      <c r="F93" s="646"/>
      <c r="G93" s="646"/>
      <c r="H93" s="647"/>
      <c r="I93" s="673">
        <f t="shared" si="12"/>
        <v>0</v>
      </c>
      <c r="J93" s="647"/>
      <c r="K93" s="648">
        <f t="shared" si="13"/>
        <v>0</v>
      </c>
    </row>
    <row r="94" spans="1:11" ht="18" customHeight="1" x14ac:dyDescent="0.3">
      <c r="A94" s="733" t="s">
        <v>124</v>
      </c>
      <c r="B94" s="1354"/>
      <c r="C94" s="1355"/>
      <c r="D94" s="1356"/>
      <c r="E94" s="742"/>
      <c r="F94" s="646"/>
      <c r="G94" s="646"/>
      <c r="H94" s="647"/>
      <c r="I94" s="673">
        <f t="shared" si="12"/>
        <v>0</v>
      </c>
      <c r="J94" s="647"/>
      <c r="K94" s="648">
        <f t="shared" si="13"/>
        <v>0</v>
      </c>
    </row>
    <row r="95" spans="1:11" ht="18" customHeight="1" x14ac:dyDescent="0.3">
      <c r="A95" s="733" t="s">
        <v>125</v>
      </c>
      <c r="B95" s="1354"/>
      <c r="C95" s="1355"/>
      <c r="D95" s="1356"/>
      <c r="E95" s="742"/>
      <c r="F95" s="646"/>
      <c r="G95" s="646"/>
      <c r="H95" s="647"/>
      <c r="I95" s="673">
        <f t="shared" si="12"/>
        <v>0</v>
      </c>
      <c r="J95" s="647"/>
      <c r="K95" s="648">
        <f t="shared" si="13"/>
        <v>0</v>
      </c>
    </row>
    <row r="96" spans="1:11" ht="18" customHeight="1" x14ac:dyDescent="0.3">
      <c r="A96" s="733" t="s">
        <v>126</v>
      </c>
      <c r="B96" s="1354"/>
      <c r="C96" s="1355"/>
      <c r="D96" s="1356"/>
      <c r="E96" s="742"/>
      <c r="F96" s="646"/>
      <c r="G96" s="646"/>
      <c r="H96" s="647"/>
      <c r="I96" s="673">
        <f t="shared" si="12"/>
        <v>0</v>
      </c>
      <c r="J96" s="647"/>
      <c r="K96" s="648">
        <f t="shared" si="13"/>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4">SUM(F86:F96)</f>
        <v>1351</v>
      </c>
      <c r="G98" s="650">
        <f t="shared" si="14"/>
        <v>5536</v>
      </c>
      <c r="H98" s="650">
        <f t="shared" si="14"/>
        <v>90446</v>
      </c>
      <c r="I98" s="650">
        <f t="shared" si="14"/>
        <v>64258</v>
      </c>
      <c r="J98" s="650">
        <f t="shared" si="14"/>
        <v>0</v>
      </c>
      <c r="K98" s="650">
        <f t="shared" si="14"/>
        <v>154704</v>
      </c>
    </row>
    <row r="99" spans="1:11" ht="18" customHeight="1" thickBot="1" x14ac:dyDescent="0.35">
      <c r="A99" s="742"/>
      <c r="B99" s="636"/>
      <c r="C99" s="742"/>
      <c r="D99" s="742"/>
      <c r="E99" s="742"/>
      <c r="F99" s="655"/>
      <c r="G99" s="655"/>
      <c r="H99" s="655"/>
      <c r="I99" s="655"/>
      <c r="J99" s="655"/>
      <c r="K99" s="655"/>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646">
        <v>272</v>
      </c>
      <c r="G102" s="646"/>
      <c r="H102" s="647">
        <v>5622</v>
      </c>
      <c r="I102" s="673">
        <v>4434</v>
      </c>
      <c r="J102" s="647"/>
      <c r="K102" s="648">
        <f>(H102+I102)-J102</f>
        <v>10056</v>
      </c>
    </row>
    <row r="103" spans="1:11" ht="18" customHeight="1" x14ac:dyDescent="0.3">
      <c r="A103" s="733" t="s">
        <v>132</v>
      </c>
      <c r="B103" s="1357" t="s">
        <v>62</v>
      </c>
      <c r="C103" s="1357"/>
      <c r="D103" s="742"/>
      <c r="E103" s="742"/>
      <c r="F103" s="646">
        <v>13</v>
      </c>
      <c r="G103" s="646"/>
      <c r="H103" s="647">
        <v>12499</v>
      </c>
      <c r="I103" s="673">
        <v>9862</v>
      </c>
      <c r="J103" s="647"/>
      <c r="K103" s="648">
        <f>(H103+I103)-J103</f>
        <v>22361</v>
      </c>
    </row>
    <row r="104" spans="1:11" ht="18" customHeight="1" x14ac:dyDescent="0.3">
      <c r="A104" s="733" t="s">
        <v>128</v>
      </c>
      <c r="B104" s="1354"/>
      <c r="C104" s="1355"/>
      <c r="D104" s="1356"/>
      <c r="E104" s="742"/>
      <c r="F104" s="646"/>
      <c r="G104" s="646"/>
      <c r="H104" s="647"/>
      <c r="I104" s="673">
        <f>H104*F$114</f>
        <v>0</v>
      </c>
      <c r="J104" s="647"/>
      <c r="K104" s="648">
        <f>(H104+I104)-J104</f>
        <v>0</v>
      </c>
    </row>
    <row r="105" spans="1:11" ht="18" customHeight="1" x14ac:dyDescent="0.3">
      <c r="A105" s="733" t="s">
        <v>127</v>
      </c>
      <c r="B105" s="1354"/>
      <c r="C105" s="1355"/>
      <c r="D105" s="1356"/>
      <c r="E105" s="742"/>
      <c r="F105" s="646"/>
      <c r="G105" s="646"/>
      <c r="H105" s="647"/>
      <c r="I105" s="673">
        <f>H105*F$114</f>
        <v>0</v>
      </c>
      <c r="J105" s="647"/>
      <c r="K105" s="648">
        <f>(H105+I105)-J105</f>
        <v>0</v>
      </c>
    </row>
    <row r="106" spans="1:11" ht="18" customHeight="1" x14ac:dyDescent="0.3">
      <c r="A106" s="733" t="s">
        <v>129</v>
      </c>
      <c r="B106" s="1354"/>
      <c r="C106" s="1355"/>
      <c r="D106" s="1356"/>
      <c r="E106" s="742"/>
      <c r="F106" s="646"/>
      <c r="G106" s="646"/>
      <c r="H106" s="647"/>
      <c r="I106" s="673">
        <f>H106*F$114</f>
        <v>0</v>
      </c>
      <c r="J106" s="647"/>
      <c r="K106" s="648">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5">SUM(F102:F106)</f>
        <v>285</v>
      </c>
      <c r="G108" s="650">
        <f t="shared" si="15"/>
        <v>0</v>
      </c>
      <c r="H108" s="648">
        <f t="shared" si="15"/>
        <v>18121</v>
      </c>
      <c r="I108" s="648">
        <f t="shared" si="15"/>
        <v>14296</v>
      </c>
      <c r="J108" s="648">
        <f t="shared" si="15"/>
        <v>0</v>
      </c>
      <c r="K108" s="648">
        <f t="shared" si="15"/>
        <v>32417</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2694783</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656">
        <v>0.7893</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647">
        <v>133488224</v>
      </c>
      <c r="G117" s="740"/>
      <c r="H117" s="740"/>
      <c r="I117" s="740"/>
      <c r="J117" s="740"/>
      <c r="K117" s="740"/>
    </row>
    <row r="118" spans="1:11" ht="18" customHeight="1" x14ac:dyDescent="0.3">
      <c r="A118" s="733" t="s">
        <v>173</v>
      </c>
      <c r="B118" s="742" t="s">
        <v>18</v>
      </c>
      <c r="C118" s="742"/>
      <c r="D118" s="742"/>
      <c r="E118" s="742"/>
      <c r="F118" s="647">
        <v>3347379</v>
      </c>
      <c r="G118" s="740"/>
      <c r="H118" s="740"/>
      <c r="I118" s="740"/>
      <c r="J118" s="740"/>
      <c r="K118" s="740"/>
    </row>
    <row r="119" spans="1:11" ht="18" customHeight="1" x14ac:dyDescent="0.3">
      <c r="A119" s="733" t="s">
        <v>174</v>
      </c>
      <c r="B119" s="636" t="s">
        <v>19</v>
      </c>
      <c r="C119" s="742"/>
      <c r="D119" s="742"/>
      <c r="E119" s="742"/>
      <c r="F119" s="649">
        <f>SUM(F117:F118)</f>
        <v>136835603</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647">
        <v>135047535</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647">
        <f>+F119-F121</f>
        <v>1788068</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647">
        <v>2057697</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647">
        <f>+F123+F125</f>
        <v>3845765</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646"/>
      <c r="G131" s="646"/>
      <c r="H131" s="647"/>
      <c r="I131" s="673">
        <v>0</v>
      </c>
      <c r="J131" s="647"/>
      <c r="K131" s="648">
        <f>(H131+I131)-J131</f>
        <v>0</v>
      </c>
    </row>
    <row r="132" spans="1:11" ht="18" customHeight="1" x14ac:dyDescent="0.3">
      <c r="A132" s="733" t="s">
        <v>159</v>
      </c>
      <c r="B132" s="742" t="s">
        <v>25</v>
      </c>
      <c r="C132" s="742"/>
      <c r="D132" s="742"/>
      <c r="E132" s="742"/>
      <c r="F132" s="646"/>
      <c r="G132" s="646"/>
      <c r="H132" s="647"/>
      <c r="I132" s="673">
        <v>0</v>
      </c>
      <c r="J132" s="647"/>
      <c r="K132" s="648">
        <f>(H132+I132)-J132</f>
        <v>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6">SUM(F131:F135)</f>
        <v>0</v>
      </c>
      <c r="G137" s="650">
        <f t="shared" si="16"/>
        <v>0</v>
      </c>
      <c r="H137" s="648">
        <f t="shared" si="16"/>
        <v>0</v>
      </c>
      <c r="I137" s="648">
        <f t="shared" si="16"/>
        <v>0</v>
      </c>
      <c r="J137" s="648">
        <f t="shared" si="16"/>
        <v>0</v>
      </c>
      <c r="K137" s="648">
        <f t="shared" si="16"/>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664">
        <f t="shared" ref="F141:K141" si="17">F36</f>
        <v>3509</v>
      </c>
      <c r="G141" s="664">
        <f t="shared" si="17"/>
        <v>9029</v>
      </c>
      <c r="H141" s="664">
        <f t="shared" si="17"/>
        <v>778730</v>
      </c>
      <c r="I141" s="664">
        <f t="shared" si="17"/>
        <v>608275</v>
      </c>
      <c r="J141" s="664">
        <f t="shared" si="17"/>
        <v>0</v>
      </c>
      <c r="K141" s="664">
        <f t="shared" si="17"/>
        <v>1387005</v>
      </c>
    </row>
    <row r="142" spans="1:11" ht="18" customHeight="1" x14ac:dyDescent="0.3">
      <c r="A142" s="733" t="s">
        <v>142</v>
      </c>
      <c r="B142" s="636" t="s">
        <v>65</v>
      </c>
      <c r="C142" s="742"/>
      <c r="D142" s="742"/>
      <c r="E142" s="742"/>
      <c r="F142" s="664">
        <f t="shared" ref="F142:K142" si="18">F49</f>
        <v>15930</v>
      </c>
      <c r="G142" s="664">
        <f t="shared" si="18"/>
        <v>1250</v>
      </c>
      <c r="H142" s="664">
        <f t="shared" si="18"/>
        <v>794291</v>
      </c>
      <c r="I142" s="664">
        <f t="shared" si="18"/>
        <v>273817</v>
      </c>
      <c r="J142" s="664">
        <f t="shared" si="18"/>
        <v>0</v>
      </c>
      <c r="K142" s="664">
        <f t="shared" si="18"/>
        <v>1068108</v>
      </c>
    </row>
    <row r="143" spans="1:11" ht="18" customHeight="1" x14ac:dyDescent="0.3">
      <c r="A143" s="733" t="s">
        <v>144</v>
      </c>
      <c r="B143" s="636" t="s">
        <v>66</v>
      </c>
      <c r="C143" s="742"/>
      <c r="D143" s="742"/>
      <c r="E143" s="742"/>
      <c r="F143" s="664">
        <f t="shared" ref="F143:K143" si="19">F64</f>
        <v>158394</v>
      </c>
      <c r="G143" s="664">
        <f t="shared" si="19"/>
        <v>55215</v>
      </c>
      <c r="H143" s="664">
        <f t="shared" si="19"/>
        <v>12653812.545585001</v>
      </c>
      <c r="I143" s="664">
        <f t="shared" si="19"/>
        <v>5666413</v>
      </c>
      <c r="J143" s="664">
        <f t="shared" si="19"/>
        <v>7091614.6999999993</v>
      </c>
      <c r="K143" s="664">
        <f t="shared" si="19"/>
        <v>11228610.845585</v>
      </c>
    </row>
    <row r="144" spans="1:11" ht="18" customHeight="1" x14ac:dyDescent="0.3">
      <c r="A144" s="733" t="s">
        <v>146</v>
      </c>
      <c r="B144" s="636" t="s">
        <v>67</v>
      </c>
      <c r="C144" s="742"/>
      <c r="D144" s="742"/>
      <c r="E144" s="742"/>
      <c r="F144" s="664">
        <f t="shared" ref="F144:K144" si="20">F74</f>
        <v>0</v>
      </c>
      <c r="G144" s="664">
        <f t="shared" si="20"/>
        <v>0</v>
      </c>
      <c r="H144" s="664">
        <f t="shared" si="20"/>
        <v>0</v>
      </c>
      <c r="I144" s="664">
        <f t="shared" si="20"/>
        <v>0</v>
      </c>
      <c r="J144" s="664">
        <f t="shared" si="20"/>
        <v>0</v>
      </c>
      <c r="K144" s="664">
        <f t="shared" si="20"/>
        <v>0</v>
      </c>
    </row>
    <row r="145" spans="1:11" ht="18" customHeight="1" x14ac:dyDescent="0.3">
      <c r="A145" s="733" t="s">
        <v>148</v>
      </c>
      <c r="B145" s="636" t="s">
        <v>68</v>
      </c>
      <c r="C145" s="742"/>
      <c r="D145" s="742"/>
      <c r="E145" s="742"/>
      <c r="F145" s="664">
        <f t="shared" ref="F145:K145" si="21">F82</f>
        <v>0</v>
      </c>
      <c r="G145" s="664">
        <f t="shared" si="21"/>
        <v>390</v>
      </c>
      <c r="H145" s="664">
        <f t="shared" si="21"/>
        <v>29300</v>
      </c>
      <c r="I145" s="664">
        <f t="shared" si="21"/>
        <v>9233</v>
      </c>
      <c r="J145" s="664">
        <f t="shared" si="21"/>
        <v>0</v>
      </c>
      <c r="K145" s="664">
        <f t="shared" si="21"/>
        <v>38533</v>
      </c>
    </row>
    <row r="146" spans="1:11" ht="18" customHeight="1" x14ac:dyDescent="0.3">
      <c r="A146" s="733" t="s">
        <v>150</v>
      </c>
      <c r="B146" s="636" t="s">
        <v>69</v>
      </c>
      <c r="C146" s="742"/>
      <c r="D146" s="742"/>
      <c r="E146" s="742"/>
      <c r="F146" s="664">
        <f t="shared" ref="F146:K146" si="22">F98</f>
        <v>1351</v>
      </c>
      <c r="G146" s="664">
        <f t="shared" si="22"/>
        <v>5536</v>
      </c>
      <c r="H146" s="664">
        <f t="shared" si="22"/>
        <v>90446</v>
      </c>
      <c r="I146" s="664">
        <f t="shared" si="22"/>
        <v>64258</v>
      </c>
      <c r="J146" s="664">
        <f t="shared" si="22"/>
        <v>0</v>
      </c>
      <c r="K146" s="664">
        <f t="shared" si="22"/>
        <v>154704</v>
      </c>
    </row>
    <row r="147" spans="1:11" ht="18" customHeight="1" x14ac:dyDescent="0.3">
      <c r="A147" s="733" t="s">
        <v>153</v>
      </c>
      <c r="B147" s="636" t="s">
        <v>61</v>
      </c>
      <c r="C147" s="742"/>
      <c r="D147" s="742"/>
      <c r="E147" s="742"/>
      <c r="F147" s="650">
        <f t="shared" ref="F147:K147" si="23">F108</f>
        <v>285</v>
      </c>
      <c r="G147" s="650">
        <f t="shared" si="23"/>
        <v>0</v>
      </c>
      <c r="H147" s="650">
        <f t="shared" si="23"/>
        <v>18121</v>
      </c>
      <c r="I147" s="650">
        <f t="shared" si="23"/>
        <v>14296</v>
      </c>
      <c r="J147" s="650">
        <f t="shared" si="23"/>
        <v>0</v>
      </c>
      <c r="K147" s="650">
        <f t="shared" si="23"/>
        <v>32417</v>
      </c>
    </row>
    <row r="148" spans="1:11" ht="18" customHeight="1" x14ac:dyDescent="0.3">
      <c r="A148" s="733" t="s">
        <v>155</v>
      </c>
      <c r="B148" s="636" t="s">
        <v>70</v>
      </c>
      <c r="C148" s="742"/>
      <c r="D148" s="742"/>
      <c r="E148" s="742"/>
      <c r="F148" s="665" t="s">
        <v>73</v>
      </c>
      <c r="G148" s="665" t="s">
        <v>73</v>
      </c>
      <c r="H148" s="666" t="s">
        <v>73</v>
      </c>
      <c r="I148" s="666" t="s">
        <v>73</v>
      </c>
      <c r="J148" s="666" t="s">
        <v>73</v>
      </c>
      <c r="K148" s="660">
        <f>F111</f>
        <v>2694783</v>
      </c>
    </row>
    <row r="149" spans="1:11" ht="18" customHeight="1" x14ac:dyDescent="0.3">
      <c r="A149" s="733" t="s">
        <v>163</v>
      </c>
      <c r="B149" s="636" t="s">
        <v>71</v>
      </c>
      <c r="C149" s="742"/>
      <c r="D149" s="742"/>
      <c r="E149" s="742"/>
      <c r="F149" s="650">
        <f t="shared" ref="F149:K149" si="24">F137</f>
        <v>0</v>
      </c>
      <c r="G149" s="650">
        <f t="shared" si="24"/>
        <v>0</v>
      </c>
      <c r="H149" s="650">
        <f t="shared" si="24"/>
        <v>0</v>
      </c>
      <c r="I149" s="650">
        <f t="shared" si="24"/>
        <v>0</v>
      </c>
      <c r="J149" s="650">
        <f t="shared" si="24"/>
        <v>0</v>
      </c>
      <c r="K149" s="650">
        <f t="shared" si="24"/>
        <v>0</v>
      </c>
    </row>
    <row r="150" spans="1:11" ht="18" customHeight="1" x14ac:dyDescent="0.3">
      <c r="A150" s="733" t="s">
        <v>185</v>
      </c>
      <c r="B150" s="636" t="s">
        <v>186</v>
      </c>
      <c r="C150" s="742"/>
      <c r="D150" s="742"/>
      <c r="E150" s="742"/>
      <c r="F150" s="665" t="s">
        <v>73</v>
      </c>
      <c r="G150" s="665" t="s">
        <v>73</v>
      </c>
      <c r="H150" s="650">
        <f>H18</f>
        <v>3373144</v>
      </c>
      <c r="I150" s="650">
        <f>I18</f>
        <v>0</v>
      </c>
      <c r="J150" s="650">
        <f>J18</f>
        <v>2850972</v>
      </c>
      <c r="K150" s="650">
        <f>K18</f>
        <v>522172</v>
      </c>
    </row>
    <row r="151" spans="1:11" ht="18" customHeight="1" x14ac:dyDescent="0.3">
      <c r="A151" s="742"/>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5">SUM(F141:F150)</f>
        <v>179469</v>
      </c>
      <c r="G152" s="672">
        <f t="shared" si="25"/>
        <v>71420</v>
      </c>
      <c r="H152" s="672">
        <f t="shared" si="25"/>
        <v>17737844.545584999</v>
      </c>
      <c r="I152" s="672">
        <f t="shared" si="25"/>
        <v>6636292</v>
      </c>
      <c r="J152" s="672">
        <f t="shared" si="25"/>
        <v>9942586.6999999993</v>
      </c>
      <c r="K152" s="672">
        <f t="shared" si="25"/>
        <v>17126332.845585</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0.12681707108230447</v>
      </c>
      <c r="G154" s="742"/>
      <c r="H154" s="742"/>
      <c r="I154" s="742"/>
      <c r="J154" s="742"/>
      <c r="K154" s="742"/>
    </row>
    <row r="155" spans="1:11" ht="18" customHeight="1" x14ac:dyDescent="0.3">
      <c r="A155" s="639" t="s">
        <v>169</v>
      </c>
      <c r="B155" s="636" t="s">
        <v>72</v>
      </c>
      <c r="C155" s="742"/>
      <c r="D155" s="742"/>
      <c r="E155" s="742"/>
      <c r="F155" s="687">
        <f>K152/F127</f>
        <v>4.4532967681553606</v>
      </c>
      <c r="G155" s="636"/>
      <c r="H155" s="742"/>
      <c r="I155" s="742"/>
      <c r="J155" s="742"/>
      <c r="K155" s="742"/>
    </row>
    <row r="156" spans="1:11" ht="18" customHeight="1" x14ac:dyDescent="0.3">
      <c r="A156" s="472"/>
      <c r="B156" s="472"/>
      <c r="C156" s="472"/>
      <c r="D156" s="472"/>
      <c r="E156" s="472"/>
      <c r="F156" s="472"/>
      <c r="G156" s="473"/>
      <c r="H156" s="472"/>
      <c r="I156" s="472"/>
      <c r="J156" s="472"/>
      <c r="K156" s="472"/>
    </row>
  </sheetData>
  <sheetProtection sheet="1" objects="1" scenarios="1"/>
  <mergeCells count="38">
    <mergeCell ref="B44:D44"/>
    <mergeCell ref="B13:H13"/>
    <mergeCell ref="B30:D30"/>
    <mergeCell ref="B31:D31"/>
    <mergeCell ref="B103:C103"/>
    <mergeCell ref="B96:D96"/>
    <mergeCell ref="B95:D95"/>
    <mergeCell ref="B94:D94"/>
    <mergeCell ref="B45:D45"/>
    <mergeCell ref="B46:D46"/>
    <mergeCell ref="B47:D47"/>
    <mergeCell ref="D2:H2"/>
    <mergeCell ref="C5:G5"/>
    <mergeCell ref="C6:G6"/>
    <mergeCell ref="C7:G7"/>
    <mergeCell ref="C9:G9"/>
    <mergeCell ref="C10:G10"/>
    <mergeCell ref="B52:C52"/>
    <mergeCell ref="B90:C90"/>
    <mergeCell ref="B53:D53"/>
    <mergeCell ref="B55:D55"/>
    <mergeCell ref="B56:D56"/>
    <mergeCell ref="B59:D59"/>
    <mergeCell ref="B54:D54"/>
    <mergeCell ref="B58:D58"/>
    <mergeCell ref="B60:D60"/>
    <mergeCell ref="B57:D57"/>
    <mergeCell ref="B61:D61"/>
    <mergeCell ref="B62:D62"/>
    <mergeCell ref="B34:D34"/>
    <mergeCell ref="C11:G11"/>
    <mergeCell ref="B41:C41"/>
    <mergeCell ref="B135:D135"/>
    <mergeCell ref="B133:D133"/>
    <mergeCell ref="B104:D104"/>
    <mergeCell ref="B105:D105"/>
    <mergeCell ref="B106:D106"/>
    <mergeCell ref="B134:D134"/>
  </mergeCells>
  <printOptions horizontalCentered="1"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K156"/>
  <sheetViews>
    <sheetView showGridLines="0" zoomScale="85" zoomScaleNormal="85" zoomScaleSheetLayoutView="80" workbookViewId="0">
      <selection activeCell="A16" sqref="A16"/>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4" spans="1:11" ht="18" customHeight="1" x14ac:dyDescent="0.25">
      <c r="A4" s="446"/>
      <c r="B4" s="740"/>
      <c r="C4" s="740"/>
      <c r="D4" s="740"/>
      <c r="E4" s="740"/>
      <c r="F4" s="740"/>
      <c r="G4" s="740"/>
      <c r="H4" s="740"/>
      <c r="I4" s="740"/>
      <c r="J4" s="740"/>
      <c r="K4" s="740"/>
    </row>
    <row r="5" spans="1:11" ht="18" customHeight="1" x14ac:dyDescent="0.3">
      <c r="A5" s="742"/>
      <c r="B5" s="733" t="s">
        <v>40</v>
      </c>
      <c r="C5" s="1361" t="s">
        <v>813</v>
      </c>
      <c r="D5" s="1362"/>
      <c r="E5" s="1362"/>
      <c r="F5" s="1362"/>
      <c r="G5" s="1364"/>
      <c r="H5" s="742"/>
      <c r="I5" s="742"/>
      <c r="J5" s="742"/>
      <c r="K5" s="742"/>
    </row>
    <row r="6" spans="1:11" ht="18" customHeight="1" x14ac:dyDescent="0.3">
      <c r="A6" s="742"/>
      <c r="B6" s="733" t="s">
        <v>3</v>
      </c>
      <c r="C6" s="1365">
        <v>40</v>
      </c>
      <c r="D6" s="1366"/>
      <c r="E6" s="1366"/>
      <c r="F6" s="1366"/>
      <c r="G6" s="1367"/>
      <c r="H6" s="742"/>
      <c r="I6" s="742"/>
      <c r="J6" s="742"/>
      <c r="K6" s="742"/>
    </row>
    <row r="7" spans="1:11" ht="18" customHeight="1" x14ac:dyDescent="0.3">
      <c r="A7" s="742"/>
      <c r="B7" s="733" t="s">
        <v>4</v>
      </c>
      <c r="C7" s="1368">
        <v>1787</v>
      </c>
      <c r="D7" s="1369"/>
      <c r="E7" s="1369"/>
      <c r="F7" s="1369"/>
      <c r="G7" s="1370"/>
      <c r="H7" s="742"/>
      <c r="I7" s="742"/>
      <c r="J7" s="742"/>
      <c r="K7" s="742"/>
    </row>
    <row r="8" spans="1:11" ht="18" customHeight="1" x14ac:dyDescent="0.25">
      <c r="A8" s="446"/>
      <c r="B8" s="740"/>
      <c r="C8" s="740"/>
      <c r="D8" s="740"/>
      <c r="E8" s="740"/>
      <c r="F8" s="740"/>
      <c r="G8" s="740"/>
      <c r="H8" s="740"/>
      <c r="I8" s="740"/>
      <c r="J8" s="740"/>
      <c r="K8" s="740"/>
    </row>
    <row r="9" spans="1:11" ht="18" customHeight="1" x14ac:dyDescent="0.3">
      <c r="A9" s="742"/>
      <c r="B9" s="733" t="s">
        <v>1</v>
      </c>
      <c r="C9" s="1361" t="s">
        <v>382</v>
      </c>
      <c r="D9" s="1362"/>
      <c r="E9" s="1362"/>
      <c r="F9" s="1362"/>
      <c r="G9" s="1364"/>
      <c r="H9" s="742"/>
      <c r="I9" s="742"/>
      <c r="J9" s="742"/>
      <c r="K9" s="742"/>
    </row>
    <row r="10" spans="1:11" ht="18" customHeight="1" x14ac:dyDescent="0.3">
      <c r="A10" s="742"/>
      <c r="B10" s="733" t="s">
        <v>2</v>
      </c>
      <c r="C10" s="1371" t="s">
        <v>383</v>
      </c>
      <c r="D10" s="1372"/>
      <c r="E10" s="1372"/>
      <c r="F10" s="1372"/>
      <c r="G10" s="1373"/>
      <c r="H10" s="742"/>
      <c r="I10" s="742"/>
      <c r="J10" s="742"/>
      <c r="K10" s="742"/>
    </row>
    <row r="11" spans="1:11" ht="18" customHeight="1" x14ac:dyDescent="0.3">
      <c r="A11" s="742"/>
      <c r="B11" s="733" t="s">
        <v>32</v>
      </c>
      <c r="C11" s="1361" t="s">
        <v>384</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646" t="s">
        <v>73</v>
      </c>
      <c r="G18" s="646" t="s">
        <v>73</v>
      </c>
      <c r="H18" s="647">
        <v>5646658</v>
      </c>
      <c r="I18" s="673">
        <v>0</v>
      </c>
      <c r="J18" s="647">
        <v>4772540</v>
      </c>
      <c r="K18" s="648">
        <f>(H18+I18)-J18</f>
        <v>874118</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646">
        <v>101</v>
      </c>
      <c r="G21" s="646">
        <v>228</v>
      </c>
      <c r="H21" s="647">
        <v>37675</v>
      </c>
      <c r="I21" s="673">
        <f t="shared" ref="I21:I34" si="0">H21*F$114</f>
        <v>28033.967499999999</v>
      </c>
      <c r="J21" s="647"/>
      <c r="K21" s="648">
        <f t="shared" ref="K21:K34" si="1">(H21+I21)-J21</f>
        <v>65708.967499999999</v>
      </c>
    </row>
    <row r="22" spans="1:11" ht="18" customHeight="1" x14ac:dyDescent="0.3">
      <c r="A22" s="733" t="s">
        <v>76</v>
      </c>
      <c r="B22" s="742" t="s">
        <v>6</v>
      </c>
      <c r="C22" s="742"/>
      <c r="D22" s="742"/>
      <c r="E22" s="742"/>
      <c r="F22" s="646"/>
      <c r="G22" s="646"/>
      <c r="H22" s="647"/>
      <c r="I22" s="673">
        <f t="shared" si="0"/>
        <v>0</v>
      </c>
      <c r="J22" s="647"/>
      <c r="K22" s="648">
        <f t="shared" si="1"/>
        <v>0</v>
      </c>
    </row>
    <row r="23" spans="1:11" ht="18" customHeight="1" x14ac:dyDescent="0.3">
      <c r="A23" s="733" t="s">
        <v>77</v>
      </c>
      <c r="B23" s="742" t="s">
        <v>43</v>
      </c>
      <c r="C23" s="742"/>
      <c r="D23" s="742"/>
      <c r="E23" s="742"/>
      <c r="F23" s="646"/>
      <c r="G23" s="646"/>
      <c r="H23" s="647"/>
      <c r="I23" s="673">
        <f t="shared" si="0"/>
        <v>0</v>
      </c>
      <c r="J23" s="647"/>
      <c r="K23" s="648">
        <f t="shared" si="1"/>
        <v>0</v>
      </c>
    </row>
    <row r="24" spans="1:11" ht="18" customHeight="1" x14ac:dyDescent="0.3">
      <c r="A24" s="733" t="s">
        <v>78</v>
      </c>
      <c r="B24" s="742" t="s">
        <v>44</v>
      </c>
      <c r="C24" s="742"/>
      <c r="D24" s="742"/>
      <c r="E24" s="742"/>
      <c r="F24" s="646">
        <v>47</v>
      </c>
      <c r="G24" s="646">
        <v>62</v>
      </c>
      <c r="H24" s="647">
        <v>2709</v>
      </c>
      <c r="I24" s="673">
        <f t="shared" si="0"/>
        <v>2015.7668999999999</v>
      </c>
      <c r="J24" s="647"/>
      <c r="K24" s="648">
        <f t="shared" si="1"/>
        <v>4724.7668999999996</v>
      </c>
    </row>
    <row r="25" spans="1:11" ht="18" customHeight="1" x14ac:dyDescent="0.3">
      <c r="A25" s="733" t="s">
        <v>79</v>
      </c>
      <c r="B25" s="742" t="s">
        <v>5</v>
      </c>
      <c r="C25" s="742"/>
      <c r="D25" s="742"/>
      <c r="E25" s="742"/>
      <c r="F25" s="646"/>
      <c r="G25" s="646"/>
      <c r="H25" s="647"/>
      <c r="I25" s="673">
        <f t="shared" si="0"/>
        <v>0</v>
      </c>
      <c r="J25" s="647"/>
      <c r="K25" s="648">
        <f t="shared" si="1"/>
        <v>0</v>
      </c>
    </row>
    <row r="26" spans="1:11" ht="18" customHeight="1" x14ac:dyDescent="0.3">
      <c r="A26" s="733" t="s">
        <v>80</v>
      </c>
      <c r="B26" s="742" t="s">
        <v>45</v>
      </c>
      <c r="C26" s="742"/>
      <c r="D26" s="742"/>
      <c r="E26" s="742"/>
      <c r="F26" s="646"/>
      <c r="G26" s="646"/>
      <c r="H26" s="647"/>
      <c r="I26" s="673">
        <f t="shared" si="0"/>
        <v>0</v>
      </c>
      <c r="J26" s="647"/>
      <c r="K26" s="648">
        <f t="shared" si="1"/>
        <v>0</v>
      </c>
    </row>
    <row r="27" spans="1:11" ht="18" customHeight="1" x14ac:dyDescent="0.3">
      <c r="A27" s="733" t="s">
        <v>81</v>
      </c>
      <c r="B27" s="742" t="s">
        <v>46</v>
      </c>
      <c r="C27" s="742"/>
      <c r="D27" s="742"/>
      <c r="E27" s="742"/>
      <c r="F27" s="646"/>
      <c r="G27" s="646"/>
      <c r="H27" s="647"/>
      <c r="I27" s="673">
        <f t="shared" si="0"/>
        <v>0</v>
      </c>
      <c r="J27" s="647"/>
      <c r="K27" s="648">
        <f t="shared" si="1"/>
        <v>0</v>
      </c>
    </row>
    <row r="28" spans="1:11" ht="18" customHeight="1" x14ac:dyDescent="0.3">
      <c r="A28" s="733" t="s">
        <v>82</v>
      </c>
      <c r="B28" s="742" t="s">
        <v>47</v>
      </c>
      <c r="C28" s="742"/>
      <c r="D28" s="742"/>
      <c r="E28" s="742"/>
      <c r="F28" s="646"/>
      <c r="G28" s="646"/>
      <c r="H28" s="647"/>
      <c r="I28" s="673">
        <f t="shared" si="0"/>
        <v>0</v>
      </c>
      <c r="J28" s="647"/>
      <c r="K28" s="648">
        <f t="shared" si="1"/>
        <v>0</v>
      </c>
    </row>
    <row r="29" spans="1:11" ht="18" customHeight="1" x14ac:dyDescent="0.3">
      <c r="A29" s="733" t="s">
        <v>83</v>
      </c>
      <c r="B29" s="742" t="s">
        <v>48</v>
      </c>
      <c r="C29" s="742"/>
      <c r="D29" s="742"/>
      <c r="E29" s="742"/>
      <c r="F29" s="646">
        <v>8473</v>
      </c>
      <c r="G29" s="646">
        <v>619</v>
      </c>
      <c r="H29" s="647">
        <v>955575</v>
      </c>
      <c r="I29" s="673">
        <f t="shared" si="0"/>
        <v>711043.35750000004</v>
      </c>
      <c r="J29" s="647">
        <v>311674</v>
      </c>
      <c r="K29" s="648">
        <f t="shared" si="1"/>
        <v>1354944.3574999999</v>
      </c>
    </row>
    <row r="30" spans="1:11" ht="18" customHeight="1" x14ac:dyDescent="0.3">
      <c r="A30" s="733" t="s">
        <v>84</v>
      </c>
      <c r="B30" s="1351"/>
      <c r="C30" s="1352"/>
      <c r="D30" s="1353"/>
      <c r="E30" s="742"/>
      <c r="F30" s="646"/>
      <c r="G30" s="646"/>
      <c r="H30" s="647"/>
      <c r="I30" s="673">
        <f t="shared" si="0"/>
        <v>0</v>
      </c>
      <c r="J30" s="647"/>
      <c r="K30" s="648">
        <f t="shared" si="1"/>
        <v>0</v>
      </c>
    </row>
    <row r="31" spans="1:11" ht="18" customHeight="1" x14ac:dyDescent="0.3">
      <c r="A31" s="733" t="s">
        <v>133</v>
      </c>
      <c r="B31" s="1351"/>
      <c r="C31" s="1352"/>
      <c r="D31" s="1353"/>
      <c r="E31" s="742"/>
      <c r="F31" s="646"/>
      <c r="G31" s="646"/>
      <c r="H31" s="647"/>
      <c r="I31" s="673">
        <f t="shared" si="0"/>
        <v>0</v>
      </c>
      <c r="J31" s="647"/>
      <c r="K31" s="648">
        <f t="shared" si="1"/>
        <v>0</v>
      </c>
    </row>
    <row r="32" spans="1:11" ht="18" customHeight="1" x14ac:dyDescent="0.3">
      <c r="A32" s="733" t="s">
        <v>134</v>
      </c>
      <c r="B32" s="909"/>
      <c r="C32" s="910"/>
      <c r="D32" s="911"/>
      <c r="E32" s="742"/>
      <c r="F32" s="646"/>
      <c r="G32" s="675"/>
      <c r="H32" s="647"/>
      <c r="I32" s="673">
        <f t="shared" si="0"/>
        <v>0</v>
      </c>
      <c r="J32" s="647"/>
      <c r="K32" s="648">
        <f t="shared" si="1"/>
        <v>0</v>
      </c>
    </row>
    <row r="33" spans="1:11" ht="18" customHeight="1" x14ac:dyDescent="0.3">
      <c r="A33" s="733" t="s">
        <v>135</v>
      </c>
      <c r="B33" s="909"/>
      <c r="C33" s="910"/>
      <c r="D33" s="911"/>
      <c r="E33" s="742"/>
      <c r="F33" s="646"/>
      <c r="G33" s="675"/>
      <c r="H33" s="647"/>
      <c r="I33" s="673">
        <f t="shared" si="0"/>
        <v>0</v>
      </c>
      <c r="J33" s="647"/>
      <c r="K33" s="648">
        <f t="shared" si="1"/>
        <v>0</v>
      </c>
    </row>
    <row r="34" spans="1:11" ht="18" customHeight="1" x14ac:dyDescent="0.3">
      <c r="A34" s="733" t="s">
        <v>136</v>
      </c>
      <c r="B34" s="1351"/>
      <c r="C34" s="1352"/>
      <c r="D34" s="1353"/>
      <c r="E34" s="742"/>
      <c r="F34" s="646"/>
      <c r="G34" s="675"/>
      <c r="H34" s="647"/>
      <c r="I34" s="673">
        <f t="shared" si="0"/>
        <v>0</v>
      </c>
      <c r="J34" s="647"/>
      <c r="K34" s="648">
        <f t="shared" si="1"/>
        <v>0</v>
      </c>
    </row>
    <row r="35" spans="1:11" ht="18" customHeight="1" x14ac:dyDescent="0.25">
      <c r="A35" s="742"/>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8621</v>
      </c>
      <c r="G36" s="650">
        <f t="shared" si="2"/>
        <v>909</v>
      </c>
      <c r="H36" s="650">
        <f t="shared" si="2"/>
        <v>995959</v>
      </c>
      <c r="I36" s="648">
        <f t="shared" si="2"/>
        <v>741093.0919</v>
      </c>
      <c r="J36" s="648">
        <f t="shared" si="2"/>
        <v>311674</v>
      </c>
      <c r="K36" s="648">
        <f t="shared" si="2"/>
        <v>1425378.0918999999</v>
      </c>
    </row>
    <row r="37" spans="1:11" ht="18" customHeight="1" thickBot="1" x14ac:dyDescent="0.35">
      <c r="A37" s="742"/>
      <c r="B37" s="636"/>
      <c r="C37" s="742"/>
      <c r="D37" s="742"/>
      <c r="E37" s="742"/>
      <c r="F37" s="651"/>
      <c r="G37" s="651"/>
      <c r="H37" s="652"/>
      <c r="I37" s="652"/>
      <c r="J37" s="652"/>
      <c r="K37" s="668"/>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646"/>
      <c r="G40" s="646"/>
      <c r="H40" s="647"/>
      <c r="I40" s="673">
        <f t="shared" ref="I40:I47" si="3">H40*F$114</f>
        <v>0</v>
      </c>
      <c r="J40" s="647"/>
      <c r="K40" s="648">
        <f t="shared" ref="K40:K47" si="4">(H40+I40)-J40</f>
        <v>0</v>
      </c>
    </row>
    <row r="41" spans="1:11" ht="18" customHeight="1" x14ac:dyDescent="0.3">
      <c r="A41" s="733" t="s">
        <v>88</v>
      </c>
      <c r="B41" s="1359" t="s">
        <v>50</v>
      </c>
      <c r="C41" s="1359"/>
      <c r="D41" s="742"/>
      <c r="E41" s="742"/>
      <c r="F41" s="646">
        <v>1249</v>
      </c>
      <c r="G41" s="646"/>
      <c r="H41" s="647">
        <v>63796</v>
      </c>
      <c r="I41" s="673">
        <f t="shared" si="3"/>
        <v>47470.603600000002</v>
      </c>
      <c r="J41" s="647"/>
      <c r="K41" s="648">
        <f t="shared" si="4"/>
        <v>111266.6036</v>
      </c>
    </row>
    <row r="42" spans="1:11" ht="18" customHeight="1" x14ac:dyDescent="0.3">
      <c r="A42" s="733" t="s">
        <v>89</v>
      </c>
      <c r="B42" s="635" t="s">
        <v>11</v>
      </c>
      <c r="C42" s="742"/>
      <c r="D42" s="742"/>
      <c r="E42" s="742"/>
      <c r="F42" s="646">
        <v>9329</v>
      </c>
      <c r="G42" s="646"/>
      <c r="H42" s="647">
        <v>519275</v>
      </c>
      <c r="I42" s="673">
        <f t="shared" si="3"/>
        <v>386392.52749999997</v>
      </c>
      <c r="J42" s="647"/>
      <c r="K42" s="648">
        <f t="shared" si="4"/>
        <v>905667.52749999997</v>
      </c>
    </row>
    <row r="43" spans="1:11" ht="18" customHeight="1" x14ac:dyDescent="0.3">
      <c r="A43" s="733" t="s">
        <v>90</v>
      </c>
      <c r="B43" s="670" t="s">
        <v>10</v>
      </c>
      <c r="C43" s="642"/>
      <c r="D43" s="642"/>
      <c r="E43" s="742"/>
      <c r="F43" s="646"/>
      <c r="G43" s="646"/>
      <c r="H43" s="647"/>
      <c r="I43" s="673">
        <f t="shared" si="3"/>
        <v>0</v>
      </c>
      <c r="J43" s="647"/>
      <c r="K43" s="648">
        <f t="shared" si="4"/>
        <v>0</v>
      </c>
    </row>
    <row r="44" spans="1:11" ht="18" customHeight="1" x14ac:dyDescent="0.3">
      <c r="A44" s="733" t="s">
        <v>91</v>
      </c>
      <c r="B44" s="1351"/>
      <c r="C44" s="1352"/>
      <c r="D44" s="1353"/>
      <c r="E44" s="742"/>
      <c r="F44" s="677"/>
      <c r="G44" s="677"/>
      <c r="H44" s="677"/>
      <c r="I44" s="673">
        <f t="shared" si="3"/>
        <v>0</v>
      </c>
      <c r="J44" s="677"/>
      <c r="K44" s="679">
        <f t="shared" si="4"/>
        <v>0</v>
      </c>
    </row>
    <row r="45" spans="1:11" ht="18" customHeight="1" x14ac:dyDescent="0.3">
      <c r="A45" s="733" t="s">
        <v>139</v>
      </c>
      <c r="B45" s="1351"/>
      <c r="C45" s="1352"/>
      <c r="D45" s="1353"/>
      <c r="E45" s="742"/>
      <c r="F45" s="646"/>
      <c r="G45" s="646"/>
      <c r="H45" s="647"/>
      <c r="I45" s="673">
        <f t="shared" si="3"/>
        <v>0</v>
      </c>
      <c r="J45" s="647"/>
      <c r="K45" s="648">
        <f t="shared" si="4"/>
        <v>0</v>
      </c>
    </row>
    <row r="46" spans="1:11" ht="18" customHeight="1" x14ac:dyDescent="0.3">
      <c r="A46" s="733" t="s">
        <v>140</v>
      </c>
      <c r="B46" s="1351"/>
      <c r="C46" s="1352"/>
      <c r="D46" s="1353"/>
      <c r="E46" s="742"/>
      <c r="F46" s="646"/>
      <c r="G46" s="646"/>
      <c r="H46" s="647"/>
      <c r="I46" s="673">
        <f t="shared" si="3"/>
        <v>0</v>
      </c>
      <c r="J46" s="647"/>
      <c r="K46" s="648">
        <f t="shared" si="4"/>
        <v>0</v>
      </c>
    </row>
    <row r="47" spans="1:11" ht="18" customHeight="1" x14ac:dyDescent="0.3">
      <c r="A47" s="733" t="s">
        <v>141</v>
      </c>
      <c r="B47" s="1351"/>
      <c r="C47" s="1352"/>
      <c r="D47" s="1353"/>
      <c r="E47" s="742"/>
      <c r="F47" s="646"/>
      <c r="G47" s="646"/>
      <c r="H47" s="647"/>
      <c r="I47" s="673">
        <f t="shared" si="3"/>
        <v>0</v>
      </c>
      <c r="J47" s="647"/>
      <c r="K47" s="648">
        <f t="shared" si="4"/>
        <v>0</v>
      </c>
    </row>
    <row r="48" spans="1:11" ht="18" customHeight="1" x14ac:dyDescent="0.25">
      <c r="A48" s="446"/>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5">SUM(F40:F47)</f>
        <v>10578</v>
      </c>
      <c r="G49" s="654">
        <f t="shared" si="5"/>
        <v>0</v>
      </c>
      <c r="H49" s="648">
        <f t="shared" si="5"/>
        <v>583071</v>
      </c>
      <c r="I49" s="648">
        <f t="shared" si="5"/>
        <v>433863.1311</v>
      </c>
      <c r="J49" s="648">
        <f t="shared" si="5"/>
        <v>0</v>
      </c>
      <c r="K49" s="648">
        <f t="shared" si="5"/>
        <v>1016934.1311</v>
      </c>
    </row>
    <row r="50" spans="1:11" ht="18" customHeight="1" thickBot="1" x14ac:dyDescent="0.3">
      <c r="A50" s="742"/>
      <c r="B50" s="742"/>
      <c r="C50" s="742"/>
      <c r="D50" s="742"/>
      <c r="E50" s="742"/>
      <c r="F50" s="742"/>
      <c r="G50" s="655"/>
      <c r="H50" s="655"/>
      <c r="I50" s="655"/>
      <c r="J50" s="655"/>
      <c r="K50" s="655"/>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814</v>
      </c>
      <c r="C53" s="1355"/>
      <c r="D53" s="1356"/>
      <c r="E53" s="742"/>
      <c r="F53" s="646"/>
      <c r="G53" s="646"/>
      <c r="H53" s="647">
        <v>1643973</v>
      </c>
      <c r="I53" s="673">
        <f t="shared" ref="I53:I62" si="6">H53*F$114</f>
        <v>1223280.3093000001</v>
      </c>
      <c r="J53" s="647"/>
      <c r="K53" s="648">
        <f t="shared" ref="K53:K62" si="7">(H53+I53)-J53</f>
        <v>2867253.3092999998</v>
      </c>
    </row>
    <row r="54" spans="1:11" ht="18" customHeight="1" x14ac:dyDescent="0.3">
      <c r="A54" s="733" t="s">
        <v>93</v>
      </c>
      <c r="B54" s="912" t="s">
        <v>737</v>
      </c>
      <c r="C54" s="913"/>
      <c r="D54" s="914"/>
      <c r="E54" s="742"/>
      <c r="F54" s="646"/>
      <c r="G54" s="646"/>
      <c r="H54" s="647">
        <v>338829</v>
      </c>
      <c r="I54" s="673">
        <f t="shared" si="6"/>
        <v>252122.65889999998</v>
      </c>
      <c r="J54" s="647"/>
      <c r="K54" s="648">
        <f t="shared" si="7"/>
        <v>590951.65889999992</v>
      </c>
    </row>
    <row r="55" spans="1:11" ht="18" customHeight="1" x14ac:dyDescent="0.3">
      <c r="A55" s="733" t="s">
        <v>94</v>
      </c>
      <c r="B55" s="1354" t="s">
        <v>588</v>
      </c>
      <c r="C55" s="1355"/>
      <c r="D55" s="1356"/>
      <c r="E55" s="742"/>
      <c r="F55" s="646"/>
      <c r="G55" s="646"/>
      <c r="H55" s="647">
        <v>4445090</v>
      </c>
      <c r="I55" s="673">
        <f t="shared" si="6"/>
        <v>3307591.469</v>
      </c>
      <c r="J55" s="647">
        <v>3608614</v>
      </c>
      <c r="K55" s="648">
        <f t="shared" si="7"/>
        <v>4144067.4690000005</v>
      </c>
    </row>
    <row r="56" spans="1:11" ht="18" customHeight="1" x14ac:dyDescent="0.3">
      <c r="A56" s="733" t="s">
        <v>95</v>
      </c>
      <c r="B56" s="1354" t="s">
        <v>400</v>
      </c>
      <c r="C56" s="1355"/>
      <c r="D56" s="1356"/>
      <c r="E56" s="742"/>
      <c r="F56" s="646"/>
      <c r="G56" s="646"/>
      <c r="H56" s="647">
        <v>60424</v>
      </c>
      <c r="I56" s="673">
        <f t="shared" si="6"/>
        <v>44961.498399999997</v>
      </c>
      <c r="J56" s="647"/>
      <c r="K56" s="648">
        <f t="shared" si="7"/>
        <v>105385.4984</v>
      </c>
    </row>
    <row r="57" spans="1:11" ht="18" customHeight="1" x14ac:dyDescent="0.3">
      <c r="A57" s="733" t="s">
        <v>96</v>
      </c>
      <c r="B57" s="1354"/>
      <c r="C57" s="1355"/>
      <c r="D57" s="1356"/>
      <c r="E57" s="742"/>
      <c r="F57" s="646"/>
      <c r="G57" s="646"/>
      <c r="H57" s="647"/>
      <c r="I57" s="673">
        <f t="shared" si="6"/>
        <v>0</v>
      </c>
      <c r="J57" s="647"/>
      <c r="K57" s="648">
        <f t="shared" si="7"/>
        <v>0</v>
      </c>
    </row>
    <row r="58" spans="1:11" ht="18" customHeight="1" x14ac:dyDescent="0.3">
      <c r="A58" s="733" t="s">
        <v>97</v>
      </c>
      <c r="B58" s="912"/>
      <c r="C58" s="913"/>
      <c r="D58" s="914"/>
      <c r="E58" s="742"/>
      <c r="F58" s="646"/>
      <c r="G58" s="646"/>
      <c r="H58" s="647"/>
      <c r="I58" s="673">
        <f t="shared" si="6"/>
        <v>0</v>
      </c>
      <c r="J58" s="647"/>
      <c r="K58" s="648">
        <f t="shared" si="7"/>
        <v>0</v>
      </c>
    </row>
    <row r="59" spans="1:11" ht="18" customHeight="1" x14ac:dyDescent="0.3">
      <c r="A59" s="733" t="s">
        <v>98</v>
      </c>
      <c r="B59" s="1354"/>
      <c r="C59" s="1355"/>
      <c r="D59" s="1356"/>
      <c r="E59" s="742"/>
      <c r="F59" s="646"/>
      <c r="G59" s="646"/>
      <c r="H59" s="647"/>
      <c r="I59" s="673">
        <f t="shared" si="6"/>
        <v>0</v>
      </c>
      <c r="J59" s="647"/>
      <c r="K59" s="648">
        <f t="shared" si="7"/>
        <v>0</v>
      </c>
    </row>
    <row r="60" spans="1:11" ht="18" customHeight="1" x14ac:dyDescent="0.3">
      <c r="A60" s="733" t="s">
        <v>99</v>
      </c>
      <c r="B60" s="912"/>
      <c r="C60" s="913"/>
      <c r="D60" s="914"/>
      <c r="E60" s="742"/>
      <c r="F60" s="646"/>
      <c r="G60" s="646"/>
      <c r="H60" s="647"/>
      <c r="I60" s="673">
        <f t="shared" si="6"/>
        <v>0</v>
      </c>
      <c r="J60" s="647"/>
      <c r="K60" s="648">
        <f t="shared" si="7"/>
        <v>0</v>
      </c>
    </row>
    <row r="61" spans="1:11" ht="18" customHeight="1" x14ac:dyDescent="0.3">
      <c r="A61" s="733" t="s">
        <v>100</v>
      </c>
      <c r="B61" s="912"/>
      <c r="C61" s="913"/>
      <c r="D61" s="914"/>
      <c r="E61" s="742"/>
      <c r="F61" s="646"/>
      <c r="G61" s="646"/>
      <c r="H61" s="647"/>
      <c r="I61" s="673">
        <f t="shared" si="6"/>
        <v>0</v>
      </c>
      <c r="J61" s="647"/>
      <c r="K61" s="648">
        <f t="shared" si="7"/>
        <v>0</v>
      </c>
    </row>
    <row r="62" spans="1:11" ht="18" customHeight="1" x14ac:dyDescent="0.3">
      <c r="A62" s="733" t="s">
        <v>101</v>
      </c>
      <c r="B62" s="1354"/>
      <c r="C62" s="1355"/>
      <c r="D62" s="1356"/>
      <c r="E62" s="742"/>
      <c r="F62" s="646"/>
      <c r="G62" s="646"/>
      <c r="H62" s="647"/>
      <c r="I62" s="673">
        <f t="shared" si="6"/>
        <v>0</v>
      </c>
      <c r="J62" s="647"/>
      <c r="K62" s="648">
        <f t="shared" si="7"/>
        <v>0</v>
      </c>
    </row>
    <row r="63" spans="1:11" ht="18" customHeight="1" x14ac:dyDescent="0.3">
      <c r="A63" s="733"/>
      <c r="B63" s="742"/>
      <c r="C63" s="742"/>
      <c r="D63" s="742"/>
      <c r="E63" s="742"/>
      <c r="F63" s="742"/>
      <c r="G63" s="742"/>
      <c r="H63" s="742"/>
      <c r="I63" s="669"/>
      <c r="J63" s="742"/>
      <c r="K63" s="742"/>
    </row>
    <row r="64" spans="1:11" ht="18" customHeight="1" x14ac:dyDescent="0.3">
      <c r="A64" s="733" t="s">
        <v>144</v>
      </c>
      <c r="B64" s="636" t="s">
        <v>145</v>
      </c>
      <c r="C64" s="742"/>
      <c r="D64" s="742"/>
      <c r="E64" s="636" t="s">
        <v>7</v>
      </c>
      <c r="F64" s="650">
        <f t="shared" ref="F64:K64" si="8">SUM(F53:F62)</f>
        <v>0</v>
      </c>
      <c r="G64" s="650">
        <f t="shared" si="8"/>
        <v>0</v>
      </c>
      <c r="H64" s="648">
        <f t="shared" si="8"/>
        <v>6488316</v>
      </c>
      <c r="I64" s="648">
        <f t="shared" si="8"/>
        <v>4827955.9356000004</v>
      </c>
      <c r="J64" s="648">
        <f t="shared" si="8"/>
        <v>3608614</v>
      </c>
      <c r="K64" s="648">
        <f t="shared" si="8"/>
        <v>7707657.9356000004</v>
      </c>
    </row>
    <row r="65" spans="1:11" ht="18" customHeight="1" x14ac:dyDescent="0.25">
      <c r="A65" s="742"/>
      <c r="B65" s="742"/>
      <c r="C65" s="742"/>
      <c r="D65" s="742"/>
      <c r="E65" s="742"/>
      <c r="F65" s="671"/>
      <c r="G65" s="671"/>
      <c r="H65" s="671"/>
      <c r="I65" s="671"/>
      <c r="J65" s="671"/>
      <c r="K65" s="671"/>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674">
        <v>521</v>
      </c>
      <c r="G68" s="674"/>
      <c r="H68" s="674">
        <v>21078</v>
      </c>
      <c r="I68" s="673">
        <f t="shared" ref="I68:I72" si="9">H68*F$114</f>
        <v>15684.139799999999</v>
      </c>
      <c r="J68" s="674">
        <v>19736</v>
      </c>
      <c r="K68" s="648">
        <f>(H68+I68)-J68</f>
        <v>17026.139799999997</v>
      </c>
    </row>
    <row r="69" spans="1:11" ht="18" customHeight="1" x14ac:dyDescent="0.3">
      <c r="A69" s="733" t="s">
        <v>104</v>
      </c>
      <c r="B69" s="635" t="s">
        <v>53</v>
      </c>
      <c r="C69" s="742"/>
      <c r="D69" s="742"/>
      <c r="E69" s="742"/>
      <c r="F69" s="674"/>
      <c r="G69" s="674"/>
      <c r="H69" s="674"/>
      <c r="I69" s="673">
        <f t="shared" si="9"/>
        <v>0</v>
      </c>
      <c r="J69" s="674"/>
      <c r="K69" s="648">
        <f>(H69+I69)-J69</f>
        <v>0</v>
      </c>
    </row>
    <row r="70" spans="1:11" ht="18" customHeight="1" x14ac:dyDescent="0.3">
      <c r="A70" s="733" t="s">
        <v>178</v>
      </c>
      <c r="B70" s="912"/>
      <c r="C70" s="913"/>
      <c r="D70" s="914"/>
      <c r="E70" s="636"/>
      <c r="F70" s="658"/>
      <c r="G70" s="658"/>
      <c r="H70" s="659"/>
      <c r="I70" s="673">
        <f t="shared" si="9"/>
        <v>0</v>
      </c>
      <c r="J70" s="659"/>
      <c r="K70" s="648">
        <f>(H70+I70)-J70</f>
        <v>0</v>
      </c>
    </row>
    <row r="71" spans="1:11" ht="18" customHeight="1" x14ac:dyDescent="0.3">
      <c r="A71" s="733" t="s">
        <v>179</v>
      </c>
      <c r="B71" s="912"/>
      <c r="C71" s="913"/>
      <c r="D71" s="914"/>
      <c r="E71" s="636"/>
      <c r="F71" s="658"/>
      <c r="G71" s="658"/>
      <c r="H71" s="659"/>
      <c r="I71" s="673">
        <f t="shared" si="9"/>
        <v>0</v>
      </c>
      <c r="J71" s="659"/>
      <c r="K71" s="648">
        <f>(H71+I71)-J71</f>
        <v>0</v>
      </c>
    </row>
    <row r="72" spans="1:11" ht="18" customHeight="1" x14ac:dyDescent="0.3">
      <c r="A72" s="733" t="s">
        <v>180</v>
      </c>
      <c r="B72" s="930"/>
      <c r="C72" s="929"/>
      <c r="D72" s="657"/>
      <c r="E72" s="636"/>
      <c r="F72" s="646"/>
      <c r="G72" s="646"/>
      <c r="H72" s="647"/>
      <c r="I72" s="673">
        <f t="shared" si="9"/>
        <v>0</v>
      </c>
      <c r="J72" s="647"/>
      <c r="K72" s="648">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10">SUM(F68:F72)</f>
        <v>521</v>
      </c>
      <c r="G74" s="653">
        <f t="shared" si="10"/>
        <v>0</v>
      </c>
      <c r="H74" s="653">
        <f t="shared" si="10"/>
        <v>21078</v>
      </c>
      <c r="I74" s="676">
        <f t="shared" si="10"/>
        <v>15684.139799999999</v>
      </c>
      <c r="J74" s="653">
        <f t="shared" si="10"/>
        <v>19736</v>
      </c>
      <c r="K74" s="649">
        <f t="shared" si="10"/>
        <v>17026.139799999997</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646"/>
      <c r="G77" s="646"/>
      <c r="H77" s="647">
        <v>208918</v>
      </c>
      <c r="I77" s="673">
        <v>0</v>
      </c>
      <c r="J77" s="647"/>
      <c r="K77" s="648">
        <f>(H77+I77)-J77</f>
        <v>208918</v>
      </c>
    </row>
    <row r="78" spans="1:11" ht="18" customHeight="1" x14ac:dyDescent="0.3">
      <c r="A78" s="733" t="s">
        <v>108</v>
      </c>
      <c r="B78" s="635" t="s">
        <v>55</v>
      </c>
      <c r="C78" s="742"/>
      <c r="D78" s="742"/>
      <c r="E78" s="742"/>
      <c r="F78" s="646"/>
      <c r="G78" s="646"/>
      <c r="H78" s="647"/>
      <c r="I78" s="673">
        <v>0</v>
      </c>
      <c r="J78" s="647"/>
      <c r="K78" s="648">
        <f>(H78+I78)-J78</f>
        <v>0</v>
      </c>
    </row>
    <row r="79" spans="1:11" ht="18" customHeight="1" x14ac:dyDescent="0.3">
      <c r="A79" s="733" t="s">
        <v>109</v>
      </c>
      <c r="B79" s="635" t="s">
        <v>13</v>
      </c>
      <c r="C79" s="742"/>
      <c r="D79" s="742"/>
      <c r="E79" s="742"/>
      <c r="F79" s="646"/>
      <c r="G79" s="646"/>
      <c r="H79" s="647"/>
      <c r="I79" s="673">
        <v>0</v>
      </c>
      <c r="J79" s="647"/>
      <c r="K79" s="648">
        <f>(H79+I79)-J79</f>
        <v>0</v>
      </c>
    </row>
    <row r="80" spans="1:11" ht="18" customHeight="1" x14ac:dyDescent="0.3">
      <c r="A80" s="733" t="s">
        <v>110</v>
      </c>
      <c r="B80" s="635" t="s">
        <v>56</v>
      </c>
      <c r="C80" s="742"/>
      <c r="D80" s="742"/>
      <c r="E80" s="742"/>
      <c r="F80" s="646"/>
      <c r="G80" s="646"/>
      <c r="H80" s="647"/>
      <c r="I80" s="673">
        <v>0</v>
      </c>
      <c r="J80" s="647"/>
      <c r="K80" s="648">
        <f>(H80+I80)-J80</f>
        <v>0</v>
      </c>
    </row>
    <row r="81" spans="1:11" ht="18" customHeight="1" x14ac:dyDescent="0.3">
      <c r="A81" s="733"/>
      <c r="B81" s="742"/>
      <c r="C81" s="742"/>
      <c r="D81" s="742"/>
      <c r="E81" s="742"/>
      <c r="F81" s="742"/>
      <c r="G81" s="742"/>
      <c r="H81" s="742"/>
      <c r="I81" s="742"/>
      <c r="J81" s="742"/>
      <c r="K81" s="663"/>
    </row>
    <row r="82" spans="1:11" ht="18" customHeight="1" x14ac:dyDescent="0.3">
      <c r="A82" s="733" t="s">
        <v>148</v>
      </c>
      <c r="B82" s="636" t="s">
        <v>149</v>
      </c>
      <c r="C82" s="742"/>
      <c r="D82" s="742"/>
      <c r="E82" s="636" t="s">
        <v>7</v>
      </c>
      <c r="F82" s="653">
        <f t="shared" ref="F82:K82" si="11">SUM(F77:F80)</f>
        <v>0</v>
      </c>
      <c r="G82" s="653">
        <f t="shared" si="11"/>
        <v>0</v>
      </c>
      <c r="H82" s="649">
        <f t="shared" si="11"/>
        <v>208918</v>
      </c>
      <c r="I82" s="649">
        <f t="shared" si="11"/>
        <v>0</v>
      </c>
      <c r="J82" s="649">
        <f t="shared" si="11"/>
        <v>0</v>
      </c>
      <c r="K82" s="649">
        <f t="shared" si="11"/>
        <v>208918</v>
      </c>
    </row>
    <row r="83" spans="1:11" ht="18" customHeight="1" thickBot="1" x14ac:dyDescent="0.35">
      <c r="A83" s="733"/>
      <c r="B83" s="742"/>
      <c r="C83" s="742"/>
      <c r="D83" s="742"/>
      <c r="E83" s="742"/>
      <c r="F83" s="655"/>
      <c r="G83" s="655"/>
      <c r="H83" s="655"/>
      <c r="I83" s="655"/>
      <c r="J83" s="655"/>
      <c r="K83" s="655"/>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646"/>
      <c r="G86" s="646"/>
      <c r="H86" s="647"/>
      <c r="I86" s="673">
        <f t="shared" ref="I86:I96" si="12">H86*F$114</f>
        <v>0</v>
      </c>
      <c r="J86" s="647"/>
      <c r="K86" s="648">
        <f t="shared" ref="K86:K96" si="13">(H86+I86)-J86</f>
        <v>0</v>
      </c>
    </row>
    <row r="87" spans="1:11" ht="18" customHeight="1" x14ac:dyDescent="0.3">
      <c r="A87" s="733" t="s">
        <v>114</v>
      </c>
      <c r="B87" s="635" t="s">
        <v>14</v>
      </c>
      <c r="C87" s="742"/>
      <c r="D87" s="742"/>
      <c r="E87" s="742"/>
      <c r="F87" s="646"/>
      <c r="G87" s="646"/>
      <c r="H87" s="647"/>
      <c r="I87" s="673">
        <f t="shared" si="12"/>
        <v>0</v>
      </c>
      <c r="J87" s="647"/>
      <c r="K87" s="648">
        <f t="shared" si="13"/>
        <v>0</v>
      </c>
    </row>
    <row r="88" spans="1:11" ht="18" customHeight="1" x14ac:dyDescent="0.3">
      <c r="A88" s="733" t="s">
        <v>115</v>
      </c>
      <c r="B88" s="635" t="s">
        <v>116</v>
      </c>
      <c r="C88" s="742"/>
      <c r="D88" s="742"/>
      <c r="E88" s="742"/>
      <c r="F88" s="646"/>
      <c r="G88" s="646"/>
      <c r="H88" s="647">
        <v>101119</v>
      </c>
      <c r="I88" s="673">
        <f t="shared" si="12"/>
        <v>75242.647899999996</v>
      </c>
      <c r="J88" s="647">
        <v>29302</v>
      </c>
      <c r="K88" s="648">
        <f t="shared" si="13"/>
        <v>147059.64789999998</v>
      </c>
    </row>
    <row r="89" spans="1:11" ht="18" customHeight="1" x14ac:dyDescent="0.3">
      <c r="A89" s="733" t="s">
        <v>117</v>
      </c>
      <c r="B89" s="635" t="s">
        <v>58</v>
      </c>
      <c r="C89" s="742"/>
      <c r="D89" s="742"/>
      <c r="E89" s="742"/>
      <c r="F89" s="646"/>
      <c r="G89" s="646"/>
      <c r="H89" s="647"/>
      <c r="I89" s="673">
        <f t="shared" si="12"/>
        <v>0</v>
      </c>
      <c r="J89" s="647"/>
      <c r="K89" s="648">
        <f t="shared" si="13"/>
        <v>0</v>
      </c>
    </row>
    <row r="90" spans="1:11" ht="18" customHeight="1" x14ac:dyDescent="0.3">
      <c r="A90" s="733" t="s">
        <v>118</v>
      </c>
      <c r="B90" s="1359" t="s">
        <v>59</v>
      </c>
      <c r="C90" s="1359"/>
      <c r="D90" s="742"/>
      <c r="E90" s="742"/>
      <c r="F90" s="646"/>
      <c r="G90" s="646"/>
      <c r="H90" s="647"/>
      <c r="I90" s="673">
        <f t="shared" si="12"/>
        <v>0</v>
      </c>
      <c r="J90" s="647"/>
      <c r="K90" s="648">
        <f t="shared" si="13"/>
        <v>0</v>
      </c>
    </row>
    <row r="91" spans="1:11" ht="18" customHeight="1" x14ac:dyDescent="0.3">
      <c r="A91" s="733" t="s">
        <v>119</v>
      </c>
      <c r="B91" s="635" t="s">
        <v>60</v>
      </c>
      <c r="C91" s="742"/>
      <c r="D91" s="742"/>
      <c r="E91" s="742"/>
      <c r="F91" s="646">
        <v>9</v>
      </c>
      <c r="G91" s="646"/>
      <c r="H91" s="647">
        <v>154</v>
      </c>
      <c r="I91" s="673">
        <f t="shared" si="12"/>
        <v>114.59139999999999</v>
      </c>
      <c r="J91" s="647"/>
      <c r="K91" s="648">
        <f t="shared" si="13"/>
        <v>268.59140000000002</v>
      </c>
    </row>
    <row r="92" spans="1:11" ht="18" customHeight="1" x14ac:dyDescent="0.3">
      <c r="A92" s="733" t="s">
        <v>120</v>
      </c>
      <c r="B92" s="635" t="s">
        <v>121</v>
      </c>
      <c r="C92" s="742"/>
      <c r="D92" s="742"/>
      <c r="E92" s="742"/>
      <c r="F92" s="661"/>
      <c r="G92" s="661"/>
      <c r="H92" s="662"/>
      <c r="I92" s="673">
        <f t="shared" si="12"/>
        <v>0</v>
      </c>
      <c r="J92" s="662"/>
      <c r="K92" s="648">
        <f t="shared" si="13"/>
        <v>0</v>
      </c>
    </row>
    <row r="93" spans="1:11" ht="18" customHeight="1" x14ac:dyDescent="0.3">
      <c r="A93" s="733" t="s">
        <v>122</v>
      </c>
      <c r="B93" s="635" t="s">
        <v>123</v>
      </c>
      <c r="C93" s="742"/>
      <c r="D93" s="742"/>
      <c r="E93" s="742"/>
      <c r="F93" s="646"/>
      <c r="G93" s="646"/>
      <c r="H93" s="647"/>
      <c r="I93" s="673">
        <f t="shared" si="12"/>
        <v>0</v>
      </c>
      <c r="J93" s="647"/>
      <c r="K93" s="648">
        <f t="shared" si="13"/>
        <v>0</v>
      </c>
    </row>
    <row r="94" spans="1:11" ht="18" customHeight="1" x14ac:dyDescent="0.3">
      <c r="A94" s="733" t="s">
        <v>124</v>
      </c>
      <c r="B94" s="1354"/>
      <c r="C94" s="1355"/>
      <c r="D94" s="1356"/>
      <c r="E94" s="742"/>
      <c r="F94" s="646"/>
      <c r="G94" s="646"/>
      <c r="H94" s="647"/>
      <c r="I94" s="673">
        <f t="shared" si="12"/>
        <v>0</v>
      </c>
      <c r="J94" s="647"/>
      <c r="K94" s="648">
        <f t="shared" si="13"/>
        <v>0</v>
      </c>
    </row>
    <row r="95" spans="1:11" ht="18" customHeight="1" x14ac:dyDescent="0.3">
      <c r="A95" s="733" t="s">
        <v>125</v>
      </c>
      <c r="B95" s="1354"/>
      <c r="C95" s="1355"/>
      <c r="D95" s="1356"/>
      <c r="E95" s="742"/>
      <c r="F95" s="646"/>
      <c r="G95" s="646"/>
      <c r="H95" s="647"/>
      <c r="I95" s="673">
        <f t="shared" si="12"/>
        <v>0</v>
      </c>
      <c r="J95" s="647"/>
      <c r="K95" s="648">
        <f t="shared" si="13"/>
        <v>0</v>
      </c>
    </row>
    <row r="96" spans="1:11" ht="18" customHeight="1" x14ac:dyDescent="0.3">
      <c r="A96" s="733" t="s">
        <v>126</v>
      </c>
      <c r="B96" s="1354"/>
      <c r="C96" s="1355"/>
      <c r="D96" s="1356"/>
      <c r="E96" s="742"/>
      <c r="F96" s="646"/>
      <c r="G96" s="646"/>
      <c r="H96" s="647"/>
      <c r="I96" s="673">
        <f t="shared" si="12"/>
        <v>0</v>
      </c>
      <c r="J96" s="647"/>
      <c r="K96" s="648">
        <f t="shared" si="13"/>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4">SUM(F86:F96)</f>
        <v>9</v>
      </c>
      <c r="G98" s="650">
        <f t="shared" si="14"/>
        <v>0</v>
      </c>
      <c r="H98" s="650">
        <f t="shared" si="14"/>
        <v>101273</v>
      </c>
      <c r="I98" s="650">
        <f t="shared" si="14"/>
        <v>75357.239300000001</v>
      </c>
      <c r="J98" s="650">
        <f t="shared" si="14"/>
        <v>29302</v>
      </c>
      <c r="K98" s="650">
        <f t="shared" si="14"/>
        <v>147328.23929999999</v>
      </c>
    </row>
    <row r="99" spans="1:11" ht="18" customHeight="1" thickBot="1" x14ac:dyDescent="0.35">
      <c r="A99" s="742"/>
      <c r="B99" s="636"/>
      <c r="C99" s="742"/>
      <c r="D99" s="742"/>
      <c r="E99" s="742"/>
      <c r="F99" s="655"/>
      <c r="G99" s="655"/>
      <c r="H99" s="655"/>
      <c r="I99" s="655"/>
      <c r="J99" s="655"/>
      <c r="K99" s="655"/>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646">
        <v>2117</v>
      </c>
      <c r="G102" s="646"/>
      <c r="H102" s="647">
        <v>89482</v>
      </c>
      <c r="I102" s="673">
        <f>H102*F$114</f>
        <v>66583.556199999992</v>
      </c>
      <c r="J102" s="647"/>
      <c r="K102" s="648">
        <f>(H102+I102)-J102</f>
        <v>156065.55619999999</v>
      </c>
    </row>
    <row r="103" spans="1:11" ht="18" customHeight="1" x14ac:dyDescent="0.3">
      <c r="A103" s="733" t="s">
        <v>132</v>
      </c>
      <c r="B103" s="1357" t="s">
        <v>62</v>
      </c>
      <c r="C103" s="1357"/>
      <c r="D103" s="742"/>
      <c r="E103" s="742"/>
      <c r="F103" s="646"/>
      <c r="G103" s="646"/>
      <c r="H103" s="647"/>
      <c r="I103" s="673">
        <f>H103*F$114</f>
        <v>0</v>
      </c>
      <c r="J103" s="647"/>
      <c r="K103" s="648">
        <f>(H103+I103)-J103</f>
        <v>0</v>
      </c>
    </row>
    <row r="104" spans="1:11" ht="18" customHeight="1" x14ac:dyDescent="0.3">
      <c r="A104" s="733" t="s">
        <v>128</v>
      </c>
      <c r="B104" s="1354"/>
      <c r="C104" s="1355"/>
      <c r="D104" s="1356"/>
      <c r="E104" s="742"/>
      <c r="F104" s="646"/>
      <c r="G104" s="646"/>
      <c r="H104" s="647"/>
      <c r="I104" s="673">
        <f>H104*F$114</f>
        <v>0</v>
      </c>
      <c r="J104" s="647"/>
      <c r="K104" s="648">
        <f>(H104+I104)-J104</f>
        <v>0</v>
      </c>
    </row>
    <row r="105" spans="1:11" ht="18" customHeight="1" x14ac:dyDescent="0.3">
      <c r="A105" s="733" t="s">
        <v>127</v>
      </c>
      <c r="B105" s="1354"/>
      <c r="C105" s="1355"/>
      <c r="D105" s="1356"/>
      <c r="E105" s="742"/>
      <c r="F105" s="646"/>
      <c r="G105" s="646"/>
      <c r="H105" s="647"/>
      <c r="I105" s="673">
        <f>H105*F$114</f>
        <v>0</v>
      </c>
      <c r="J105" s="647"/>
      <c r="K105" s="648">
        <f>(H105+I105)-J105</f>
        <v>0</v>
      </c>
    </row>
    <row r="106" spans="1:11" ht="18" customHeight="1" x14ac:dyDescent="0.3">
      <c r="A106" s="733" t="s">
        <v>129</v>
      </c>
      <c r="B106" s="1354"/>
      <c r="C106" s="1355"/>
      <c r="D106" s="1356"/>
      <c r="E106" s="742"/>
      <c r="F106" s="646"/>
      <c r="G106" s="646"/>
      <c r="H106" s="647"/>
      <c r="I106" s="673">
        <f>H106*F$114</f>
        <v>0</v>
      </c>
      <c r="J106" s="647"/>
      <c r="K106" s="648">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5">SUM(F102:F106)</f>
        <v>2117</v>
      </c>
      <c r="G108" s="650">
        <f t="shared" si="15"/>
        <v>0</v>
      </c>
      <c r="H108" s="648">
        <f t="shared" si="15"/>
        <v>89482</v>
      </c>
      <c r="I108" s="648">
        <f t="shared" si="15"/>
        <v>66583.556199999992</v>
      </c>
      <c r="J108" s="648">
        <f t="shared" si="15"/>
        <v>0</v>
      </c>
      <c r="K108" s="648">
        <f t="shared" si="15"/>
        <v>156065.55619999999</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2734207</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733" t="s">
        <v>171</v>
      </c>
      <c r="B114" s="635" t="s">
        <v>35</v>
      </c>
      <c r="C114" s="742"/>
      <c r="D114" s="742"/>
      <c r="E114" s="742"/>
      <c r="F114" s="656">
        <v>0.74409999999999998</v>
      </c>
      <c r="G114" s="740"/>
      <c r="H114" s="740"/>
      <c r="I114" s="740"/>
      <c r="J114" s="740"/>
      <c r="K114" s="740"/>
    </row>
    <row r="115" spans="1:11" ht="18" customHeight="1" x14ac:dyDescent="0.3">
      <c r="A115" s="733"/>
      <c r="B115" s="636"/>
      <c r="C115" s="742"/>
      <c r="D115" s="742"/>
      <c r="E115" s="742"/>
      <c r="F115" s="742"/>
      <c r="G115" s="740"/>
      <c r="H115" s="740"/>
      <c r="I115" s="740"/>
      <c r="J115" s="740"/>
      <c r="K115" s="740"/>
    </row>
    <row r="116" spans="1:11" ht="18" customHeight="1" x14ac:dyDescent="0.3">
      <c r="A116" s="733" t="s">
        <v>170</v>
      </c>
      <c r="B116" s="636" t="s">
        <v>16</v>
      </c>
      <c r="C116" s="742"/>
      <c r="D116" s="742"/>
      <c r="E116" s="742"/>
      <c r="F116" s="742"/>
      <c r="G116" s="740"/>
      <c r="H116" s="740"/>
      <c r="I116" s="740"/>
      <c r="J116" s="740"/>
      <c r="K116" s="740"/>
    </row>
    <row r="117" spans="1:11" ht="18" customHeight="1" x14ac:dyDescent="0.3">
      <c r="A117" s="733" t="s">
        <v>172</v>
      </c>
      <c r="B117" s="635" t="s">
        <v>17</v>
      </c>
      <c r="C117" s="742"/>
      <c r="D117" s="742"/>
      <c r="E117" s="742"/>
      <c r="F117" s="647">
        <f>266417231-12962203</f>
        <v>253455028</v>
      </c>
      <c r="G117" s="740"/>
      <c r="H117" s="740"/>
      <c r="I117" s="740"/>
      <c r="J117" s="740"/>
      <c r="K117" s="740"/>
    </row>
    <row r="118" spans="1:11" ht="18" customHeight="1" x14ac:dyDescent="0.3">
      <c r="A118" s="733" t="s">
        <v>173</v>
      </c>
      <c r="B118" s="742" t="s">
        <v>18</v>
      </c>
      <c r="C118" s="742"/>
      <c r="D118" s="742"/>
      <c r="E118" s="742"/>
      <c r="F118" s="647">
        <f>22604718-19734320+70062+48745</f>
        <v>2989205</v>
      </c>
      <c r="G118" s="740"/>
      <c r="H118" s="740"/>
      <c r="I118" s="740"/>
      <c r="J118" s="740"/>
      <c r="K118" s="740"/>
    </row>
    <row r="119" spans="1:11" ht="18" customHeight="1" x14ac:dyDescent="0.3">
      <c r="A119" s="733" t="s">
        <v>174</v>
      </c>
      <c r="B119" s="636" t="s">
        <v>19</v>
      </c>
      <c r="C119" s="742"/>
      <c r="D119" s="742"/>
      <c r="E119" s="742"/>
      <c r="F119" s="649">
        <f>SUM(F117:F118)</f>
        <v>256444233</v>
      </c>
      <c r="G119" s="740"/>
      <c r="H119" s="740"/>
      <c r="I119" s="740"/>
      <c r="J119" s="740"/>
      <c r="K119" s="740"/>
    </row>
    <row r="120" spans="1:11" ht="18" customHeight="1" x14ac:dyDescent="0.3">
      <c r="A120" s="733"/>
      <c r="B120" s="636"/>
      <c r="C120" s="742"/>
      <c r="D120" s="742"/>
      <c r="E120" s="742"/>
      <c r="F120" s="742"/>
      <c r="G120" s="740"/>
      <c r="H120" s="740"/>
      <c r="I120" s="740"/>
      <c r="J120" s="740"/>
      <c r="K120" s="740"/>
    </row>
    <row r="121" spans="1:11" ht="18" customHeight="1" x14ac:dyDescent="0.3">
      <c r="A121" s="733" t="s">
        <v>167</v>
      </c>
      <c r="B121" s="636" t="s">
        <v>36</v>
      </c>
      <c r="C121" s="742"/>
      <c r="D121" s="742"/>
      <c r="E121" s="742"/>
      <c r="F121" s="647">
        <f>234472541-12962203+3260692+11337150+4439259</f>
        <v>240547439</v>
      </c>
      <c r="G121" s="740"/>
      <c r="H121" s="740"/>
      <c r="I121" s="740"/>
      <c r="J121" s="740"/>
      <c r="K121" s="740"/>
    </row>
    <row r="122" spans="1:11" ht="18" customHeight="1" x14ac:dyDescent="0.3">
      <c r="A122" s="733"/>
      <c r="B122" s="742"/>
      <c r="C122" s="742"/>
      <c r="D122" s="742"/>
      <c r="E122" s="742"/>
      <c r="F122" s="742"/>
      <c r="G122" s="740"/>
      <c r="H122" s="740"/>
      <c r="I122" s="740"/>
      <c r="J122" s="740"/>
      <c r="K122" s="740"/>
    </row>
    <row r="123" spans="1:11" ht="18" customHeight="1" x14ac:dyDescent="0.3">
      <c r="A123" s="733" t="s">
        <v>175</v>
      </c>
      <c r="B123" s="636" t="s">
        <v>20</v>
      </c>
      <c r="C123" s="742"/>
      <c r="D123" s="742"/>
      <c r="E123" s="742"/>
      <c r="F123" s="647">
        <f>F119-F121</f>
        <v>15896794</v>
      </c>
      <c r="G123" s="740"/>
      <c r="H123" s="740"/>
      <c r="I123" s="740"/>
      <c r="J123" s="740"/>
      <c r="K123" s="740"/>
    </row>
    <row r="124" spans="1:11" ht="18" customHeight="1" x14ac:dyDescent="0.3">
      <c r="A124" s="733"/>
      <c r="B124" s="742"/>
      <c r="C124" s="742"/>
      <c r="D124" s="742"/>
      <c r="E124" s="742"/>
      <c r="F124" s="742"/>
      <c r="G124" s="740"/>
      <c r="H124" s="740"/>
      <c r="I124" s="740"/>
      <c r="J124" s="740"/>
      <c r="K124" s="740"/>
    </row>
    <row r="125" spans="1:11" ht="18" customHeight="1" x14ac:dyDescent="0.3">
      <c r="A125" s="733" t="s">
        <v>176</v>
      </c>
      <c r="B125" s="636" t="s">
        <v>21</v>
      </c>
      <c r="C125" s="742"/>
      <c r="D125" s="742"/>
      <c r="E125" s="742"/>
      <c r="F125" s="647">
        <f>-2091097+12553263+2656606</f>
        <v>13118772</v>
      </c>
      <c r="G125" s="740"/>
      <c r="H125" s="740"/>
      <c r="I125" s="740"/>
      <c r="J125" s="740"/>
      <c r="K125" s="740"/>
    </row>
    <row r="126" spans="1:11" ht="18" customHeight="1" x14ac:dyDescent="0.3">
      <c r="A126" s="733"/>
      <c r="B126" s="742"/>
      <c r="C126" s="742"/>
      <c r="D126" s="742"/>
      <c r="E126" s="742"/>
      <c r="F126" s="742"/>
      <c r="G126" s="740"/>
      <c r="H126" s="740"/>
      <c r="I126" s="740"/>
      <c r="J126" s="740"/>
      <c r="K126" s="740"/>
    </row>
    <row r="127" spans="1:11" ht="18" customHeight="1" x14ac:dyDescent="0.3">
      <c r="A127" s="733" t="s">
        <v>177</v>
      </c>
      <c r="B127" s="636" t="s">
        <v>22</v>
      </c>
      <c r="C127" s="742"/>
      <c r="D127" s="742"/>
      <c r="E127" s="742"/>
      <c r="F127" s="647">
        <f>F123+F125</f>
        <v>29015566</v>
      </c>
      <c r="G127" s="740"/>
      <c r="H127" s="740"/>
      <c r="I127" s="740"/>
      <c r="J127" s="740"/>
      <c r="K127" s="740"/>
    </row>
    <row r="128" spans="1:11" ht="18" customHeight="1" x14ac:dyDescent="0.3">
      <c r="A128" s="733"/>
      <c r="B128" s="742"/>
      <c r="C128" s="742"/>
      <c r="D128" s="742"/>
      <c r="E128" s="742"/>
      <c r="F128" s="742"/>
      <c r="G128" s="740"/>
      <c r="H128" s="740"/>
      <c r="I128" s="740"/>
      <c r="J128" s="740"/>
      <c r="K128" s="740"/>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646"/>
      <c r="G131" s="646"/>
      <c r="H131" s="647"/>
      <c r="I131" s="673">
        <v>0</v>
      </c>
      <c r="J131" s="647"/>
      <c r="K131" s="648">
        <f>(H131+I131)-J131</f>
        <v>0</v>
      </c>
    </row>
    <row r="132" spans="1:11" ht="18" customHeight="1" x14ac:dyDescent="0.3">
      <c r="A132" s="733" t="s">
        <v>159</v>
      </c>
      <c r="B132" s="742" t="s">
        <v>25</v>
      </c>
      <c r="C132" s="742"/>
      <c r="D132" s="742"/>
      <c r="E132" s="742"/>
      <c r="F132" s="646"/>
      <c r="G132" s="646"/>
      <c r="H132" s="647"/>
      <c r="I132" s="673">
        <v>0</v>
      </c>
      <c r="J132" s="647"/>
      <c r="K132" s="648">
        <f>(H132+I132)-J132</f>
        <v>0</v>
      </c>
    </row>
    <row r="133" spans="1:11" ht="18" customHeight="1" x14ac:dyDescent="0.3">
      <c r="A133" s="733" t="s">
        <v>160</v>
      </c>
      <c r="B133" s="1351"/>
      <c r="C133" s="1352"/>
      <c r="D133" s="1353"/>
      <c r="E133" s="742"/>
      <c r="F133" s="646"/>
      <c r="G133" s="646"/>
      <c r="H133" s="647"/>
      <c r="I133" s="673">
        <v>0</v>
      </c>
      <c r="J133" s="647"/>
      <c r="K133" s="648">
        <f>(H133+I133)-J133</f>
        <v>0</v>
      </c>
    </row>
    <row r="134" spans="1:11" ht="18" customHeight="1" x14ac:dyDescent="0.3">
      <c r="A134" s="733" t="s">
        <v>161</v>
      </c>
      <c r="B134" s="1351"/>
      <c r="C134" s="1352"/>
      <c r="D134" s="1353"/>
      <c r="E134" s="742"/>
      <c r="F134" s="646"/>
      <c r="G134" s="646"/>
      <c r="H134" s="647"/>
      <c r="I134" s="673">
        <v>0</v>
      </c>
      <c r="J134" s="647"/>
      <c r="K134" s="648">
        <f>(H134+I134)-J134</f>
        <v>0</v>
      </c>
    </row>
    <row r="135" spans="1:11" ht="18" customHeight="1" x14ac:dyDescent="0.3">
      <c r="A135" s="733"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6">SUM(F131:F135)</f>
        <v>0</v>
      </c>
      <c r="G137" s="650">
        <f t="shared" si="16"/>
        <v>0</v>
      </c>
      <c r="H137" s="648">
        <f t="shared" si="16"/>
        <v>0</v>
      </c>
      <c r="I137" s="648">
        <f t="shared" si="16"/>
        <v>0</v>
      </c>
      <c r="J137" s="648">
        <f t="shared" si="16"/>
        <v>0</v>
      </c>
      <c r="K137" s="648">
        <f t="shared" si="16"/>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664">
        <f t="shared" ref="F141:K141" si="17">F36</f>
        <v>8621</v>
      </c>
      <c r="G141" s="664">
        <f t="shared" si="17"/>
        <v>909</v>
      </c>
      <c r="H141" s="664">
        <f t="shared" si="17"/>
        <v>995959</v>
      </c>
      <c r="I141" s="664">
        <f t="shared" si="17"/>
        <v>741093.0919</v>
      </c>
      <c r="J141" s="664">
        <f t="shared" si="17"/>
        <v>311674</v>
      </c>
      <c r="K141" s="664">
        <f t="shared" si="17"/>
        <v>1425378.0918999999</v>
      </c>
    </row>
    <row r="142" spans="1:11" ht="18" customHeight="1" x14ac:dyDescent="0.3">
      <c r="A142" s="733" t="s">
        <v>142</v>
      </c>
      <c r="B142" s="636" t="s">
        <v>65</v>
      </c>
      <c r="C142" s="742"/>
      <c r="D142" s="742"/>
      <c r="E142" s="742"/>
      <c r="F142" s="664">
        <f t="shared" ref="F142:K142" si="18">F49</f>
        <v>10578</v>
      </c>
      <c r="G142" s="664">
        <f t="shared" si="18"/>
        <v>0</v>
      </c>
      <c r="H142" s="664">
        <f t="shared" si="18"/>
        <v>583071</v>
      </c>
      <c r="I142" s="664">
        <f t="shared" si="18"/>
        <v>433863.1311</v>
      </c>
      <c r="J142" s="664">
        <f t="shared" si="18"/>
        <v>0</v>
      </c>
      <c r="K142" s="664">
        <f t="shared" si="18"/>
        <v>1016934.1311</v>
      </c>
    </row>
    <row r="143" spans="1:11" ht="18" customHeight="1" x14ac:dyDescent="0.3">
      <c r="A143" s="733" t="s">
        <v>144</v>
      </c>
      <c r="B143" s="636" t="s">
        <v>66</v>
      </c>
      <c r="C143" s="742"/>
      <c r="D143" s="742"/>
      <c r="E143" s="742"/>
      <c r="F143" s="664">
        <f t="shared" ref="F143:K143" si="19">F64</f>
        <v>0</v>
      </c>
      <c r="G143" s="664">
        <f t="shared" si="19"/>
        <v>0</v>
      </c>
      <c r="H143" s="664">
        <f t="shared" si="19"/>
        <v>6488316</v>
      </c>
      <c r="I143" s="664">
        <f t="shared" si="19"/>
        <v>4827955.9356000004</v>
      </c>
      <c r="J143" s="664">
        <f t="shared" si="19"/>
        <v>3608614</v>
      </c>
      <c r="K143" s="664">
        <f t="shared" si="19"/>
        <v>7707657.9356000004</v>
      </c>
    </row>
    <row r="144" spans="1:11" ht="18" customHeight="1" x14ac:dyDescent="0.3">
      <c r="A144" s="733" t="s">
        <v>146</v>
      </c>
      <c r="B144" s="636" t="s">
        <v>67</v>
      </c>
      <c r="C144" s="742"/>
      <c r="D144" s="742"/>
      <c r="E144" s="742"/>
      <c r="F144" s="664">
        <f t="shared" ref="F144:K144" si="20">F74</f>
        <v>521</v>
      </c>
      <c r="G144" s="664">
        <f t="shared" si="20"/>
        <v>0</v>
      </c>
      <c r="H144" s="664">
        <f t="shared" si="20"/>
        <v>21078</v>
      </c>
      <c r="I144" s="664">
        <f t="shared" si="20"/>
        <v>15684.139799999999</v>
      </c>
      <c r="J144" s="664">
        <f t="shared" si="20"/>
        <v>19736</v>
      </c>
      <c r="K144" s="664">
        <f t="shared" si="20"/>
        <v>17026.139799999997</v>
      </c>
    </row>
    <row r="145" spans="1:11" ht="18" customHeight="1" x14ac:dyDescent="0.3">
      <c r="A145" s="733" t="s">
        <v>148</v>
      </c>
      <c r="B145" s="636" t="s">
        <v>68</v>
      </c>
      <c r="C145" s="742"/>
      <c r="D145" s="742"/>
      <c r="E145" s="742"/>
      <c r="F145" s="664">
        <f t="shared" ref="F145:K145" si="21">F82</f>
        <v>0</v>
      </c>
      <c r="G145" s="664">
        <f t="shared" si="21"/>
        <v>0</v>
      </c>
      <c r="H145" s="664">
        <f t="shared" si="21"/>
        <v>208918</v>
      </c>
      <c r="I145" s="664">
        <f t="shared" si="21"/>
        <v>0</v>
      </c>
      <c r="J145" s="664">
        <f t="shared" si="21"/>
        <v>0</v>
      </c>
      <c r="K145" s="664">
        <f t="shared" si="21"/>
        <v>208918</v>
      </c>
    </row>
    <row r="146" spans="1:11" ht="18" customHeight="1" x14ac:dyDescent="0.3">
      <c r="A146" s="733" t="s">
        <v>150</v>
      </c>
      <c r="B146" s="636" t="s">
        <v>69</v>
      </c>
      <c r="C146" s="742"/>
      <c r="D146" s="742"/>
      <c r="E146" s="742"/>
      <c r="F146" s="664">
        <f t="shared" ref="F146:K146" si="22">F98</f>
        <v>9</v>
      </c>
      <c r="G146" s="664">
        <f t="shared" si="22"/>
        <v>0</v>
      </c>
      <c r="H146" s="664">
        <f t="shared" si="22"/>
        <v>101273</v>
      </c>
      <c r="I146" s="664">
        <f t="shared" si="22"/>
        <v>75357.239300000001</v>
      </c>
      <c r="J146" s="664">
        <f t="shared" si="22"/>
        <v>29302</v>
      </c>
      <c r="K146" s="664">
        <f t="shared" si="22"/>
        <v>147328.23929999999</v>
      </c>
    </row>
    <row r="147" spans="1:11" ht="18" customHeight="1" x14ac:dyDescent="0.3">
      <c r="A147" s="733" t="s">
        <v>153</v>
      </c>
      <c r="B147" s="636" t="s">
        <v>61</v>
      </c>
      <c r="C147" s="742"/>
      <c r="D147" s="742"/>
      <c r="E147" s="742"/>
      <c r="F147" s="650">
        <f t="shared" ref="F147:K147" si="23">F108</f>
        <v>2117</v>
      </c>
      <c r="G147" s="650">
        <f t="shared" si="23"/>
        <v>0</v>
      </c>
      <c r="H147" s="650">
        <f t="shared" si="23"/>
        <v>89482</v>
      </c>
      <c r="I147" s="650">
        <f t="shared" si="23"/>
        <v>66583.556199999992</v>
      </c>
      <c r="J147" s="650">
        <f t="shared" si="23"/>
        <v>0</v>
      </c>
      <c r="K147" s="650">
        <f t="shared" si="23"/>
        <v>156065.55619999999</v>
      </c>
    </row>
    <row r="148" spans="1:11" ht="18" customHeight="1" x14ac:dyDescent="0.3">
      <c r="A148" s="733" t="s">
        <v>155</v>
      </c>
      <c r="B148" s="636" t="s">
        <v>70</v>
      </c>
      <c r="C148" s="742"/>
      <c r="D148" s="742"/>
      <c r="E148" s="742"/>
      <c r="F148" s="665" t="s">
        <v>73</v>
      </c>
      <c r="G148" s="665" t="s">
        <v>73</v>
      </c>
      <c r="H148" s="666" t="s">
        <v>73</v>
      </c>
      <c r="I148" s="666" t="s">
        <v>73</v>
      </c>
      <c r="J148" s="666" t="s">
        <v>73</v>
      </c>
      <c r="K148" s="660">
        <f>F111</f>
        <v>2734207</v>
      </c>
    </row>
    <row r="149" spans="1:11" ht="18" customHeight="1" x14ac:dyDescent="0.3">
      <c r="A149" s="733" t="s">
        <v>163</v>
      </c>
      <c r="B149" s="636" t="s">
        <v>71</v>
      </c>
      <c r="C149" s="742"/>
      <c r="D149" s="742"/>
      <c r="E149" s="742"/>
      <c r="F149" s="650">
        <f t="shared" ref="F149:K149" si="24">F137</f>
        <v>0</v>
      </c>
      <c r="G149" s="650">
        <f t="shared" si="24"/>
        <v>0</v>
      </c>
      <c r="H149" s="650">
        <f t="shared" si="24"/>
        <v>0</v>
      </c>
      <c r="I149" s="650">
        <f t="shared" si="24"/>
        <v>0</v>
      </c>
      <c r="J149" s="650">
        <f t="shared" si="24"/>
        <v>0</v>
      </c>
      <c r="K149" s="650">
        <f t="shared" si="24"/>
        <v>0</v>
      </c>
    </row>
    <row r="150" spans="1:11" ht="18" customHeight="1" x14ac:dyDescent="0.3">
      <c r="A150" s="733" t="s">
        <v>185</v>
      </c>
      <c r="B150" s="636" t="s">
        <v>186</v>
      </c>
      <c r="C150" s="742"/>
      <c r="D150" s="742"/>
      <c r="E150" s="742"/>
      <c r="F150" s="665" t="s">
        <v>73</v>
      </c>
      <c r="G150" s="665" t="s">
        <v>73</v>
      </c>
      <c r="H150" s="650">
        <f>H18</f>
        <v>5646658</v>
      </c>
      <c r="I150" s="650">
        <f>I18</f>
        <v>0</v>
      </c>
      <c r="J150" s="650">
        <f>J18</f>
        <v>4772540</v>
      </c>
      <c r="K150" s="650">
        <f>K18</f>
        <v>874118</v>
      </c>
    </row>
    <row r="151" spans="1:11" ht="18" customHeight="1" x14ac:dyDescent="0.3">
      <c r="A151" s="742"/>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5">SUM(F141:F150)</f>
        <v>21846</v>
      </c>
      <c r="G152" s="672">
        <f t="shared" si="25"/>
        <v>909</v>
      </c>
      <c r="H152" s="672">
        <f t="shared" si="25"/>
        <v>14134755</v>
      </c>
      <c r="I152" s="672">
        <f t="shared" si="25"/>
        <v>6160537.0939000007</v>
      </c>
      <c r="J152" s="672">
        <f t="shared" si="25"/>
        <v>8741866</v>
      </c>
      <c r="K152" s="672">
        <f t="shared" si="25"/>
        <v>14287633.093899999</v>
      </c>
    </row>
    <row r="153" spans="1:11" ht="18" customHeight="1" x14ac:dyDescent="0.25">
      <c r="A153" s="446"/>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5.9396321795386058E-2</v>
      </c>
      <c r="G154" s="742"/>
      <c r="H154" s="742"/>
      <c r="I154" s="742"/>
      <c r="J154" s="742"/>
      <c r="K154" s="742"/>
    </row>
    <row r="155" spans="1:11" ht="18" customHeight="1" x14ac:dyDescent="0.3">
      <c r="A155" s="639" t="s">
        <v>169</v>
      </c>
      <c r="B155" s="636" t="s">
        <v>72</v>
      </c>
      <c r="C155" s="742"/>
      <c r="D155" s="742"/>
      <c r="E155" s="742"/>
      <c r="F155" s="687">
        <f>K152/F127</f>
        <v>0.49241269647815933</v>
      </c>
      <c r="G155" s="636"/>
      <c r="H155" s="742"/>
      <c r="I155" s="742"/>
      <c r="J155" s="742"/>
      <c r="K155" s="742"/>
    </row>
    <row r="156" spans="1:11" ht="18" customHeight="1" x14ac:dyDescent="0.3">
      <c r="A156" s="474"/>
      <c r="B156" s="474"/>
      <c r="C156" s="474"/>
      <c r="D156" s="474"/>
      <c r="E156" s="474"/>
      <c r="F156" s="474"/>
      <c r="G156" s="475"/>
      <c r="H156" s="474"/>
      <c r="I156" s="474"/>
      <c r="J156" s="474"/>
      <c r="K156" s="474"/>
    </row>
  </sheetData>
  <sheetProtection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G16"/>
  <sheetViews>
    <sheetView showGridLines="0" tabSelected="1" showRuler="0" zoomScaleNormal="100" workbookViewId="0">
      <selection activeCell="F5" sqref="F5"/>
    </sheetView>
  </sheetViews>
  <sheetFormatPr defaultColWidth="9.26953125" defaultRowHeight="14.5" x14ac:dyDescent="0.35"/>
  <cols>
    <col min="1" max="1" width="15.7265625" style="4" bestFit="1" customWidth="1"/>
    <col min="2" max="2" width="12" style="4" bestFit="1" customWidth="1"/>
    <col min="3" max="3" width="12.1796875" style="4" bestFit="1" customWidth="1"/>
    <col min="4" max="4" width="17.81640625" style="4" bestFit="1" customWidth="1"/>
    <col min="5" max="5" width="12.453125" style="4" customWidth="1"/>
    <col min="6" max="6" width="16.1796875" style="4" bestFit="1" customWidth="1"/>
    <col min="7" max="7" width="13" style="4" customWidth="1"/>
    <col min="8" max="16384" width="9.26953125" style="4"/>
  </cols>
  <sheetData>
    <row r="1" spans="1:7" ht="18" customHeight="1" x14ac:dyDescent="0.35">
      <c r="A1" s="7"/>
      <c r="B1" s="1340" t="s">
        <v>881</v>
      </c>
      <c r="C1" s="1340"/>
      <c r="D1" s="1340"/>
      <c r="E1" s="1340"/>
      <c r="F1" s="1340"/>
      <c r="G1" s="799"/>
    </row>
    <row r="2" spans="1:7" ht="75" customHeight="1" x14ac:dyDescent="0.35">
      <c r="A2" s="1294" t="s">
        <v>210</v>
      </c>
      <c r="B2" s="1294" t="s">
        <v>211</v>
      </c>
      <c r="C2" s="1294" t="s">
        <v>212</v>
      </c>
      <c r="D2" s="1294" t="s">
        <v>213</v>
      </c>
      <c r="E2" s="1294" t="s">
        <v>214</v>
      </c>
      <c r="F2" s="1294" t="s">
        <v>215</v>
      </c>
      <c r="G2" s="1294" t="s">
        <v>216</v>
      </c>
    </row>
    <row r="3" spans="1:7" ht="29" x14ac:dyDescent="0.35">
      <c r="A3" s="1296" t="s">
        <v>217</v>
      </c>
      <c r="B3" s="1307">
        <f>'Attachment III-All'!G6</f>
        <v>0</v>
      </c>
      <c r="C3" s="1307">
        <f>'Attachment III-All'!H118</f>
        <v>0</v>
      </c>
      <c r="D3" s="1308">
        <f>'Attachment III-All'!L118</f>
        <v>70698325.482985258</v>
      </c>
      <c r="E3" s="1309">
        <f>D3/D13</f>
        <v>4.5246487817076179E-2</v>
      </c>
      <c r="F3" s="1310">
        <f>D3</f>
        <v>70698325.482985258</v>
      </c>
      <c r="G3" s="1309">
        <f>F3/F13</f>
        <v>7.8908919944530961E-2</v>
      </c>
    </row>
    <row r="4" spans="1:7" ht="29" x14ac:dyDescent="0.35">
      <c r="A4" s="1296" t="s">
        <v>64</v>
      </c>
      <c r="B4" s="1307">
        <f>'Attachment III-All'!G109</f>
        <v>1160675.2005455389</v>
      </c>
      <c r="C4" s="1307">
        <f>'Attachment III-All'!H109</f>
        <v>4285789.18</v>
      </c>
      <c r="D4" s="1308">
        <f>'Attachment III-All'!L109</f>
        <v>117440235.97030222</v>
      </c>
      <c r="E4" s="1309">
        <f>D4/D13</f>
        <v>7.5161019299441204E-2</v>
      </c>
      <c r="F4" s="1310">
        <f>D4</f>
        <v>117440235.97030222</v>
      </c>
      <c r="G4" s="1309">
        <f>F4/F13</f>
        <v>0.13107923158205045</v>
      </c>
    </row>
    <row r="5" spans="1:7" ht="43.5" x14ac:dyDescent="0.35">
      <c r="A5" s="1296" t="s">
        <v>218</v>
      </c>
      <c r="B5" s="1307">
        <f>'Attachment III-All'!G110</f>
        <v>5184061.1427334053</v>
      </c>
      <c r="C5" s="1307">
        <f>'Attachment III-All'!H110</f>
        <v>174419.6671275869</v>
      </c>
      <c r="D5" s="1308">
        <f>'Attachment III-All'!L110</f>
        <v>485272452.69619584</v>
      </c>
      <c r="E5" s="1309">
        <f>D5/D13</f>
        <v>0.31057134619355858</v>
      </c>
      <c r="F5" s="1311">
        <f>D5-'DME_NSPI-all'!E56</f>
        <v>126284803.49835604</v>
      </c>
      <c r="G5" s="1309">
        <f>F5/F13</f>
        <v>0.14095096851849545</v>
      </c>
    </row>
    <row r="6" spans="1:7" ht="36" customHeight="1" x14ac:dyDescent="0.35">
      <c r="A6" s="1296" t="s">
        <v>219</v>
      </c>
      <c r="B6" s="1307">
        <f>'Attachment III-All'!G111</f>
        <v>3460700.0798235075</v>
      </c>
      <c r="C6" s="1307">
        <f>'Attachment III-All'!H111</f>
        <v>1486387.452</v>
      </c>
      <c r="D6" s="1308">
        <f>'Attachment III-All'!L111</f>
        <v>531672124.66053361</v>
      </c>
      <c r="E6" s="1309">
        <f>D6/D13</f>
        <v>0.34026684715356365</v>
      </c>
      <c r="F6" s="1311">
        <f t="shared" ref="F6:F11" si="0">D6</f>
        <v>531672124.66053361</v>
      </c>
      <c r="G6" s="1309">
        <f>F6/F13</f>
        <v>0.59341820099648035</v>
      </c>
    </row>
    <row r="7" spans="1:7" x14ac:dyDescent="0.35">
      <c r="A7" s="1296" t="s">
        <v>67</v>
      </c>
      <c r="B7" s="1307">
        <f>'Attachment III-All'!G112</f>
        <v>131883.37</v>
      </c>
      <c r="C7" s="1307">
        <f>'Attachment III-All'!H112</f>
        <v>5795</v>
      </c>
      <c r="D7" s="1308">
        <f>'Attachment III-All'!L112</f>
        <v>9199239.6532495804</v>
      </c>
      <c r="E7" s="1309">
        <f>D7/D13</f>
        <v>5.8874560614210697E-3</v>
      </c>
      <c r="F7" s="1311">
        <f t="shared" si="0"/>
        <v>9199239.6532495804</v>
      </c>
      <c r="G7" s="1309">
        <f>F7/F13</f>
        <v>1.0267599131800179E-2</v>
      </c>
    </row>
    <row r="8" spans="1:7" ht="29" x14ac:dyDescent="0.35">
      <c r="A8" s="1296" t="s">
        <v>68</v>
      </c>
      <c r="B8" s="1307">
        <f>'Attachment III-All'!G113</f>
        <v>62729.080000000009</v>
      </c>
      <c r="C8" s="1307">
        <f>'Attachment III-All'!H113</f>
        <v>135731</v>
      </c>
      <c r="D8" s="1308">
        <f>'Attachment III-All'!L113</f>
        <v>15552358.505955145</v>
      </c>
      <c r="E8" s="1309">
        <f>D8/D13</f>
        <v>9.9534125434958889E-3</v>
      </c>
      <c r="F8" s="1311">
        <f t="shared" si="0"/>
        <v>15552358.505955145</v>
      </c>
      <c r="G8" s="1309">
        <f>F8/F13</f>
        <v>1.7358541435191568E-2</v>
      </c>
    </row>
    <row r="9" spans="1:7" ht="36" customHeight="1" x14ac:dyDescent="0.35">
      <c r="A9" s="1296" t="s">
        <v>25</v>
      </c>
      <c r="B9" s="1307">
        <f>'Attachment III-All'!G114</f>
        <v>288298.99126384663</v>
      </c>
      <c r="C9" s="1307">
        <f>'Attachment III-All'!H114</f>
        <v>208516.9201997713</v>
      </c>
      <c r="D9" s="1308">
        <f>'Attachment III-All'!L114</f>
        <v>29108750.594407074</v>
      </c>
      <c r="E9" s="1309">
        <f>D9/D13</f>
        <v>1.8629419015831192E-2</v>
      </c>
      <c r="F9" s="1311">
        <f t="shared" si="0"/>
        <v>29108750.594407074</v>
      </c>
      <c r="G9" s="1309">
        <f>F9/F13</f>
        <v>3.2489313638583747E-2</v>
      </c>
    </row>
    <row r="10" spans="1:7" ht="43.5" x14ac:dyDescent="0.35">
      <c r="A10" s="1296" t="s">
        <v>61</v>
      </c>
      <c r="B10" s="1307">
        <f>'Attachment III-All'!G115</f>
        <v>128480.08124999999</v>
      </c>
      <c r="C10" s="1307">
        <f>'Attachment III-All'!H115</f>
        <v>12902</v>
      </c>
      <c r="D10" s="1308">
        <f>'Attachment III-All'!L115</f>
        <v>14310940.949089354</v>
      </c>
      <c r="E10" s="1309">
        <f>D10/D13</f>
        <v>9.1589130418612899E-3</v>
      </c>
      <c r="F10" s="1311">
        <f t="shared" si="0"/>
        <v>14310940.949089354</v>
      </c>
      <c r="G10" s="1309">
        <f>F10/F13</f>
        <v>1.5972951070168946E-2</v>
      </c>
    </row>
    <row r="11" spans="1:7" x14ac:dyDescent="0.35">
      <c r="A11" s="1296" t="s">
        <v>220</v>
      </c>
      <c r="B11" s="1307">
        <f>'Attachment III-All'!G117</f>
        <v>73282</v>
      </c>
      <c r="C11" s="1307">
        <f>'Attachment III-All'!H117</f>
        <v>23868</v>
      </c>
      <c r="D11" s="1308">
        <f>'Attachment III-All'!L117</f>
        <v>1809379.5682643568</v>
      </c>
      <c r="E11" s="1309">
        <f>D11/D13</f>
        <v>1.1579916501932243E-3</v>
      </c>
      <c r="F11" s="1311">
        <f t="shared" si="0"/>
        <v>1809379.5682643568</v>
      </c>
      <c r="G11" s="1309">
        <f>F11/F13</f>
        <v>2.0195130015604628E-3</v>
      </c>
    </row>
    <row r="12" spans="1:7" x14ac:dyDescent="0.35">
      <c r="A12" s="1296" t="s">
        <v>585</v>
      </c>
      <c r="B12" s="1307">
        <f>'Attachment III-All'!G116</f>
        <v>0</v>
      </c>
      <c r="C12" s="1307">
        <f>'Attachment III-All'!H116</f>
        <v>0</v>
      </c>
      <c r="D12" s="1308">
        <f>'Attachment III-All'!L116</f>
        <v>287451403.46000004</v>
      </c>
      <c r="E12" s="1309">
        <f>D12/D13</f>
        <v>0.18396710722355783</v>
      </c>
      <c r="F12" s="1311">
        <f>D12-'Rate Support-Attachment I'!E55</f>
        <v>-20127696.622061789</v>
      </c>
      <c r="G12" s="1309">
        <f>F12/F13</f>
        <v>-2.246523931886223E-2</v>
      </c>
    </row>
    <row r="13" spans="1:7" x14ac:dyDescent="0.35">
      <c r="A13" s="1295" t="s">
        <v>204</v>
      </c>
      <c r="B13" s="1312">
        <f>SUM(B3:B12)</f>
        <v>10490109.945616297</v>
      </c>
      <c r="C13" s="1312">
        <f t="shared" ref="C13:G13" si="1">SUM(C3:C12)</f>
        <v>6333409.2193273576</v>
      </c>
      <c r="D13" s="1313">
        <f t="shared" si="1"/>
        <v>1562515211.5409822</v>
      </c>
      <c r="E13" s="1314">
        <f t="shared" si="1"/>
        <v>1.0000000000000002</v>
      </c>
      <c r="F13" s="1315">
        <f t="shared" si="1"/>
        <v>895948462.26108098</v>
      </c>
      <c r="G13" s="1314">
        <f t="shared" si="1"/>
        <v>1</v>
      </c>
    </row>
    <row r="14" spans="1:7" x14ac:dyDescent="0.35">
      <c r="E14" s="136"/>
    </row>
    <row r="15" spans="1:7" x14ac:dyDescent="0.35">
      <c r="F15" s="823"/>
    </row>
    <row r="16" spans="1:7" x14ac:dyDescent="0.35">
      <c r="F16" s="1277"/>
    </row>
  </sheetData>
  <sheetProtection sheet="1" objects="1" scenarios="1"/>
  <mergeCells count="1">
    <mergeCell ref="B1:F1"/>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156"/>
  <sheetViews>
    <sheetView showGridLines="0" zoomScale="85" zoomScaleNormal="85" zoomScaleSheetLayoutView="50" workbookViewId="0">
      <selection activeCell="A3" sqref="A3"/>
    </sheetView>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61" t="s">
        <v>456</v>
      </c>
      <c r="D5" s="1362"/>
      <c r="E5" s="1362"/>
      <c r="F5" s="1362"/>
      <c r="G5" s="1364"/>
      <c r="H5" s="742"/>
      <c r="I5" s="742"/>
      <c r="J5" s="742"/>
      <c r="K5" s="742"/>
    </row>
    <row r="6" spans="1:11" ht="18" customHeight="1" x14ac:dyDescent="0.3">
      <c r="A6" s="633"/>
      <c r="B6" s="733" t="s">
        <v>3</v>
      </c>
      <c r="C6" s="1365">
        <v>43</v>
      </c>
      <c r="D6" s="1366"/>
      <c r="E6" s="1366"/>
      <c r="F6" s="1366"/>
      <c r="G6" s="1367"/>
      <c r="H6" s="742"/>
      <c r="I6" s="742"/>
      <c r="J6" s="742"/>
      <c r="K6" s="742"/>
    </row>
    <row r="7" spans="1:11" ht="18" customHeight="1" x14ac:dyDescent="0.3">
      <c r="A7" s="633"/>
      <c r="B7" s="733" t="s">
        <v>4</v>
      </c>
      <c r="C7" s="1368">
        <v>2200</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86" t="s">
        <v>815</v>
      </c>
      <c r="D9" s="1387"/>
      <c r="E9" s="1387"/>
      <c r="F9" s="1387"/>
      <c r="G9" s="1388"/>
      <c r="H9" s="742"/>
      <c r="I9" s="742"/>
      <c r="J9" s="742"/>
      <c r="K9" s="742"/>
    </row>
    <row r="10" spans="1:11" ht="18" customHeight="1" x14ac:dyDescent="0.3">
      <c r="A10" s="633"/>
      <c r="B10" s="733" t="s">
        <v>2</v>
      </c>
      <c r="C10" s="1389" t="s">
        <v>816</v>
      </c>
      <c r="D10" s="1390"/>
      <c r="E10" s="1390"/>
      <c r="F10" s="1390"/>
      <c r="G10" s="1391"/>
      <c r="H10" s="742"/>
      <c r="I10" s="742"/>
      <c r="J10" s="742"/>
      <c r="K10" s="742"/>
    </row>
    <row r="11" spans="1:11" ht="18" customHeight="1" x14ac:dyDescent="0.3">
      <c r="A11" s="633"/>
      <c r="B11" s="733" t="s">
        <v>32</v>
      </c>
      <c r="C11" s="1386" t="s">
        <v>817</v>
      </c>
      <c r="D11" s="1387"/>
      <c r="E11" s="1387"/>
      <c r="F11" s="1387"/>
      <c r="G11" s="1387"/>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4"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8856510</v>
      </c>
      <c r="I18" s="673">
        <v>0</v>
      </c>
      <c r="J18" s="647">
        <v>7485499</v>
      </c>
      <c r="K18" s="648">
        <f>(H18+I18)-J18</f>
        <v>1371011</v>
      </c>
    </row>
    <row r="19" spans="1:11" ht="45.4"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479.5</v>
      </c>
      <c r="G21" s="646">
        <v>2611</v>
      </c>
      <c r="H21" s="647">
        <v>173335</v>
      </c>
      <c r="I21" s="673">
        <v>23880</v>
      </c>
      <c r="J21" s="647">
        <v>0</v>
      </c>
      <c r="K21" s="648">
        <f t="shared" ref="K21:K34" si="0">(H21+I21)-J21</f>
        <v>197215</v>
      </c>
    </row>
    <row r="22" spans="1:11" ht="18" customHeight="1" x14ac:dyDescent="0.3">
      <c r="A22" s="639" t="s">
        <v>76</v>
      </c>
      <c r="B22" s="742" t="s">
        <v>6</v>
      </c>
      <c r="C22" s="742"/>
      <c r="D22" s="742"/>
      <c r="E22" s="742"/>
      <c r="F22" s="646">
        <v>178.8</v>
      </c>
      <c r="G22" s="646">
        <v>577</v>
      </c>
      <c r="H22" s="647">
        <v>6482</v>
      </c>
      <c r="I22" s="673">
        <v>4354</v>
      </c>
      <c r="J22" s="647">
        <v>0</v>
      </c>
      <c r="K22" s="648">
        <f t="shared" si="0"/>
        <v>10836</v>
      </c>
    </row>
    <row r="23" spans="1:11" ht="18" customHeight="1" x14ac:dyDescent="0.3">
      <c r="A23" s="639" t="s">
        <v>77</v>
      </c>
      <c r="B23" s="742" t="s">
        <v>43</v>
      </c>
      <c r="C23" s="742"/>
      <c r="D23" s="742"/>
      <c r="E23" s="742"/>
      <c r="F23" s="646">
        <v>24.3</v>
      </c>
      <c r="G23" s="646">
        <v>915</v>
      </c>
      <c r="H23" s="647">
        <v>61468</v>
      </c>
      <c r="I23" s="673">
        <v>41191</v>
      </c>
      <c r="J23" s="647">
        <v>48173</v>
      </c>
      <c r="K23" s="648">
        <f t="shared" si="0"/>
        <v>54486</v>
      </c>
    </row>
    <row r="24" spans="1:11" ht="18" customHeight="1" x14ac:dyDescent="0.3">
      <c r="A24" s="639" t="s">
        <v>78</v>
      </c>
      <c r="B24" s="742" t="s">
        <v>44</v>
      </c>
      <c r="C24" s="742"/>
      <c r="D24" s="742"/>
      <c r="E24" s="742"/>
      <c r="F24" s="646">
        <v>6</v>
      </c>
      <c r="G24" s="646">
        <v>302</v>
      </c>
      <c r="H24" s="647">
        <v>172</v>
      </c>
      <c r="I24" s="673">
        <f t="shared" ref="I24:I34" si="1">H24*F$114</f>
        <v>117.13200000000001</v>
      </c>
      <c r="J24" s="647">
        <v>0</v>
      </c>
      <c r="K24" s="648">
        <f t="shared" si="0"/>
        <v>289.13200000000001</v>
      </c>
    </row>
    <row r="25" spans="1:11" ht="18" customHeight="1" x14ac:dyDescent="0.3">
      <c r="A25" s="639" t="s">
        <v>79</v>
      </c>
      <c r="B25" s="742" t="s">
        <v>5</v>
      </c>
      <c r="C25" s="742"/>
      <c r="D25" s="742"/>
      <c r="E25" s="742"/>
      <c r="F25" s="646">
        <v>95</v>
      </c>
      <c r="G25" s="646">
        <v>117</v>
      </c>
      <c r="H25" s="647">
        <v>125137</v>
      </c>
      <c r="I25" s="673">
        <v>40038</v>
      </c>
      <c r="J25" s="647">
        <v>0</v>
      </c>
      <c r="K25" s="648">
        <f t="shared" si="0"/>
        <v>165175</v>
      </c>
    </row>
    <row r="26" spans="1:11" ht="18" customHeight="1" x14ac:dyDescent="0.3">
      <c r="A26" s="639" t="s">
        <v>80</v>
      </c>
      <c r="B26" s="742" t="s">
        <v>45</v>
      </c>
      <c r="C26" s="742"/>
      <c r="D26" s="742"/>
      <c r="E26" s="742"/>
      <c r="F26" s="646">
        <v>8</v>
      </c>
      <c r="G26" s="646">
        <v>500</v>
      </c>
      <c r="H26" s="647">
        <v>8158</v>
      </c>
      <c r="I26" s="673">
        <f t="shared" si="1"/>
        <v>5555.598</v>
      </c>
      <c r="J26" s="647">
        <v>0</v>
      </c>
      <c r="K26" s="648">
        <f t="shared" si="0"/>
        <v>13713.598</v>
      </c>
    </row>
    <row r="27" spans="1:11" ht="18" customHeight="1" x14ac:dyDescent="0.3">
      <c r="A27" s="639" t="s">
        <v>81</v>
      </c>
      <c r="B27" s="742" t="s">
        <v>46</v>
      </c>
      <c r="C27" s="742"/>
      <c r="D27" s="742"/>
      <c r="E27" s="742"/>
      <c r="F27" s="646"/>
      <c r="G27" s="646">
        <v>1346</v>
      </c>
      <c r="H27" s="647">
        <v>588020</v>
      </c>
      <c r="I27" s="673">
        <f t="shared" si="1"/>
        <v>400441.62000000005</v>
      </c>
      <c r="J27" s="647">
        <v>0</v>
      </c>
      <c r="K27" s="648">
        <f t="shared" si="0"/>
        <v>988461.62000000011</v>
      </c>
    </row>
    <row r="28" spans="1:11" ht="18" customHeight="1" x14ac:dyDescent="0.3">
      <c r="A28" s="639" t="s">
        <v>82</v>
      </c>
      <c r="B28" s="742" t="s">
        <v>47</v>
      </c>
      <c r="C28" s="742"/>
      <c r="D28" s="742"/>
      <c r="E28" s="742"/>
      <c r="F28" s="646"/>
      <c r="G28" s="646"/>
      <c r="H28" s="647">
        <v>0</v>
      </c>
      <c r="I28" s="673">
        <f t="shared" si="1"/>
        <v>0</v>
      </c>
      <c r="J28" s="647"/>
      <c r="K28" s="648">
        <f t="shared" si="0"/>
        <v>0</v>
      </c>
    </row>
    <row r="29" spans="1:11" ht="18" customHeight="1" x14ac:dyDescent="0.3">
      <c r="A29" s="639" t="s">
        <v>83</v>
      </c>
      <c r="B29" s="742" t="s">
        <v>48</v>
      </c>
      <c r="C29" s="742"/>
      <c r="D29" s="742"/>
      <c r="E29" s="742"/>
      <c r="F29" s="646"/>
      <c r="G29" s="646"/>
      <c r="H29" s="647"/>
      <c r="I29" s="673">
        <f t="shared" si="1"/>
        <v>0</v>
      </c>
      <c r="J29" s="647"/>
      <c r="K29" s="648">
        <f t="shared" si="0"/>
        <v>0</v>
      </c>
    </row>
    <row r="30" spans="1:11" ht="18" customHeight="1" x14ac:dyDescent="0.3">
      <c r="A30" s="639" t="s">
        <v>84</v>
      </c>
      <c r="B30" s="1351"/>
      <c r="C30" s="1352"/>
      <c r="D30" s="1353"/>
      <c r="E30" s="742"/>
      <c r="F30" s="646"/>
      <c r="G30" s="646"/>
      <c r="H30" s="647"/>
      <c r="I30" s="673">
        <f t="shared" si="1"/>
        <v>0</v>
      </c>
      <c r="J30" s="647"/>
      <c r="K30" s="648">
        <f t="shared" si="0"/>
        <v>0</v>
      </c>
    </row>
    <row r="31" spans="1:11" ht="18" customHeight="1" x14ac:dyDescent="0.3">
      <c r="A31" s="639" t="s">
        <v>133</v>
      </c>
      <c r="B31" s="1351"/>
      <c r="C31" s="1352"/>
      <c r="D31" s="1353"/>
      <c r="E31" s="742"/>
      <c r="F31" s="646"/>
      <c r="G31" s="646"/>
      <c r="H31" s="647"/>
      <c r="I31" s="673">
        <f t="shared" si="1"/>
        <v>0</v>
      </c>
      <c r="J31" s="647"/>
      <c r="K31" s="648">
        <f t="shared" si="0"/>
        <v>0</v>
      </c>
    </row>
    <row r="32" spans="1:11" ht="18" customHeight="1" x14ac:dyDescent="0.3">
      <c r="A32" s="639" t="s">
        <v>134</v>
      </c>
      <c r="B32" s="909"/>
      <c r="C32" s="910"/>
      <c r="D32" s="911"/>
      <c r="E32" s="742"/>
      <c r="F32" s="646"/>
      <c r="G32" s="675"/>
      <c r="H32" s="647"/>
      <c r="I32" s="673">
        <f t="shared" si="1"/>
        <v>0</v>
      </c>
      <c r="J32" s="647"/>
      <c r="K32" s="648">
        <f t="shared" si="0"/>
        <v>0</v>
      </c>
    </row>
    <row r="33" spans="1:11" ht="18" customHeight="1" x14ac:dyDescent="0.3">
      <c r="A33" s="639" t="s">
        <v>135</v>
      </c>
      <c r="B33" s="909"/>
      <c r="C33" s="910"/>
      <c r="D33" s="911"/>
      <c r="E33" s="742"/>
      <c r="F33" s="646"/>
      <c r="G33" s="675"/>
      <c r="H33" s="647"/>
      <c r="I33" s="673">
        <f t="shared" si="1"/>
        <v>0</v>
      </c>
      <c r="J33" s="647"/>
      <c r="K33" s="648">
        <f t="shared" si="0"/>
        <v>0</v>
      </c>
    </row>
    <row r="34" spans="1:11" ht="18" customHeight="1" x14ac:dyDescent="0.3">
      <c r="A34" s="639" t="s">
        <v>136</v>
      </c>
      <c r="B34" s="1351"/>
      <c r="C34" s="1352"/>
      <c r="D34" s="1353"/>
      <c r="E34" s="742"/>
      <c r="F34" s="646"/>
      <c r="G34" s="675"/>
      <c r="H34" s="647"/>
      <c r="I34" s="673">
        <f t="shared" si="1"/>
        <v>0</v>
      </c>
      <c r="J34" s="647"/>
      <c r="K34" s="648">
        <f t="shared" si="0"/>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791.59999999999991</v>
      </c>
      <c r="G36" s="650">
        <f t="shared" si="2"/>
        <v>6368</v>
      </c>
      <c r="H36" s="650">
        <f t="shared" si="2"/>
        <v>962772</v>
      </c>
      <c r="I36" s="648">
        <f t="shared" si="2"/>
        <v>515577.35000000003</v>
      </c>
      <c r="J36" s="648">
        <f t="shared" si="2"/>
        <v>48173</v>
      </c>
      <c r="K36" s="648">
        <f t="shared" si="2"/>
        <v>1430176.35</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v>579574</v>
      </c>
      <c r="I40" s="673">
        <v>197635</v>
      </c>
      <c r="J40" s="647"/>
      <c r="K40" s="648">
        <f t="shared" ref="K40:K47" si="3">(H40+I40)-J40</f>
        <v>777209</v>
      </c>
    </row>
    <row r="41" spans="1:11" ht="18" customHeight="1" x14ac:dyDescent="0.3">
      <c r="A41" s="639" t="s">
        <v>88</v>
      </c>
      <c r="B41" s="1359" t="s">
        <v>50</v>
      </c>
      <c r="C41" s="1359"/>
      <c r="D41" s="742"/>
      <c r="E41" s="742"/>
      <c r="F41" s="646">
        <v>10199</v>
      </c>
      <c r="G41" s="646">
        <v>134</v>
      </c>
      <c r="H41" s="647">
        <v>853690</v>
      </c>
      <c r="I41" s="673">
        <v>291108</v>
      </c>
      <c r="J41" s="647"/>
      <c r="K41" s="648">
        <f t="shared" si="3"/>
        <v>1144798</v>
      </c>
    </row>
    <row r="42" spans="1:11" ht="18" customHeight="1" x14ac:dyDescent="0.3">
      <c r="A42" s="639" t="s">
        <v>89</v>
      </c>
      <c r="B42" s="635" t="s">
        <v>11</v>
      </c>
      <c r="C42" s="742"/>
      <c r="D42" s="742"/>
      <c r="E42" s="742"/>
      <c r="F42" s="646">
        <v>12334</v>
      </c>
      <c r="G42" s="646">
        <v>44</v>
      </c>
      <c r="H42" s="647">
        <v>596027</v>
      </c>
      <c r="I42" s="673">
        <v>203245</v>
      </c>
      <c r="J42" s="647"/>
      <c r="K42" s="648">
        <f t="shared" si="3"/>
        <v>799272</v>
      </c>
    </row>
    <row r="43" spans="1:11" ht="18" customHeight="1" x14ac:dyDescent="0.3">
      <c r="A43" s="639" t="s">
        <v>90</v>
      </c>
      <c r="B43" s="670" t="s">
        <v>10</v>
      </c>
      <c r="C43" s="642"/>
      <c r="D43" s="642"/>
      <c r="E43" s="742"/>
      <c r="F43" s="646"/>
      <c r="G43" s="646"/>
      <c r="H43" s="647"/>
      <c r="I43" s="673">
        <v>0</v>
      </c>
      <c r="J43" s="647"/>
      <c r="K43" s="648">
        <f t="shared" si="3"/>
        <v>0</v>
      </c>
    </row>
    <row r="44" spans="1:11" ht="18" customHeight="1" x14ac:dyDescent="0.3">
      <c r="A44" s="639" t="s">
        <v>91</v>
      </c>
      <c r="B44" s="1351"/>
      <c r="C44" s="1352"/>
      <c r="D44" s="1353"/>
      <c r="E44" s="742"/>
      <c r="F44" s="677"/>
      <c r="G44" s="677"/>
      <c r="H44" s="67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22533</v>
      </c>
      <c r="G49" s="654">
        <f t="shared" si="4"/>
        <v>178</v>
      </c>
      <c r="H49" s="648">
        <f t="shared" si="4"/>
        <v>2029291</v>
      </c>
      <c r="I49" s="648">
        <f t="shared" si="4"/>
        <v>691988</v>
      </c>
      <c r="J49" s="648">
        <f t="shared" si="4"/>
        <v>0</v>
      </c>
      <c r="K49" s="648">
        <f t="shared" si="4"/>
        <v>2721279</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455" t="s">
        <v>818</v>
      </c>
      <c r="C53" s="1456"/>
      <c r="D53" s="1457"/>
      <c r="E53" s="742"/>
      <c r="F53" s="646"/>
      <c r="G53" s="646"/>
      <c r="H53" s="647">
        <v>1429956</v>
      </c>
      <c r="I53" s="673">
        <v>0</v>
      </c>
      <c r="J53" s="647"/>
      <c r="K53" s="648">
        <f t="shared" ref="K53:K62" si="5">(H53+I53)-J53</f>
        <v>1429956</v>
      </c>
    </row>
    <row r="54" spans="1:11" ht="18" customHeight="1" x14ac:dyDescent="0.3">
      <c r="A54" s="639" t="s">
        <v>93</v>
      </c>
      <c r="B54" s="928" t="s">
        <v>642</v>
      </c>
      <c r="C54" s="913"/>
      <c r="D54" s="914"/>
      <c r="E54" s="742"/>
      <c r="F54" s="646"/>
      <c r="G54" s="646"/>
      <c r="H54" s="479">
        <v>1615175</v>
      </c>
      <c r="I54" s="673">
        <v>0</v>
      </c>
      <c r="J54" s="647"/>
      <c r="K54" s="648">
        <f t="shared" si="5"/>
        <v>1615175</v>
      </c>
    </row>
    <row r="55" spans="1:11" ht="18" customHeight="1" x14ac:dyDescent="0.3">
      <c r="A55" s="639" t="s">
        <v>94</v>
      </c>
      <c r="B55" s="1455" t="s">
        <v>643</v>
      </c>
      <c r="C55" s="1456"/>
      <c r="D55" s="1457"/>
      <c r="E55" s="742"/>
      <c r="F55" s="646"/>
      <c r="G55" s="646"/>
      <c r="H55" s="647">
        <v>5124545</v>
      </c>
      <c r="I55" s="673">
        <v>0</v>
      </c>
      <c r="J55" s="647"/>
      <c r="K55" s="648">
        <f t="shared" si="5"/>
        <v>5124545</v>
      </c>
    </row>
    <row r="56" spans="1:11" ht="18" customHeight="1" x14ac:dyDescent="0.3">
      <c r="A56" s="639" t="s">
        <v>95</v>
      </c>
      <c r="B56" s="1455" t="s">
        <v>644</v>
      </c>
      <c r="C56" s="1456"/>
      <c r="D56" s="1457"/>
      <c r="E56" s="742"/>
      <c r="F56" s="646"/>
      <c r="G56" s="646"/>
      <c r="H56" s="647">
        <v>4764764</v>
      </c>
      <c r="I56" s="673">
        <v>0</v>
      </c>
      <c r="J56" s="647"/>
      <c r="K56" s="648">
        <f t="shared" si="5"/>
        <v>4764764</v>
      </c>
    </row>
    <row r="57" spans="1:11" ht="18" customHeight="1" x14ac:dyDescent="0.3">
      <c r="A57" s="639" t="s">
        <v>96</v>
      </c>
      <c r="B57" s="1455" t="s">
        <v>641</v>
      </c>
      <c r="C57" s="1456"/>
      <c r="D57" s="1457"/>
      <c r="E57" s="742"/>
      <c r="F57" s="646"/>
      <c r="G57" s="646"/>
      <c r="H57" s="647">
        <v>100675</v>
      </c>
      <c r="I57" s="673">
        <v>68560</v>
      </c>
      <c r="J57" s="647"/>
      <c r="K57" s="648">
        <f t="shared" si="5"/>
        <v>169235</v>
      </c>
    </row>
    <row r="58" spans="1:11" ht="18" customHeight="1" x14ac:dyDescent="0.3">
      <c r="A58" s="639" t="s">
        <v>97</v>
      </c>
      <c r="B58" s="912"/>
      <c r="C58" s="913"/>
      <c r="D58" s="914"/>
      <c r="E58" s="742"/>
      <c r="F58" s="646"/>
      <c r="G58" s="646"/>
      <c r="H58" s="647"/>
      <c r="I58" s="673">
        <v>0</v>
      </c>
      <c r="J58" s="647"/>
      <c r="K58" s="648">
        <f t="shared" si="5"/>
        <v>0</v>
      </c>
    </row>
    <row r="59" spans="1:11" ht="18" customHeight="1" x14ac:dyDescent="0.3">
      <c r="A59" s="639" t="s">
        <v>98</v>
      </c>
      <c r="B59" s="1354"/>
      <c r="C59" s="1355"/>
      <c r="D59" s="1356"/>
      <c r="E59" s="742"/>
      <c r="F59" s="646"/>
      <c r="G59" s="646"/>
      <c r="H59" s="647"/>
      <c r="I59" s="673">
        <v>0</v>
      </c>
      <c r="J59" s="647"/>
      <c r="K59" s="648">
        <f t="shared" si="5"/>
        <v>0</v>
      </c>
    </row>
    <row r="60" spans="1:11" ht="18" customHeight="1" x14ac:dyDescent="0.3">
      <c r="A60" s="639" t="s">
        <v>99</v>
      </c>
      <c r="B60" s="912"/>
      <c r="C60" s="913"/>
      <c r="D60" s="914"/>
      <c r="E60" s="742"/>
      <c r="F60" s="646"/>
      <c r="G60" s="646"/>
      <c r="H60" s="647"/>
      <c r="I60" s="673">
        <v>0</v>
      </c>
      <c r="J60" s="647"/>
      <c r="K60" s="648">
        <f t="shared" si="5"/>
        <v>0</v>
      </c>
    </row>
    <row r="61" spans="1:11" ht="18" customHeight="1" x14ac:dyDescent="0.3">
      <c r="A61" s="639" t="s">
        <v>100</v>
      </c>
      <c r="B61" s="912"/>
      <c r="C61" s="913"/>
      <c r="D61" s="914"/>
      <c r="E61" s="742"/>
      <c r="F61" s="646"/>
      <c r="G61" s="646"/>
      <c r="H61" s="647"/>
      <c r="I61" s="673">
        <v>0</v>
      </c>
      <c r="J61" s="647"/>
      <c r="K61" s="648">
        <f t="shared" si="5"/>
        <v>0</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0</v>
      </c>
      <c r="G64" s="650">
        <f t="shared" si="6"/>
        <v>0</v>
      </c>
      <c r="H64" s="648">
        <f t="shared" si="6"/>
        <v>13035115</v>
      </c>
      <c r="I64" s="648">
        <f t="shared" si="6"/>
        <v>68560</v>
      </c>
      <c r="J64" s="648">
        <f t="shared" si="6"/>
        <v>0</v>
      </c>
      <c r="K64" s="648">
        <f t="shared" si="6"/>
        <v>13103675</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v>5600</v>
      </c>
      <c r="G68" s="674"/>
      <c r="H68" s="478">
        <v>180261</v>
      </c>
      <c r="I68" s="673">
        <v>122758</v>
      </c>
      <c r="J68" s="674"/>
      <c r="K68" s="648">
        <f>(H68+I68)-J68</f>
        <v>303019</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912"/>
      <c r="C70" s="913"/>
      <c r="D70" s="914"/>
      <c r="E70" s="636"/>
      <c r="F70" s="658"/>
      <c r="G70" s="658"/>
      <c r="H70" s="659"/>
      <c r="I70" s="673">
        <v>0</v>
      </c>
      <c r="J70" s="659"/>
      <c r="K70" s="648">
        <f>(H70+I70)-J70</f>
        <v>0</v>
      </c>
    </row>
    <row r="71" spans="1:11" ht="18" customHeight="1" x14ac:dyDescent="0.3">
      <c r="A71" s="639" t="s">
        <v>179</v>
      </c>
      <c r="B71" s="912"/>
      <c r="C71" s="913"/>
      <c r="D71" s="914"/>
      <c r="E71" s="636"/>
      <c r="F71" s="658"/>
      <c r="G71" s="658"/>
      <c r="H71" s="659"/>
      <c r="I71" s="673">
        <v>0</v>
      </c>
      <c r="J71" s="659"/>
      <c r="K71" s="648">
        <f>(H71+I71)-J71</f>
        <v>0</v>
      </c>
    </row>
    <row r="72" spans="1:11" ht="18" customHeight="1" x14ac:dyDescent="0.3">
      <c r="A72" s="639" t="s">
        <v>180</v>
      </c>
      <c r="B72" s="930"/>
      <c r="C72" s="929"/>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5600</v>
      </c>
      <c r="G74" s="653">
        <f t="shared" si="7"/>
        <v>0</v>
      </c>
      <c r="H74" s="653">
        <f t="shared" si="7"/>
        <v>180261</v>
      </c>
      <c r="I74" s="676">
        <f t="shared" si="7"/>
        <v>122758</v>
      </c>
      <c r="J74" s="653">
        <f t="shared" si="7"/>
        <v>0</v>
      </c>
      <c r="K74" s="649">
        <f t="shared" si="7"/>
        <v>303019</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v>40</v>
      </c>
      <c r="H77" s="647">
        <v>56368</v>
      </c>
      <c r="I77" s="673">
        <v>0</v>
      </c>
      <c r="J77" s="647"/>
      <c r="K77" s="648">
        <f>(H77+I77)-J77</f>
        <v>56368</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v>108</v>
      </c>
      <c r="G79" s="646">
        <v>225</v>
      </c>
      <c r="H79" s="647">
        <v>30865</v>
      </c>
      <c r="I79" s="673">
        <v>7734</v>
      </c>
      <c r="J79" s="647"/>
      <c r="K79" s="648">
        <f>(H79+I79)-J79</f>
        <v>38599</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108</v>
      </c>
      <c r="G82" s="653">
        <f t="shared" si="8"/>
        <v>265</v>
      </c>
      <c r="H82" s="649">
        <f t="shared" si="8"/>
        <v>87233</v>
      </c>
      <c r="I82" s="649">
        <f t="shared" si="8"/>
        <v>7734</v>
      </c>
      <c r="J82" s="649">
        <f t="shared" si="8"/>
        <v>0</v>
      </c>
      <c r="K82" s="649">
        <f t="shared" si="8"/>
        <v>94967</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639" t="s">
        <v>114</v>
      </c>
      <c r="B87" s="635" t="s">
        <v>14</v>
      </c>
      <c r="C87" s="742"/>
      <c r="D87" s="742"/>
      <c r="E87" s="742"/>
      <c r="F87" s="646"/>
      <c r="G87" s="646"/>
      <c r="H87" s="647">
        <v>150</v>
      </c>
      <c r="I87" s="673">
        <f t="shared" si="9"/>
        <v>102.15</v>
      </c>
      <c r="J87" s="647"/>
      <c r="K87" s="648">
        <f t="shared" si="10"/>
        <v>252.15</v>
      </c>
    </row>
    <row r="88" spans="1:11" ht="18" customHeight="1" x14ac:dyDescent="0.3">
      <c r="A88" s="639" t="s">
        <v>115</v>
      </c>
      <c r="B88" s="635" t="s">
        <v>116</v>
      </c>
      <c r="C88" s="742"/>
      <c r="D88" s="742"/>
      <c r="E88" s="742"/>
      <c r="F88" s="646">
        <v>8</v>
      </c>
      <c r="G88" s="646">
        <v>3</v>
      </c>
      <c r="H88" s="647">
        <v>217</v>
      </c>
      <c r="I88" s="673">
        <v>148</v>
      </c>
      <c r="J88" s="647"/>
      <c r="K88" s="648">
        <f t="shared" si="10"/>
        <v>365</v>
      </c>
    </row>
    <row r="89" spans="1:11" ht="18" customHeight="1" x14ac:dyDescent="0.3">
      <c r="A89" s="639" t="s">
        <v>117</v>
      </c>
      <c r="B89" s="635" t="s">
        <v>58</v>
      </c>
      <c r="C89" s="742"/>
      <c r="D89" s="742"/>
      <c r="E89" s="742"/>
      <c r="F89" s="646"/>
      <c r="G89" s="646"/>
      <c r="H89" s="647"/>
      <c r="I89" s="673">
        <f t="shared" si="9"/>
        <v>0</v>
      </c>
      <c r="J89" s="647"/>
      <c r="K89" s="648">
        <f t="shared" si="10"/>
        <v>0</v>
      </c>
    </row>
    <row r="90" spans="1:11" ht="18" customHeight="1" x14ac:dyDescent="0.3">
      <c r="A90" s="639" t="s">
        <v>118</v>
      </c>
      <c r="B90" s="1359" t="s">
        <v>59</v>
      </c>
      <c r="C90" s="1359"/>
      <c r="D90" s="742"/>
      <c r="E90" s="742"/>
      <c r="F90" s="646"/>
      <c r="G90" s="646"/>
      <c r="H90" s="647"/>
      <c r="I90" s="673">
        <f t="shared" si="9"/>
        <v>0</v>
      </c>
      <c r="J90" s="647"/>
      <c r="K90" s="648">
        <f t="shared" si="10"/>
        <v>0</v>
      </c>
    </row>
    <row r="91" spans="1:11" ht="18" customHeight="1" x14ac:dyDescent="0.3">
      <c r="A91" s="639" t="s">
        <v>119</v>
      </c>
      <c r="B91" s="635" t="s">
        <v>60</v>
      </c>
      <c r="C91" s="742"/>
      <c r="D91" s="742"/>
      <c r="E91" s="742"/>
      <c r="F91" s="646">
        <v>101</v>
      </c>
      <c r="G91" s="646">
        <v>100</v>
      </c>
      <c r="H91" s="647">
        <v>9354</v>
      </c>
      <c r="I91" s="673">
        <f t="shared" si="9"/>
        <v>6370.0740000000005</v>
      </c>
      <c r="J91" s="647"/>
      <c r="K91" s="648">
        <f t="shared" si="10"/>
        <v>15724.074000000001</v>
      </c>
    </row>
    <row r="92" spans="1:11" ht="18" customHeight="1" x14ac:dyDescent="0.3">
      <c r="A92" s="639" t="s">
        <v>120</v>
      </c>
      <c r="B92" s="635" t="s">
        <v>121</v>
      </c>
      <c r="C92" s="742"/>
      <c r="D92" s="742"/>
      <c r="E92" s="742"/>
      <c r="F92" s="661"/>
      <c r="G92" s="661"/>
      <c r="H92" s="662"/>
      <c r="I92" s="673">
        <f t="shared" si="9"/>
        <v>0</v>
      </c>
      <c r="J92" s="662"/>
      <c r="K92" s="648">
        <f t="shared" si="10"/>
        <v>0</v>
      </c>
    </row>
    <row r="93" spans="1:11" ht="18" customHeight="1" x14ac:dyDescent="0.3">
      <c r="A93" s="639" t="s">
        <v>122</v>
      </c>
      <c r="B93" s="635" t="s">
        <v>123</v>
      </c>
      <c r="C93" s="742"/>
      <c r="D93" s="742"/>
      <c r="E93" s="742"/>
      <c r="F93" s="646"/>
      <c r="G93" s="646"/>
      <c r="H93" s="647"/>
      <c r="I93" s="673">
        <f t="shared" si="9"/>
        <v>0</v>
      </c>
      <c r="J93" s="647"/>
      <c r="K93" s="648">
        <f t="shared" si="10"/>
        <v>0</v>
      </c>
    </row>
    <row r="94" spans="1:11" ht="18" customHeight="1" x14ac:dyDescent="0.3">
      <c r="A94" s="639" t="s">
        <v>124</v>
      </c>
      <c r="B94" s="1354"/>
      <c r="C94" s="1355"/>
      <c r="D94" s="1356"/>
      <c r="E94" s="742"/>
      <c r="F94" s="646"/>
      <c r="G94" s="646"/>
      <c r="H94" s="647"/>
      <c r="I94" s="673">
        <f t="shared" si="9"/>
        <v>0</v>
      </c>
      <c r="J94" s="647"/>
      <c r="K94" s="648">
        <f t="shared" si="10"/>
        <v>0</v>
      </c>
    </row>
    <row r="95" spans="1:11" ht="18" customHeight="1" x14ac:dyDescent="0.3">
      <c r="A95" s="639" t="s">
        <v>125</v>
      </c>
      <c r="B95" s="1354"/>
      <c r="C95" s="1355"/>
      <c r="D95" s="1356"/>
      <c r="E95" s="742"/>
      <c r="F95" s="646"/>
      <c r="G95" s="646"/>
      <c r="H95" s="647"/>
      <c r="I95" s="673">
        <f t="shared" si="9"/>
        <v>0</v>
      </c>
      <c r="J95" s="647"/>
      <c r="K95" s="648">
        <f t="shared" si="10"/>
        <v>0</v>
      </c>
    </row>
    <row r="96" spans="1:11" ht="18" customHeight="1" x14ac:dyDescent="0.3">
      <c r="A96" s="639" t="s">
        <v>126</v>
      </c>
      <c r="B96" s="1354"/>
      <c r="C96" s="1355"/>
      <c r="D96" s="1356"/>
      <c r="E96" s="742"/>
      <c r="F96" s="646"/>
      <c r="G96" s="646"/>
      <c r="H96" s="647"/>
      <c r="I96" s="673">
        <f t="shared" si="9"/>
        <v>0</v>
      </c>
      <c r="J96" s="647"/>
      <c r="K96" s="648">
        <f t="shared" si="10"/>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109</v>
      </c>
      <c r="G98" s="650">
        <f t="shared" si="11"/>
        <v>103</v>
      </c>
      <c r="H98" s="650">
        <f t="shared" si="11"/>
        <v>9721</v>
      </c>
      <c r="I98" s="650">
        <f t="shared" si="11"/>
        <v>6620.2240000000002</v>
      </c>
      <c r="J98" s="650">
        <f t="shared" si="11"/>
        <v>0</v>
      </c>
      <c r="K98" s="650">
        <f t="shared" si="11"/>
        <v>16341.224</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3978</v>
      </c>
      <c r="G102" s="646"/>
      <c r="H102" s="647">
        <v>190342</v>
      </c>
      <c r="I102" s="673">
        <f>H102*F$114</f>
        <v>129622.90200000002</v>
      </c>
      <c r="J102" s="647"/>
      <c r="K102" s="648">
        <f>(H102+I102)-J102</f>
        <v>319964.902</v>
      </c>
    </row>
    <row r="103" spans="1:11" ht="18" customHeight="1" x14ac:dyDescent="0.3">
      <c r="A103" s="639" t="s">
        <v>132</v>
      </c>
      <c r="B103" s="1357" t="s">
        <v>62</v>
      </c>
      <c r="C103" s="1357"/>
      <c r="D103" s="742"/>
      <c r="E103" s="742"/>
      <c r="F103" s="646"/>
      <c r="G103" s="646"/>
      <c r="H103" s="647"/>
      <c r="I103" s="673">
        <f>H103*F$114</f>
        <v>0</v>
      </c>
      <c r="J103" s="647"/>
      <c r="K103" s="648">
        <f>(H103+I103)-J103</f>
        <v>0</v>
      </c>
    </row>
    <row r="104" spans="1:11" ht="18" customHeight="1" x14ac:dyDescent="0.3">
      <c r="A104" s="639" t="s">
        <v>128</v>
      </c>
      <c r="B104" s="1455" t="s">
        <v>279</v>
      </c>
      <c r="C104" s="1456"/>
      <c r="D104" s="1457"/>
      <c r="E104" s="742"/>
      <c r="F104" s="646"/>
      <c r="G104" s="646"/>
      <c r="H104" s="647">
        <v>1041</v>
      </c>
      <c r="I104" s="673">
        <f>H104*F$114</f>
        <v>708.92100000000005</v>
      </c>
      <c r="J104" s="647"/>
      <c r="K104" s="648">
        <f>(H104+I104)-J104</f>
        <v>1749.921</v>
      </c>
    </row>
    <row r="105" spans="1:11" ht="18" customHeight="1" x14ac:dyDescent="0.3">
      <c r="A105" s="639" t="s">
        <v>127</v>
      </c>
      <c r="B105" s="1455"/>
      <c r="C105" s="1456"/>
      <c r="D105" s="1457"/>
      <c r="E105" s="742"/>
      <c r="F105" s="646"/>
      <c r="G105" s="646"/>
      <c r="H105" s="647"/>
      <c r="I105" s="673">
        <f>H105*F$114</f>
        <v>0</v>
      </c>
      <c r="J105" s="647"/>
      <c r="K105" s="648">
        <f>(H105+I105)-J105</f>
        <v>0</v>
      </c>
    </row>
    <row r="106" spans="1:11" ht="18" customHeight="1" x14ac:dyDescent="0.3">
      <c r="A106" s="639" t="s">
        <v>129</v>
      </c>
      <c r="B106" s="1455"/>
      <c r="C106" s="1456"/>
      <c r="D106" s="1457"/>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3978</v>
      </c>
      <c r="G108" s="650">
        <f t="shared" si="12"/>
        <v>0</v>
      </c>
      <c r="H108" s="648">
        <f t="shared" si="12"/>
        <v>191383</v>
      </c>
      <c r="I108" s="648">
        <f t="shared" si="12"/>
        <v>130331.82300000002</v>
      </c>
      <c r="J108" s="648">
        <f t="shared" si="12"/>
        <v>0</v>
      </c>
      <c r="K108" s="648">
        <f t="shared" si="12"/>
        <v>321714.82299999997</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6703000</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480">
        <v>0.68100000000000005</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363186000</v>
      </c>
      <c r="G117" s="740"/>
      <c r="H117" s="740"/>
      <c r="I117" s="740"/>
      <c r="J117" s="740"/>
      <c r="K117" s="740"/>
    </row>
    <row r="118" spans="1:11" ht="18" customHeight="1" x14ac:dyDescent="0.3">
      <c r="A118" s="639" t="s">
        <v>173</v>
      </c>
      <c r="B118" s="742" t="s">
        <v>18</v>
      </c>
      <c r="C118" s="742"/>
      <c r="D118" s="742"/>
      <c r="E118" s="742"/>
      <c r="F118" s="647">
        <v>3681000</v>
      </c>
      <c r="G118" s="740"/>
      <c r="H118" s="740"/>
      <c r="I118" s="740"/>
      <c r="J118" s="740"/>
      <c r="K118" s="740"/>
    </row>
    <row r="119" spans="1:11" ht="18" customHeight="1" x14ac:dyDescent="0.3">
      <c r="A119" s="639" t="s">
        <v>174</v>
      </c>
      <c r="B119" s="636" t="s">
        <v>19</v>
      </c>
      <c r="C119" s="742"/>
      <c r="D119" s="742"/>
      <c r="E119" s="742"/>
      <c r="F119" s="649">
        <f>SUM(F117:F118)</f>
        <v>366867000</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334210000</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v>32657000</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11671000</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v>44328000</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v>2750</v>
      </c>
      <c r="I132" s="673">
        <v>0</v>
      </c>
      <c r="J132" s="647"/>
      <c r="K132" s="648">
        <f>(H132+I132)-J132</f>
        <v>2750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2750</v>
      </c>
      <c r="I137" s="648">
        <f t="shared" si="13"/>
        <v>0</v>
      </c>
      <c r="J137" s="648">
        <f t="shared" si="13"/>
        <v>0</v>
      </c>
      <c r="K137" s="648">
        <f t="shared" si="13"/>
        <v>2750</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791.59999999999991</v>
      </c>
      <c r="G141" s="664">
        <f t="shared" si="14"/>
        <v>6368</v>
      </c>
      <c r="H141" s="664">
        <f t="shared" si="14"/>
        <v>962772</v>
      </c>
      <c r="I141" s="664">
        <f t="shared" si="14"/>
        <v>515577.35000000003</v>
      </c>
      <c r="J141" s="664">
        <f t="shared" si="14"/>
        <v>48173</v>
      </c>
      <c r="K141" s="664">
        <f t="shared" si="14"/>
        <v>1430176.35</v>
      </c>
    </row>
    <row r="142" spans="1:11" ht="18" customHeight="1" x14ac:dyDescent="0.3">
      <c r="A142" s="639" t="s">
        <v>142</v>
      </c>
      <c r="B142" s="636" t="s">
        <v>65</v>
      </c>
      <c r="C142" s="742"/>
      <c r="D142" s="742"/>
      <c r="E142" s="742"/>
      <c r="F142" s="664">
        <f t="shared" ref="F142:K142" si="15">F49</f>
        <v>22533</v>
      </c>
      <c r="G142" s="664">
        <f t="shared" si="15"/>
        <v>178</v>
      </c>
      <c r="H142" s="664">
        <f t="shared" si="15"/>
        <v>2029291</v>
      </c>
      <c r="I142" s="664">
        <f t="shared" si="15"/>
        <v>691988</v>
      </c>
      <c r="J142" s="664">
        <f t="shared" si="15"/>
        <v>0</v>
      </c>
      <c r="K142" s="664">
        <f t="shared" si="15"/>
        <v>2721279</v>
      </c>
    </row>
    <row r="143" spans="1:11" ht="18" customHeight="1" x14ac:dyDescent="0.3">
      <c r="A143" s="639" t="s">
        <v>144</v>
      </c>
      <c r="B143" s="636" t="s">
        <v>66</v>
      </c>
      <c r="C143" s="742"/>
      <c r="D143" s="742"/>
      <c r="E143" s="742"/>
      <c r="F143" s="664">
        <f t="shared" ref="F143:K143" si="16">F64</f>
        <v>0</v>
      </c>
      <c r="G143" s="664">
        <f t="shared" si="16"/>
        <v>0</v>
      </c>
      <c r="H143" s="664">
        <f t="shared" si="16"/>
        <v>13035115</v>
      </c>
      <c r="I143" s="664">
        <f t="shared" si="16"/>
        <v>68560</v>
      </c>
      <c r="J143" s="664">
        <f t="shared" si="16"/>
        <v>0</v>
      </c>
      <c r="K143" s="664">
        <f t="shared" si="16"/>
        <v>13103675</v>
      </c>
    </row>
    <row r="144" spans="1:11" ht="18" customHeight="1" x14ac:dyDescent="0.3">
      <c r="A144" s="639" t="s">
        <v>146</v>
      </c>
      <c r="B144" s="636" t="s">
        <v>67</v>
      </c>
      <c r="C144" s="742"/>
      <c r="D144" s="742"/>
      <c r="E144" s="742"/>
      <c r="F144" s="664">
        <f t="shared" ref="F144:K144" si="17">F74</f>
        <v>5600</v>
      </c>
      <c r="G144" s="664">
        <f t="shared" si="17"/>
        <v>0</v>
      </c>
      <c r="H144" s="664">
        <f t="shared" si="17"/>
        <v>180261</v>
      </c>
      <c r="I144" s="664">
        <f t="shared" si="17"/>
        <v>122758</v>
      </c>
      <c r="J144" s="664">
        <f t="shared" si="17"/>
        <v>0</v>
      </c>
      <c r="K144" s="664">
        <f t="shared" si="17"/>
        <v>303019</v>
      </c>
    </row>
    <row r="145" spans="1:11" ht="18" customHeight="1" x14ac:dyDescent="0.3">
      <c r="A145" s="639" t="s">
        <v>148</v>
      </c>
      <c r="B145" s="636" t="s">
        <v>68</v>
      </c>
      <c r="C145" s="742"/>
      <c r="D145" s="742"/>
      <c r="E145" s="742"/>
      <c r="F145" s="664">
        <f t="shared" ref="F145:K145" si="18">F82</f>
        <v>108</v>
      </c>
      <c r="G145" s="664">
        <f t="shared" si="18"/>
        <v>265</v>
      </c>
      <c r="H145" s="664">
        <f t="shared" si="18"/>
        <v>87233</v>
      </c>
      <c r="I145" s="664">
        <f t="shared" si="18"/>
        <v>7734</v>
      </c>
      <c r="J145" s="664">
        <f t="shared" si="18"/>
        <v>0</v>
      </c>
      <c r="K145" s="664">
        <f t="shared" si="18"/>
        <v>94967</v>
      </c>
    </row>
    <row r="146" spans="1:11" ht="18" customHeight="1" x14ac:dyDescent="0.3">
      <c r="A146" s="639" t="s">
        <v>150</v>
      </c>
      <c r="B146" s="636" t="s">
        <v>69</v>
      </c>
      <c r="C146" s="742"/>
      <c r="D146" s="742"/>
      <c r="E146" s="742"/>
      <c r="F146" s="664">
        <f t="shared" ref="F146:K146" si="19">F98</f>
        <v>109</v>
      </c>
      <c r="G146" s="664">
        <f t="shared" si="19"/>
        <v>103</v>
      </c>
      <c r="H146" s="664">
        <f t="shared" si="19"/>
        <v>9721</v>
      </c>
      <c r="I146" s="664">
        <f t="shared" si="19"/>
        <v>6620.2240000000002</v>
      </c>
      <c r="J146" s="664">
        <f t="shared" si="19"/>
        <v>0</v>
      </c>
      <c r="K146" s="664">
        <f t="shared" si="19"/>
        <v>16341.224</v>
      </c>
    </row>
    <row r="147" spans="1:11" ht="18" customHeight="1" x14ac:dyDescent="0.3">
      <c r="A147" s="639" t="s">
        <v>153</v>
      </c>
      <c r="B147" s="636" t="s">
        <v>61</v>
      </c>
      <c r="C147" s="742"/>
      <c r="D147" s="742"/>
      <c r="E147" s="742"/>
      <c r="F147" s="650">
        <f t="shared" ref="F147:K147" si="20">F108</f>
        <v>3978</v>
      </c>
      <c r="G147" s="650">
        <f t="shared" si="20"/>
        <v>0</v>
      </c>
      <c r="H147" s="650">
        <f t="shared" si="20"/>
        <v>191383</v>
      </c>
      <c r="I147" s="650">
        <f t="shared" si="20"/>
        <v>130331.82300000002</v>
      </c>
      <c r="J147" s="650">
        <f t="shared" si="20"/>
        <v>0</v>
      </c>
      <c r="K147" s="650">
        <f t="shared" si="20"/>
        <v>321714.82299999997</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6703000</v>
      </c>
    </row>
    <row r="149" spans="1:11" ht="18" customHeight="1" x14ac:dyDescent="0.3">
      <c r="A149" s="639" t="s">
        <v>163</v>
      </c>
      <c r="B149" s="636" t="s">
        <v>71</v>
      </c>
      <c r="C149" s="742"/>
      <c r="D149" s="742"/>
      <c r="E149" s="742"/>
      <c r="F149" s="650">
        <f t="shared" ref="F149:K149" si="21">F137</f>
        <v>0</v>
      </c>
      <c r="G149" s="650">
        <f t="shared" si="21"/>
        <v>0</v>
      </c>
      <c r="H149" s="650">
        <f t="shared" si="21"/>
        <v>2750</v>
      </c>
      <c r="I149" s="650">
        <f t="shared" si="21"/>
        <v>0</v>
      </c>
      <c r="J149" s="650">
        <f t="shared" si="21"/>
        <v>0</v>
      </c>
      <c r="K149" s="650">
        <f t="shared" si="21"/>
        <v>2750</v>
      </c>
    </row>
    <row r="150" spans="1:11" ht="18" customHeight="1" x14ac:dyDescent="0.3">
      <c r="A150" s="639" t="s">
        <v>185</v>
      </c>
      <c r="B150" s="636" t="s">
        <v>186</v>
      </c>
      <c r="C150" s="742"/>
      <c r="D150" s="742"/>
      <c r="E150" s="742"/>
      <c r="F150" s="665" t="s">
        <v>73</v>
      </c>
      <c r="G150" s="665" t="s">
        <v>73</v>
      </c>
      <c r="H150" s="650">
        <f>H18</f>
        <v>8856510</v>
      </c>
      <c r="I150" s="650">
        <f>I18</f>
        <v>0</v>
      </c>
      <c r="J150" s="650">
        <f>J18</f>
        <v>7485499</v>
      </c>
      <c r="K150" s="650">
        <f>K18</f>
        <v>1371011</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33119.599999999999</v>
      </c>
      <c r="G152" s="672">
        <f t="shared" si="22"/>
        <v>6914</v>
      </c>
      <c r="H152" s="672">
        <f t="shared" si="22"/>
        <v>25355036</v>
      </c>
      <c r="I152" s="672">
        <f t="shared" si="22"/>
        <v>1543569.3970000001</v>
      </c>
      <c r="J152" s="672">
        <f t="shared" si="22"/>
        <v>7533672</v>
      </c>
      <c r="K152" s="672">
        <f t="shared" si="22"/>
        <v>26067933.397</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7.7998663705454649E-2</v>
      </c>
      <c r="G154" s="742"/>
      <c r="H154" s="742"/>
      <c r="I154" s="742"/>
      <c r="J154" s="742"/>
      <c r="K154" s="742"/>
    </row>
    <row r="155" spans="1:11" ht="18" customHeight="1" x14ac:dyDescent="0.3">
      <c r="A155" s="639" t="s">
        <v>169</v>
      </c>
      <c r="B155" s="636" t="s">
        <v>72</v>
      </c>
      <c r="C155" s="742"/>
      <c r="D155" s="742"/>
      <c r="E155" s="742"/>
      <c r="F155" s="687">
        <f>K152/F127</f>
        <v>0.58806924284876372</v>
      </c>
      <c r="G155" s="636"/>
      <c r="H155" s="742"/>
      <c r="I155" s="742"/>
      <c r="J155" s="742"/>
      <c r="K155" s="742"/>
    </row>
    <row r="156" spans="1:11" ht="18" customHeight="1" x14ac:dyDescent="0.3">
      <c r="A156" s="633"/>
      <c r="B156" s="476"/>
      <c r="C156" s="476"/>
      <c r="D156" s="476"/>
      <c r="E156" s="476"/>
      <c r="F156" s="476"/>
      <c r="G156" s="477"/>
      <c r="H156" s="476"/>
      <c r="I156" s="476"/>
      <c r="J156" s="476"/>
      <c r="K156" s="476"/>
    </row>
  </sheetData>
  <sheetProtection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156"/>
  <sheetViews>
    <sheetView showGridLines="0" zoomScale="85" zoomScaleNormal="85" zoomScaleSheetLayoutView="70" workbookViewId="0"/>
  </sheetViews>
  <sheetFormatPr defaultRowHeight="18" customHeight="1" x14ac:dyDescent="0.25"/>
  <cols>
    <col min="1" max="1" width="8.26953125" style="633" customWidth="1"/>
    <col min="2" max="2" width="55.453125" bestFit="1" customWidth="1"/>
    <col min="3" max="3" width="9.54296875" customWidth="1"/>
    <col min="5" max="5" width="12.453125" customWidth="1"/>
    <col min="6" max="6" width="18.54296875" customWidth="1"/>
    <col min="7" max="7" width="23.54296875" customWidth="1"/>
    <col min="8" max="8" width="17.26953125" customWidth="1"/>
    <col min="9" max="9" width="21.26953125" customWidth="1"/>
    <col min="10" max="10" width="19.7265625" customWidth="1"/>
    <col min="11" max="11" width="17.54296875" customWidth="1"/>
  </cols>
  <sheetData>
    <row r="1" spans="1:11" ht="18" customHeight="1" x14ac:dyDescent="0.3">
      <c r="B1" s="742"/>
      <c r="C1" s="888"/>
      <c r="D1" s="889"/>
      <c r="E1" s="888"/>
      <c r="F1" s="888"/>
      <c r="G1" s="888"/>
      <c r="H1" s="888"/>
      <c r="I1" s="888"/>
      <c r="J1" s="888"/>
      <c r="K1" s="888"/>
    </row>
    <row r="2" spans="1:11" ht="18" customHeight="1" x14ac:dyDescent="0.35">
      <c r="B2" s="742"/>
      <c r="C2" s="742"/>
      <c r="D2" s="1360" t="s">
        <v>700</v>
      </c>
      <c r="E2" s="1360"/>
      <c r="F2" s="1360"/>
      <c r="G2" s="1360"/>
      <c r="H2" s="1360"/>
      <c r="I2" s="742"/>
      <c r="J2" s="742"/>
      <c r="K2" s="742"/>
    </row>
    <row r="3" spans="1:11" ht="18" customHeight="1" x14ac:dyDescent="0.3">
      <c r="B3" s="636" t="s">
        <v>0</v>
      </c>
      <c r="C3" s="742"/>
      <c r="D3" s="742"/>
      <c r="E3" s="742"/>
      <c r="F3" s="742"/>
      <c r="G3" s="742"/>
      <c r="H3" s="742"/>
      <c r="I3" s="742"/>
      <c r="J3" s="742"/>
      <c r="K3" s="742"/>
    </row>
    <row r="4" spans="1:11" ht="18" customHeight="1" x14ac:dyDescent="0.25">
      <c r="B4" s="742"/>
      <c r="C4" s="742"/>
      <c r="D4" s="742"/>
      <c r="E4" s="742"/>
      <c r="F4" s="742"/>
      <c r="G4" s="742"/>
      <c r="H4" s="742"/>
      <c r="I4" s="742"/>
      <c r="J4" s="742"/>
      <c r="K4" s="742"/>
    </row>
    <row r="5" spans="1:11" ht="18" customHeight="1" x14ac:dyDescent="0.3">
      <c r="B5" s="733" t="s">
        <v>40</v>
      </c>
      <c r="C5" s="1386" t="s">
        <v>645</v>
      </c>
      <c r="D5" s="1387"/>
      <c r="E5" s="1387"/>
      <c r="F5" s="1387"/>
      <c r="G5" s="1388"/>
      <c r="H5" s="742"/>
      <c r="I5" s="742"/>
      <c r="J5" s="742"/>
      <c r="K5" s="742"/>
    </row>
    <row r="6" spans="1:11" ht="18" customHeight="1" x14ac:dyDescent="0.3">
      <c r="B6" s="733" t="s">
        <v>3</v>
      </c>
      <c r="C6" s="1365">
        <v>44</v>
      </c>
      <c r="D6" s="1366"/>
      <c r="E6" s="1366"/>
      <c r="F6" s="1366"/>
      <c r="G6" s="1367"/>
      <c r="H6" s="742"/>
      <c r="I6" s="742"/>
      <c r="J6" s="742"/>
      <c r="K6" s="742"/>
    </row>
    <row r="7" spans="1:11" ht="18" customHeight="1" x14ac:dyDescent="0.3">
      <c r="B7" s="733" t="s">
        <v>4</v>
      </c>
      <c r="C7" s="1368">
        <v>2395</v>
      </c>
      <c r="D7" s="1369"/>
      <c r="E7" s="1369"/>
      <c r="F7" s="1369"/>
      <c r="G7" s="1370"/>
      <c r="H7" s="742"/>
      <c r="I7" s="742"/>
      <c r="J7" s="742"/>
      <c r="K7" s="742"/>
    </row>
    <row r="8" spans="1:11" ht="18" customHeight="1" x14ac:dyDescent="0.25">
      <c r="B8" s="742"/>
      <c r="C8" s="742"/>
      <c r="D8" s="742"/>
      <c r="E8" s="742"/>
      <c r="F8" s="742"/>
      <c r="G8" s="742"/>
      <c r="H8" s="742"/>
      <c r="I8" s="742"/>
      <c r="J8" s="742"/>
      <c r="K8" s="742"/>
    </row>
    <row r="9" spans="1:11" ht="18" customHeight="1" x14ac:dyDescent="0.3">
      <c r="B9" s="733" t="s">
        <v>1</v>
      </c>
      <c r="C9" s="1386" t="s">
        <v>819</v>
      </c>
      <c r="D9" s="1387"/>
      <c r="E9" s="1387"/>
      <c r="F9" s="1387"/>
      <c r="G9" s="1388"/>
      <c r="H9" s="742"/>
      <c r="I9" s="742"/>
      <c r="J9" s="742"/>
      <c r="K9" s="742"/>
    </row>
    <row r="10" spans="1:11" ht="18" customHeight="1" x14ac:dyDescent="0.3">
      <c r="B10" s="733" t="s">
        <v>2</v>
      </c>
      <c r="C10" s="1389" t="s">
        <v>820</v>
      </c>
      <c r="D10" s="1390"/>
      <c r="E10" s="1390"/>
      <c r="F10" s="1390"/>
      <c r="G10" s="1391"/>
      <c r="H10" s="742"/>
      <c r="I10" s="742"/>
      <c r="J10" s="742"/>
      <c r="K10" s="742"/>
    </row>
    <row r="11" spans="1:11" ht="18" customHeight="1" x14ac:dyDescent="0.3">
      <c r="B11" s="733" t="s">
        <v>32</v>
      </c>
      <c r="C11" s="1386" t="s">
        <v>821</v>
      </c>
      <c r="D11" s="1387"/>
      <c r="E11" s="1387"/>
      <c r="F11" s="1387"/>
      <c r="G11" s="1387"/>
      <c r="H11" s="742"/>
      <c r="I11" s="742"/>
      <c r="J11" s="742"/>
      <c r="K11" s="742"/>
    </row>
    <row r="12" spans="1:11" ht="18" customHeight="1" x14ac:dyDescent="0.3">
      <c r="B12" s="733"/>
      <c r="C12" s="733"/>
      <c r="D12" s="733"/>
      <c r="E12" s="733"/>
      <c r="F12" s="733"/>
      <c r="G12" s="733"/>
      <c r="H12" s="742"/>
      <c r="I12" s="742"/>
      <c r="J12" s="742"/>
      <c r="K12" s="742"/>
    </row>
    <row r="13" spans="1:11" ht="24.65" customHeight="1" x14ac:dyDescent="0.25">
      <c r="B13" s="1363"/>
      <c r="C13" s="1363"/>
      <c r="D13" s="1363"/>
      <c r="E13" s="1363"/>
      <c r="F13" s="1363"/>
      <c r="G13" s="1363"/>
      <c r="H13" s="1363"/>
      <c r="I13" s="888"/>
      <c r="J13" s="742"/>
      <c r="K13" s="742"/>
    </row>
    <row r="14" spans="1:11" ht="18" customHeight="1" x14ac:dyDescent="0.3">
      <c r="B14" s="640"/>
      <c r="C14" s="742"/>
      <c r="D14" s="742"/>
      <c r="E14" s="742"/>
      <c r="F14" s="742"/>
      <c r="G14" s="742"/>
      <c r="H14" s="742"/>
      <c r="I14" s="742"/>
      <c r="J14" s="742"/>
      <c r="K14" s="742"/>
    </row>
    <row r="15" spans="1:11" ht="18" customHeight="1" x14ac:dyDescent="0.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10011168</v>
      </c>
      <c r="I18" s="673">
        <v>0</v>
      </c>
      <c r="J18" s="647">
        <v>8481413</v>
      </c>
      <c r="K18" s="648">
        <f>(H18+I18)-J18</f>
        <v>1529755</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461.5</v>
      </c>
      <c r="G21" s="646">
        <v>95714</v>
      </c>
      <c r="H21" s="647">
        <v>64320</v>
      </c>
      <c r="I21" s="673">
        <v>42968.343007432821</v>
      </c>
      <c r="J21" s="647"/>
      <c r="K21" s="648">
        <v>107288.34300743282</v>
      </c>
    </row>
    <row r="22" spans="1:11" ht="18" customHeight="1" x14ac:dyDescent="0.3">
      <c r="A22" s="639" t="s">
        <v>76</v>
      </c>
      <c r="B22" s="742" t="s">
        <v>6</v>
      </c>
      <c r="C22" s="742"/>
      <c r="D22" s="742"/>
      <c r="E22" s="742"/>
      <c r="F22" s="646">
        <v>19.5</v>
      </c>
      <c r="G22" s="646">
        <v>208</v>
      </c>
      <c r="H22" s="647">
        <v>1182</v>
      </c>
      <c r="I22" s="673">
        <v>789.62346758062176</v>
      </c>
      <c r="J22" s="647"/>
      <c r="K22" s="648">
        <v>1971.6234675806218</v>
      </c>
    </row>
    <row r="23" spans="1:11" ht="18" customHeight="1" x14ac:dyDescent="0.3">
      <c r="A23" s="639" t="s">
        <v>77</v>
      </c>
      <c r="B23" s="742" t="s">
        <v>43</v>
      </c>
      <c r="C23" s="742"/>
      <c r="D23" s="742"/>
      <c r="E23" s="742"/>
      <c r="F23" s="646">
        <v>136</v>
      </c>
      <c r="G23" s="646">
        <v>884</v>
      </c>
      <c r="H23" s="647">
        <v>10661</v>
      </c>
      <c r="I23" s="673">
        <v>7121.9761318756418</v>
      </c>
      <c r="J23" s="647"/>
      <c r="K23" s="648">
        <v>17782.976131875643</v>
      </c>
    </row>
    <row r="24" spans="1:11" ht="18" customHeight="1" x14ac:dyDescent="0.3">
      <c r="A24" s="639" t="s">
        <v>78</v>
      </c>
      <c r="B24" s="742" t="s">
        <v>44</v>
      </c>
      <c r="C24" s="742"/>
      <c r="D24" s="742"/>
      <c r="E24" s="742"/>
      <c r="F24" s="646"/>
      <c r="G24" s="646"/>
      <c r="H24" s="647"/>
      <c r="I24" s="673">
        <v>0</v>
      </c>
      <c r="J24" s="647"/>
      <c r="K24" s="648">
        <v>0</v>
      </c>
    </row>
    <row r="25" spans="1:11" ht="18" customHeight="1" x14ac:dyDescent="0.3">
      <c r="A25" s="639" t="s">
        <v>79</v>
      </c>
      <c r="B25" s="742" t="s">
        <v>5</v>
      </c>
      <c r="C25" s="742"/>
      <c r="D25" s="742"/>
      <c r="E25" s="742"/>
      <c r="F25" s="646">
        <v>28.75</v>
      </c>
      <c r="G25" s="646">
        <v>81</v>
      </c>
      <c r="H25" s="647">
        <v>4401</v>
      </c>
      <c r="I25" s="673">
        <v>2940.0447384283557</v>
      </c>
      <c r="J25" s="647"/>
      <c r="K25" s="648">
        <v>7341.0447384283561</v>
      </c>
    </row>
    <row r="26" spans="1:11" ht="18" customHeight="1" x14ac:dyDescent="0.3">
      <c r="A26" s="639" t="s">
        <v>80</v>
      </c>
      <c r="B26" s="742" t="s">
        <v>45</v>
      </c>
      <c r="C26" s="742"/>
      <c r="D26" s="742"/>
      <c r="E26" s="742"/>
      <c r="F26" s="646"/>
      <c r="G26" s="646"/>
      <c r="H26" s="647"/>
      <c r="I26" s="673">
        <v>0</v>
      </c>
      <c r="J26" s="647"/>
      <c r="K26" s="648">
        <v>0</v>
      </c>
    </row>
    <row r="27" spans="1:11" ht="18" customHeight="1" x14ac:dyDescent="0.3">
      <c r="A27" s="639" t="s">
        <v>81</v>
      </c>
      <c r="B27" s="742" t="s">
        <v>710</v>
      </c>
      <c r="C27" s="742"/>
      <c r="D27" s="742"/>
      <c r="E27" s="742"/>
      <c r="F27" s="646"/>
      <c r="G27" s="646"/>
      <c r="H27" s="647"/>
      <c r="I27" s="673">
        <v>0</v>
      </c>
      <c r="J27" s="647"/>
      <c r="K27" s="648">
        <v>0</v>
      </c>
    </row>
    <row r="28" spans="1:11" ht="18" customHeight="1" x14ac:dyDescent="0.3">
      <c r="A28" s="639" t="s">
        <v>82</v>
      </c>
      <c r="B28" s="742" t="s">
        <v>47</v>
      </c>
      <c r="C28" s="742"/>
      <c r="D28" s="742"/>
      <c r="E28" s="742"/>
      <c r="F28" s="646"/>
      <c r="G28" s="646"/>
      <c r="H28" s="647"/>
      <c r="I28" s="673">
        <v>0</v>
      </c>
      <c r="J28" s="647"/>
      <c r="K28" s="648">
        <v>0</v>
      </c>
    </row>
    <row r="29" spans="1:11" ht="18" customHeight="1" x14ac:dyDescent="0.3">
      <c r="A29" s="639" t="s">
        <v>83</v>
      </c>
      <c r="B29" s="742" t="s">
        <v>48</v>
      </c>
      <c r="C29" s="742"/>
      <c r="D29" s="742"/>
      <c r="E29" s="742"/>
      <c r="F29" s="646">
        <v>2080</v>
      </c>
      <c r="G29" s="646">
        <v>142</v>
      </c>
      <c r="H29" s="647">
        <v>178623.04</v>
      </c>
      <c r="I29" s="673">
        <v>119327.36398865661</v>
      </c>
      <c r="J29" s="647"/>
      <c r="K29" s="648">
        <v>297950.40398865659</v>
      </c>
    </row>
    <row r="30" spans="1:11" ht="18" customHeight="1" x14ac:dyDescent="0.3">
      <c r="A30" s="639" t="s">
        <v>84</v>
      </c>
      <c r="B30" s="1351" t="s">
        <v>822</v>
      </c>
      <c r="C30" s="1352"/>
      <c r="D30" s="1353"/>
      <c r="E30" s="742"/>
      <c r="F30" s="646">
        <v>2174.9</v>
      </c>
      <c r="G30" s="646"/>
      <c r="H30" s="647">
        <v>27034.98</v>
      </c>
      <c r="I30" s="673">
        <v>18060.452329587781</v>
      </c>
      <c r="J30" s="647"/>
      <c r="K30" s="648">
        <v>45095.432329587784</v>
      </c>
    </row>
    <row r="31" spans="1:11" ht="18" customHeight="1" x14ac:dyDescent="0.3">
      <c r="A31" s="639" t="s">
        <v>133</v>
      </c>
      <c r="B31" s="1351"/>
      <c r="C31" s="1352"/>
      <c r="D31" s="1353"/>
      <c r="E31" s="742"/>
      <c r="F31" s="646"/>
      <c r="G31" s="646"/>
      <c r="H31" s="647"/>
      <c r="I31" s="673">
        <v>0</v>
      </c>
      <c r="J31" s="647"/>
      <c r="K31" s="648">
        <v>0</v>
      </c>
    </row>
    <row r="32" spans="1:11" ht="18" customHeight="1" x14ac:dyDescent="0.3">
      <c r="A32" s="639" t="s">
        <v>134</v>
      </c>
      <c r="B32" s="909"/>
      <c r="C32" s="910"/>
      <c r="D32" s="911"/>
      <c r="E32" s="742"/>
      <c r="F32" s="646"/>
      <c r="G32" s="675"/>
      <c r="H32" s="647"/>
      <c r="I32" s="673">
        <v>0</v>
      </c>
      <c r="J32" s="647"/>
      <c r="K32" s="648">
        <v>0</v>
      </c>
    </row>
    <row r="33" spans="1:11" ht="18" customHeight="1" x14ac:dyDescent="0.3">
      <c r="A33" s="639" t="s">
        <v>135</v>
      </c>
      <c r="B33" s="909"/>
      <c r="C33" s="910"/>
      <c r="D33" s="911"/>
      <c r="E33" s="742"/>
      <c r="F33" s="646"/>
      <c r="G33" s="675"/>
      <c r="H33" s="647"/>
      <c r="I33" s="673">
        <v>0</v>
      </c>
      <c r="J33" s="647"/>
      <c r="K33" s="648">
        <v>0</v>
      </c>
    </row>
    <row r="34" spans="1:11" ht="18" customHeight="1" x14ac:dyDescent="0.3">
      <c r="A34" s="639" t="s">
        <v>136</v>
      </c>
      <c r="B34" s="1351"/>
      <c r="C34" s="1352"/>
      <c r="D34" s="1353"/>
      <c r="E34" s="742"/>
      <c r="F34" s="646"/>
      <c r="G34" s="675"/>
      <c r="H34" s="647"/>
      <c r="I34" s="673">
        <v>0</v>
      </c>
      <c r="J34" s="647"/>
      <c r="K34" s="648">
        <v>0</v>
      </c>
    </row>
    <row r="35" spans="1:11" ht="18" customHeight="1" x14ac:dyDescent="0.25">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0">SUM(F21:F34)</f>
        <v>4900.6499999999996</v>
      </c>
      <c r="G36" s="650">
        <f t="shared" si="0"/>
        <v>97029</v>
      </c>
      <c r="H36" s="650">
        <f t="shared" si="0"/>
        <v>286222.02</v>
      </c>
      <c r="I36" s="648">
        <f t="shared" si="0"/>
        <v>191207.80366356182</v>
      </c>
      <c r="J36" s="648">
        <f t="shared" si="0"/>
        <v>0</v>
      </c>
      <c r="K36" s="648">
        <f t="shared" si="0"/>
        <v>477429.82366356184</v>
      </c>
    </row>
    <row r="37" spans="1:11" ht="18" customHeight="1" thickBot="1" x14ac:dyDescent="0.35">
      <c r="B37" s="636"/>
      <c r="C37" s="742"/>
      <c r="D37" s="742"/>
      <c r="E37" s="742"/>
      <c r="F37" s="651"/>
      <c r="G37" s="651"/>
      <c r="H37" s="652"/>
      <c r="I37" s="652"/>
      <c r="J37" s="652"/>
      <c r="K37" s="668"/>
    </row>
    <row r="38" spans="1:11" ht="42.75" customHeight="1" x14ac:dyDescent="0.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v>134716</v>
      </c>
      <c r="G40" s="646"/>
      <c r="H40" s="647">
        <v>5123160.414935126</v>
      </c>
      <c r="I40" s="673">
        <v>0</v>
      </c>
      <c r="J40" s="647"/>
      <c r="K40" s="648">
        <f t="shared" ref="K40:K47" si="1">(H40+I40)-J40</f>
        <v>5123160.414935126</v>
      </c>
    </row>
    <row r="41" spans="1:11" ht="18" customHeight="1" x14ac:dyDescent="0.3">
      <c r="A41" s="639" t="s">
        <v>88</v>
      </c>
      <c r="B41" s="1359" t="s">
        <v>50</v>
      </c>
      <c r="C41" s="1359"/>
      <c r="D41" s="742"/>
      <c r="E41" s="742"/>
      <c r="F41" s="646">
        <v>45151.15</v>
      </c>
      <c r="G41" s="646"/>
      <c r="H41" s="647">
        <v>436731.78</v>
      </c>
      <c r="I41" s="673">
        <v>0</v>
      </c>
      <c r="J41" s="647"/>
      <c r="K41" s="648">
        <f t="shared" si="1"/>
        <v>436731.78</v>
      </c>
    </row>
    <row r="42" spans="1:11" ht="18" customHeight="1" x14ac:dyDescent="0.3">
      <c r="A42" s="639" t="s">
        <v>89</v>
      </c>
      <c r="B42" s="635" t="s">
        <v>11</v>
      </c>
      <c r="C42" s="742"/>
      <c r="D42" s="742"/>
      <c r="E42" s="742"/>
      <c r="F42" s="646"/>
      <c r="G42" s="646"/>
      <c r="H42" s="647"/>
      <c r="I42" s="673">
        <v>0</v>
      </c>
      <c r="J42" s="647">
        <v>0</v>
      </c>
      <c r="K42" s="648">
        <f t="shared" si="1"/>
        <v>0</v>
      </c>
    </row>
    <row r="43" spans="1:11" ht="18" customHeight="1" x14ac:dyDescent="0.3">
      <c r="A43" s="639" t="s">
        <v>90</v>
      </c>
      <c r="B43" s="670" t="s">
        <v>10</v>
      </c>
      <c r="C43" s="642"/>
      <c r="D43" s="642"/>
      <c r="E43" s="742"/>
      <c r="F43" s="646"/>
      <c r="G43" s="646"/>
      <c r="H43" s="647"/>
      <c r="I43" s="673">
        <v>0</v>
      </c>
      <c r="J43" s="647"/>
      <c r="K43" s="648">
        <f t="shared" si="1"/>
        <v>0</v>
      </c>
    </row>
    <row r="44" spans="1:11" ht="18" customHeight="1" x14ac:dyDescent="0.3">
      <c r="A44" s="639" t="s">
        <v>91</v>
      </c>
      <c r="B44" s="1351"/>
      <c r="C44" s="1352"/>
      <c r="D44" s="1353"/>
      <c r="E44" s="742"/>
      <c r="F44" s="677"/>
      <c r="G44" s="677"/>
      <c r="H44" s="677"/>
      <c r="I44" s="678">
        <v>0</v>
      </c>
      <c r="J44" s="677"/>
      <c r="K44" s="679">
        <f t="shared" si="1"/>
        <v>0</v>
      </c>
    </row>
    <row r="45" spans="1:11" ht="18" customHeight="1" x14ac:dyDescent="0.3">
      <c r="A45" s="639" t="s">
        <v>139</v>
      </c>
      <c r="B45" s="1351"/>
      <c r="C45" s="1352"/>
      <c r="D45" s="1353"/>
      <c r="E45" s="742"/>
      <c r="F45" s="646"/>
      <c r="G45" s="646"/>
      <c r="H45" s="647"/>
      <c r="I45" s="673">
        <v>0</v>
      </c>
      <c r="J45" s="647"/>
      <c r="K45" s="648">
        <f t="shared" si="1"/>
        <v>0</v>
      </c>
    </row>
    <row r="46" spans="1:11" ht="18" customHeight="1" x14ac:dyDescent="0.3">
      <c r="A46" s="639" t="s">
        <v>140</v>
      </c>
      <c r="B46" s="1351"/>
      <c r="C46" s="1352"/>
      <c r="D46" s="1353"/>
      <c r="E46" s="742"/>
      <c r="F46" s="646"/>
      <c r="G46" s="646"/>
      <c r="H46" s="647"/>
      <c r="I46" s="673">
        <v>0</v>
      </c>
      <c r="J46" s="647"/>
      <c r="K46" s="648">
        <f t="shared" si="1"/>
        <v>0</v>
      </c>
    </row>
    <row r="47" spans="1:11" ht="18" customHeight="1" x14ac:dyDescent="0.3">
      <c r="A47" s="639" t="s">
        <v>141</v>
      </c>
      <c r="B47" s="1351"/>
      <c r="C47" s="1352"/>
      <c r="D47" s="1353"/>
      <c r="E47" s="742"/>
      <c r="F47" s="646"/>
      <c r="G47" s="646"/>
      <c r="H47" s="647"/>
      <c r="I47" s="673">
        <v>0</v>
      </c>
      <c r="J47" s="647"/>
      <c r="K47" s="648">
        <f t="shared" si="1"/>
        <v>0</v>
      </c>
    </row>
    <row r="48" spans="1:11" ht="18" customHeight="1" x14ac:dyDescent="0.25">
      <c r="B48" s="742"/>
      <c r="C48" s="742"/>
      <c r="D48" s="742"/>
      <c r="E48" s="742"/>
      <c r="F48" s="742"/>
      <c r="G48" s="742"/>
      <c r="H48" s="742"/>
      <c r="I48" s="742"/>
      <c r="J48" s="742"/>
      <c r="K48" s="742"/>
    </row>
    <row r="49" spans="1:11" ht="18" customHeight="1" x14ac:dyDescent="0.3">
      <c r="A49" s="639" t="s">
        <v>142</v>
      </c>
      <c r="B49" s="636" t="s">
        <v>143</v>
      </c>
      <c r="C49" s="742"/>
      <c r="D49" s="742"/>
      <c r="E49" s="636" t="s">
        <v>7</v>
      </c>
      <c r="F49" s="654">
        <v>179867.15</v>
      </c>
      <c r="G49" s="654">
        <v>0</v>
      </c>
      <c r="H49" s="648">
        <v>5559892.1949351262</v>
      </c>
      <c r="I49" s="648">
        <f t="shared" ref="I49:K49" si="2">SUM(I40:I47)</f>
        <v>0</v>
      </c>
      <c r="J49" s="648">
        <f t="shared" si="2"/>
        <v>0</v>
      </c>
      <c r="K49" s="648">
        <f t="shared" si="2"/>
        <v>5559892.1949351262</v>
      </c>
    </row>
    <row r="50" spans="1:11" ht="18" customHeight="1" thickBot="1" x14ac:dyDescent="0.3">
      <c r="B50" s="742"/>
      <c r="C50" s="742"/>
      <c r="D50" s="742"/>
      <c r="E50" s="742"/>
      <c r="F50" s="742"/>
      <c r="G50" s="655"/>
      <c r="H50" s="655"/>
      <c r="I50" s="655"/>
      <c r="J50" s="655"/>
      <c r="K50" s="655"/>
    </row>
    <row r="51" spans="1:11" ht="42.75" customHeight="1" x14ac:dyDescent="0.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455" t="s">
        <v>340</v>
      </c>
      <c r="C53" s="1456"/>
      <c r="D53" s="1457"/>
      <c r="E53" s="742"/>
      <c r="F53" s="646">
        <v>2080</v>
      </c>
      <c r="G53" s="646">
        <v>1433</v>
      </c>
      <c r="H53" s="647">
        <v>160329</v>
      </c>
      <c r="I53" s="673"/>
      <c r="J53" s="647">
        <v>6877</v>
      </c>
      <c r="K53" s="648">
        <v>153452</v>
      </c>
    </row>
    <row r="54" spans="1:11" ht="18" customHeight="1" x14ac:dyDescent="0.3">
      <c r="A54" s="639" t="s">
        <v>93</v>
      </c>
      <c r="B54" s="912" t="s">
        <v>646</v>
      </c>
      <c r="C54" s="913"/>
      <c r="D54" s="914"/>
      <c r="E54" s="742"/>
      <c r="F54" s="646">
        <v>6370.24</v>
      </c>
      <c r="G54" s="646">
        <v>525</v>
      </c>
      <c r="H54" s="647">
        <v>387648</v>
      </c>
      <c r="I54" s="673"/>
      <c r="J54" s="647">
        <v>284024</v>
      </c>
      <c r="K54" s="648">
        <v>103624</v>
      </c>
    </row>
    <row r="55" spans="1:11" ht="18" customHeight="1" x14ac:dyDescent="0.3">
      <c r="A55" s="639" t="s">
        <v>94</v>
      </c>
      <c r="B55" s="1354" t="s">
        <v>341</v>
      </c>
      <c r="C55" s="1355"/>
      <c r="D55" s="1356"/>
      <c r="E55" s="742"/>
      <c r="F55" s="646">
        <v>2080</v>
      </c>
      <c r="G55" s="646">
        <v>615</v>
      </c>
      <c r="H55" s="647">
        <v>71162.399999999994</v>
      </c>
      <c r="I55" s="673"/>
      <c r="J55" s="647"/>
      <c r="K55" s="648">
        <v>71162.399999999994</v>
      </c>
    </row>
    <row r="56" spans="1:11" ht="18" customHeight="1" x14ac:dyDescent="0.3">
      <c r="A56" s="639" t="s">
        <v>95</v>
      </c>
      <c r="B56" s="1354" t="s">
        <v>647</v>
      </c>
      <c r="C56" s="1355"/>
      <c r="D56" s="1356"/>
      <c r="E56" s="742"/>
      <c r="F56" s="646">
        <v>3289.2000000000003</v>
      </c>
      <c r="G56" s="646"/>
      <c r="H56" s="647">
        <v>480118</v>
      </c>
      <c r="I56" s="673"/>
      <c r="J56" s="647">
        <v>406589</v>
      </c>
      <c r="K56" s="648">
        <v>73529</v>
      </c>
    </row>
    <row r="57" spans="1:11" ht="18" customHeight="1" x14ac:dyDescent="0.3">
      <c r="A57" s="639" t="s">
        <v>96</v>
      </c>
      <c r="B57" s="1354" t="s">
        <v>823</v>
      </c>
      <c r="C57" s="1355"/>
      <c r="D57" s="1356"/>
      <c r="E57" s="742"/>
      <c r="F57" s="646">
        <v>1657.5</v>
      </c>
      <c r="G57" s="646">
        <v>480</v>
      </c>
      <c r="H57" s="647">
        <v>87067.064012499992</v>
      </c>
      <c r="I57" s="673"/>
      <c r="J57" s="647"/>
      <c r="K57" s="648">
        <v>87067.064012499992</v>
      </c>
    </row>
    <row r="58" spans="1:11" ht="18" customHeight="1" x14ac:dyDescent="0.3">
      <c r="A58" s="639" t="s">
        <v>97</v>
      </c>
      <c r="B58" s="912" t="s">
        <v>824</v>
      </c>
      <c r="C58" s="913"/>
      <c r="D58" s="914"/>
      <c r="E58" s="742"/>
      <c r="F58" s="646">
        <v>687315.20000000007</v>
      </c>
      <c r="G58" s="646">
        <v>144214.78</v>
      </c>
      <c r="H58" s="647">
        <v>50970849</v>
      </c>
      <c r="I58" s="673"/>
      <c r="J58" s="647">
        <v>36053695</v>
      </c>
      <c r="K58" s="648">
        <v>14917154</v>
      </c>
    </row>
    <row r="59" spans="1:11" ht="18" customHeight="1" x14ac:dyDescent="0.3">
      <c r="A59" s="639" t="s">
        <v>98</v>
      </c>
      <c r="B59" s="1354"/>
      <c r="C59" s="1355"/>
      <c r="D59" s="1356"/>
      <c r="E59" s="742"/>
      <c r="F59" s="646"/>
      <c r="G59" s="646"/>
      <c r="H59" s="647"/>
      <c r="I59" s="673"/>
      <c r="J59" s="647"/>
      <c r="K59" s="648"/>
    </row>
    <row r="60" spans="1:11" ht="18" customHeight="1" x14ac:dyDescent="0.3">
      <c r="A60" s="639" t="s">
        <v>99</v>
      </c>
      <c r="B60" s="912"/>
      <c r="C60" s="913"/>
      <c r="D60" s="914"/>
      <c r="E60" s="742"/>
      <c r="F60" s="646"/>
      <c r="G60" s="646"/>
      <c r="H60" s="647"/>
      <c r="I60" s="673"/>
      <c r="J60" s="647"/>
      <c r="K60" s="648"/>
    </row>
    <row r="61" spans="1:11" ht="18" customHeight="1" x14ac:dyDescent="0.3">
      <c r="A61" s="639" t="s">
        <v>100</v>
      </c>
      <c r="B61" s="912"/>
      <c r="C61" s="913"/>
      <c r="D61" s="914"/>
      <c r="E61" s="742"/>
      <c r="F61" s="646"/>
      <c r="G61" s="646"/>
      <c r="H61" s="647"/>
      <c r="I61" s="673">
        <v>0</v>
      </c>
      <c r="J61" s="647"/>
      <c r="K61" s="648">
        <v>0</v>
      </c>
    </row>
    <row r="62" spans="1:11" ht="18" customHeight="1" x14ac:dyDescent="0.3">
      <c r="A62" s="639" t="s">
        <v>101</v>
      </c>
      <c r="B62" s="1354"/>
      <c r="C62" s="1355"/>
      <c r="D62" s="1356"/>
      <c r="E62" s="742"/>
      <c r="F62" s="646"/>
      <c r="G62" s="646"/>
      <c r="H62" s="647"/>
      <c r="I62" s="673">
        <v>0</v>
      </c>
      <c r="J62" s="647"/>
      <c r="K62" s="648">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3">SUM(F53:F62)</f>
        <v>702792.14</v>
      </c>
      <c r="G64" s="650">
        <f t="shared" si="3"/>
        <v>147267.78</v>
      </c>
      <c r="H64" s="648">
        <f t="shared" si="3"/>
        <v>52157173.464012504</v>
      </c>
      <c r="I64" s="648">
        <f t="shared" si="3"/>
        <v>0</v>
      </c>
      <c r="J64" s="648">
        <f t="shared" si="3"/>
        <v>36751185</v>
      </c>
      <c r="K64" s="648">
        <f t="shared" si="3"/>
        <v>15405988.4640125</v>
      </c>
    </row>
    <row r="65" spans="1:11" ht="18" customHeight="1" x14ac:dyDescent="0.25">
      <c r="B65" s="742"/>
      <c r="C65" s="742"/>
      <c r="D65" s="742"/>
      <c r="E65" s="742"/>
      <c r="F65" s="671"/>
      <c r="G65" s="671"/>
      <c r="H65" s="671"/>
      <c r="I65" s="671"/>
      <c r="J65" s="671"/>
      <c r="K65" s="671"/>
    </row>
    <row r="66" spans="1:11" ht="42.75" customHeight="1" x14ac:dyDescent="0.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v>381579</v>
      </c>
      <c r="I69" s="673">
        <v>0</v>
      </c>
      <c r="J69" s="674"/>
      <c r="K69" s="648">
        <f>(H69+I69)-J69</f>
        <v>381579</v>
      </c>
    </row>
    <row r="70" spans="1:11" ht="18" customHeight="1" x14ac:dyDescent="0.3">
      <c r="A70" s="639" t="s">
        <v>178</v>
      </c>
      <c r="B70" s="912"/>
      <c r="C70" s="913"/>
      <c r="D70" s="914"/>
      <c r="E70" s="636"/>
      <c r="F70" s="658"/>
      <c r="G70" s="658"/>
      <c r="H70" s="659"/>
      <c r="I70" s="673">
        <v>0</v>
      </c>
      <c r="J70" s="659"/>
      <c r="K70" s="648">
        <f>(H70+I70)-J70</f>
        <v>0</v>
      </c>
    </row>
    <row r="71" spans="1:11" ht="18" customHeight="1" x14ac:dyDescent="0.3">
      <c r="A71" s="639" t="s">
        <v>179</v>
      </c>
      <c r="B71" s="912"/>
      <c r="C71" s="913"/>
      <c r="D71" s="914"/>
      <c r="E71" s="636"/>
      <c r="F71" s="658"/>
      <c r="G71" s="658"/>
      <c r="H71" s="659"/>
      <c r="I71" s="673">
        <v>0</v>
      </c>
      <c r="J71" s="659"/>
      <c r="K71" s="648">
        <f>(H71+I71)-J71</f>
        <v>0</v>
      </c>
    </row>
    <row r="72" spans="1:11" ht="18" customHeight="1" x14ac:dyDescent="0.3">
      <c r="A72" s="639" t="s">
        <v>180</v>
      </c>
      <c r="B72" s="930"/>
      <c r="C72" s="929"/>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4">SUM(F68:F72)</f>
        <v>0</v>
      </c>
      <c r="G74" s="653">
        <f t="shared" si="4"/>
        <v>0</v>
      </c>
      <c r="H74" s="653">
        <f t="shared" si="4"/>
        <v>381579</v>
      </c>
      <c r="I74" s="676">
        <f t="shared" si="4"/>
        <v>0</v>
      </c>
      <c r="J74" s="653">
        <f t="shared" si="4"/>
        <v>0</v>
      </c>
      <c r="K74" s="649">
        <f t="shared" si="4"/>
        <v>381579</v>
      </c>
    </row>
    <row r="75" spans="1:11" ht="42.75" customHeight="1" x14ac:dyDescent="0.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v>16500</v>
      </c>
      <c r="I77" s="673">
        <v>0</v>
      </c>
      <c r="J77" s="647"/>
      <c r="K77" s="648">
        <f>(H77+I77)-J77</f>
        <v>16500</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v>120</v>
      </c>
      <c r="G79" s="646">
        <v>534</v>
      </c>
      <c r="H79" s="647">
        <v>9796.7999999999993</v>
      </c>
      <c r="I79" s="673">
        <v>0</v>
      </c>
      <c r="J79" s="647"/>
      <c r="K79" s="648">
        <f>(H79+I79)-J79</f>
        <v>9796.7999999999993</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5">SUM(F77:F80)</f>
        <v>120</v>
      </c>
      <c r="G82" s="653">
        <f t="shared" si="5"/>
        <v>534</v>
      </c>
      <c r="H82" s="649">
        <f t="shared" si="5"/>
        <v>26296.799999999999</v>
      </c>
      <c r="I82" s="649">
        <f t="shared" si="5"/>
        <v>0</v>
      </c>
      <c r="J82" s="649">
        <f t="shared" si="5"/>
        <v>0</v>
      </c>
      <c r="K82" s="649">
        <f t="shared" si="5"/>
        <v>26296.799999999999</v>
      </c>
    </row>
    <row r="83" spans="1:11" ht="18" customHeight="1" thickBot="1" x14ac:dyDescent="0.35">
      <c r="A83" s="639"/>
      <c r="B83" s="742"/>
      <c r="C83" s="742"/>
      <c r="D83" s="742"/>
      <c r="E83" s="742"/>
      <c r="F83" s="655"/>
      <c r="G83" s="655"/>
      <c r="H83" s="655"/>
      <c r="I83" s="655"/>
      <c r="J83" s="655"/>
      <c r="K83" s="655"/>
    </row>
    <row r="84" spans="1:11" ht="42.75" customHeight="1" x14ac:dyDescent="0.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6">H86*F$114</f>
        <v>0</v>
      </c>
      <c r="J86" s="647"/>
      <c r="K86" s="648">
        <f t="shared" ref="K86:K96" si="7">(H86+I86)-J86</f>
        <v>0</v>
      </c>
    </row>
    <row r="87" spans="1:11" ht="18" customHeight="1" x14ac:dyDescent="0.3">
      <c r="A87" s="639" t="s">
        <v>114</v>
      </c>
      <c r="B87" s="635" t="s">
        <v>14</v>
      </c>
      <c r="C87" s="742"/>
      <c r="D87" s="742"/>
      <c r="E87" s="742"/>
      <c r="F87" s="646"/>
      <c r="G87" s="646"/>
      <c r="H87" s="647"/>
      <c r="I87" s="673">
        <f t="shared" si="6"/>
        <v>0</v>
      </c>
      <c r="J87" s="647"/>
      <c r="K87" s="648">
        <f t="shared" si="7"/>
        <v>0</v>
      </c>
    </row>
    <row r="88" spans="1:11" ht="18" customHeight="1" x14ac:dyDescent="0.3">
      <c r="A88" s="639" t="s">
        <v>115</v>
      </c>
      <c r="B88" s="635" t="s">
        <v>116</v>
      </c>
      <c r="C88" s="742"/>
      <c r="D88" s="742"/>
      <c r="E88" s="742"/>
      <c r="F88" s="646"/>
      <c r="G88" s="646"/>
      <c r="H88" s="647">
        <v>24750</v>
      </c>
      <c r="I88" s="673">
        <f t="shared" si="6"/>
        <v>16533</v>
      </c>
      <c r="J88" s="647"/>
      <c r="K88" s="648">
        <f t="shared" si="7"/>
        <v>41283</v>
      </c>
    </row>
    <row r="89" spans="1:11" ht="18" customHeight="1" x14ac:dyDescent="0.3">
      <c r="A89" s="639" t="s">
        <v>117</v>
      </c>
      <c r="B89" s="635" t="s">
        <v>58</v>
      </c>
      <c r="C89" s="742"/>
      <c r="D89" s="742"/>
      <c r="E89" s="742"/>
      <c r="F89" s="646"/>
      <c r="G89" s="646"/>
      <c r="H89" s="647"/>
      <c r="I89" s="673">
        <f t="shared" si="6"/>
        <v>0</v>
      </c>
      <c r="J89" s="647"/>
      <c r="K89" s="648">
        <f t="shared" si="7"/>
        <v>0</v>
      </c>
    </row>
    <row r="90" spans="1:11" ht="18" customHeight="1" x14ac:dyDescent="0.3">
      <c r="A90" s="639" t="s">
        <v>118</v>
      </c>
      <c r="B90" s="1359" t="s">
        <v>59</v>
      </c>
      <c r="C90" s="1359"/>
      <c r="D90" s="742"/>
      <c r="E90" s="742"/>
      <c r="F90" s="646"/>
      <c r="G90" s="646"/>
      <c r="H90" s="647"/>
      <c r="I90" s="673">
        <f t="shared" si="6"/>
        <v>0</v>
      </c>
      <c r="J90" s="647"/>
      <c r="K90" s="648">
        <f t="shared" si="7"/>
        <v>0</v>
      </c>
    </row>
    <row r="91" spans="1:11" ht="18" customHeight="1" x14ac:dyDescent="0.3">
      <c r="A91" s="639" t="s">
        <v>119</v>
      </c>
      <c r="B91" s="635" t="s">
        <v>60</v>
      </c>
      <c r="C91" s="742"/>
      <c r="D91" s="742"/>
      <c r="E91" s="742"/>
      <c r="F91" s="646"/>
      <c r="G91" s="646"/>
      <c r="H91" s="647"/>
      <c r="I91" s="673">
        <f t="shared" si="6"/>
        <v>0</v>
      </c>
      <c r="J91" s="647"/>
      <c r="K91" s="648">
        <f t="shared" si="7"/>
        <v>0</v>
      </c>
    </row>
    <row r="92" spans="1:11" ht="18" customHeight="1" x14ac:dyDescent="0.3">
      <c r="A92" s="639" t="s">
        <v>120</v>
      </c>
      <c r="B92" s="635" t="s">
        <v>121</v>
      </c>
      <c r="C92" s="742"/>
      <c r="D92" s="742"/>
      <c r="E92" s="742"/>
      <c r="F92" s="661"/>
      <c r="G92" s="661"/>
      <c r="H92" s="662"/>
      <c r="I92" s="673">
        <f t="shared" si="6"/>
        <v>0</v>
      </c>
      <c r="J92" s="662"/>
      <c r="K92" s="648">
        <f t="shared" si="7"/>
        <v>0</v>
      </c>
    </row>
    <row r="93" spans="1:11" ht="18" customHeight="1" x14ac:dyDescent="0.3">
      <c r="A93" s="639" t="s">
        <v>122</v>
      </c>
      <c r="B93" s="635" t="s">
        <v>123</v>
      </c>
      <c r="C93" s="742"/>
      <c r="D93" s="742"/>
      <c r="E93" s="742"/>
      <c r="F93" s="646"/>
      <c r="G93" s="646"/>
      <c r="H93" s="647"/>
      <c r="I93" s="673">
        <f t="shared" si="6"/>
        <v>0</v>
      </c>
      <c r="J93" s="647"/>
      <c r="K93" s="648">
        <f t="shared" si="7"/>
        <v>0</v>
      </c>
    </row>
    <row r="94" spans="1:11" ht="18" customHeight="1" x14ac:dyDescent="0.3">
      <c r="A94" s="639" t="s">
        <v>124</v>
      </c>
      <c r="B94" s="1354"/>
      <c r="C94" s="1355"/>
      <c r="D94" s="1356"/>
      <c r="E94" s="742"/>
      <c r="F94" s="646"/>
      <c r="G94" s="646"/>
      <c r="H94" s="647"/>
      <c r="I94" s="673">
        <f t="shared" si="6"/>
        <v>0</v>
      </c>
      <c r="J94" s="647"/>
      <c r="K94" s="648">
        <f t="shared" si="7"/>
        <v>0</v>
      </c>
    </row>
    <row r="95" spans="1:11" ht="18" customHeight="1" x14ac:dyDescent="0.3">
      <c r="A95" s="639" t="s">
        <v>125</v>
      </c>
      <c r="B95" s="1354"/>
      <c r="C95" s="1355"/>
      <c r="D95" s="1356"/>
      <c r="E95" s="742"/>
      <c r="F95" s="646"/>
      <c r="G95" s="646"/>
      <c r="H95" s="647"/>
      <c r="I95" s="673">
        <f t="shared" si="6"/>
        <v>0</v>
      </c>
      <c r="J95" s="647"/>
      <c r="K95" s="648">
        <f t="shared" si="7"/>
        <v>0</v>
      </c>
    </row>
    <row r="96" spans="1:11" ht="18" customHeight="1" x14ac:dyDescent="0.3">
      <c r="A96" s="639" t="s">
        <v>126</v>
      </c>
      <c r="B96" s="1354"/>
      <c r="C96" s="1355"/>
      <c r="D96" s="1356"/>
      <c r="E96" s="742"/>
      <c r="F96" s="646"/>
      <c r="G96" s="646"/>
      <c r="H96" s="647"/>
      <c r="I96" s="673">
        <f t="shared" si="6"/>
        <v>0</v>
      </c>
      <c r="J96" s="647"/>
      <c r="K96" s="648">
        <f t="shared" si="7"/>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8">SUM(F86:F96)</f>
        <v>0</v>
      </c>
      <c r="G98" s="650">
        <f t="shared" si="8"/>
        <v>0</v>
      </c>
      <c r="H98" s="650">
        <f t="shared" si="8"/>
        <v>24750</v>
      </c>
      <c r="I98" s="650">
        <f t="shared" si="8"/>
        <v>16533</v>
      </c>
      <c r="J98" s="650">
        <f t="shared" si="8"/>
        <v>0</v>
      </c>
      <c r="K98" s="650">
        <f t="shared" si="8"/>
        <v>41283</v>
      </c>
    </row>
    <row r="99" spans="1:11" ht="18" customHeight="1" thickBot="1" x14ac:dyDescent="0.35">
      <c r="B99" s="636"/>
      <c r="C99" s="742"/>
      <c r="D99" s="742"/>
      <c r="E99" s="742"/>
      <c r="F99" s="655"/>
      <c r="G99" s="655"/>
      <c r="H99" s="655"/>
      <c r="I99" s="655"/>
      <c r="J99" s="655"/>
      <c r="K99" s="655"/>
    </row>
    <row r="100" spans="1:11" ht="42.75" customHeight="1" x14ac:dyDescent="0.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4300</v>
      </c>
      <c r="G102" s="646"/>
      <c r="H102" s="647">
        <v>150712</v>
      </c>
      <c r="I102" s="673">
        <v>100681.66839764015</v>
      </c>
      <c r="J102" s="647"/>
      <c r="K102" s="648">
        <v>251393.66839764017</v>
      </c>
    </row>
    <row r="103" spans="1:11" ht="18" customHeight="1" x14ac:dyDescent="0.3">
      <c r="A103" s="639" t="s">
        <v>132</v>
      </c>
      <c r="B103" s="1357" t="s">
        <v>62</v>
      </c>
      <c r="C103" s="1357"/>
      <c r="D103" s="742"/>
      <c r="E103" s="742"/>
      <c r="F103" s="646"/>
      <c r="G103" s="646"/>
      <c r="H103" s="647"/>
      <c r="I103" s="673">
        <v>0</v>
      </c>
      <c r="J103" s="647"/>
      <c r="K103" s="648">
        <v>0</v>
      </c>
    </row>
    <row r="104" spans="1:11" ht="18" customHeight="1" x14ac:dyDescent="0.3">
      <c r="A104" s="639" t="s">
        <v>128</v>
      </c>
      <c r="B104" s="1354"/>
      <c r="C104" s="1355"/>
      <c r="D104" s="1356"/>
      <c r="E104" s="742"/>
      <c r="F104" s="646"/>
      <c r="G104" s="646"/>
      <c r="H104" s="647"/>
      <c r="I104" s="673">
        <v>0</v>
      </c>
      <c r="J104" s="647"/>
      <c r="K104" s="648">
        <v>0</v>
      </c>
    </row>
    <row r="105" spans="1:11" ht="18" customHeight="1" x14ac:dyDescent="0.3">
      <c r="A105" s="639" t="s">
        <v>127</v>
      </c>
      <c r="B105" s="1354"/>
      <c r="C105" s="1355"/>
      <c r="D105" s="1356"/>
      <c r="E105" s="742"/>
      <c r="F105" s="646"/>
      <c r="G105" s="646"/>
      <c r="H105" s="647"/>
      <c r="I105" s="673">
        <v>0</v>
      </c>
      <c r="J105" s="647"/>
      <c r="K105" s="648">
        <v>0</v>
      </c>
    </row>
    <row r="106" spans="1:11" ht="18" customHeight="1" x14ac:dyDescent="0.3">
      <c r="A106" s="639" t="s">
        <v>129</v>
      </c>
      <c r="B106" s="1354"/>
      <c r="C106" s="1355"/>
      <c r="D106" s="1356"/>
      <c r="E106" s="742"/>
      <c r="F106" s="646"/>
      <c r="G106" s="646"/>
      <c r="H106" s="647"/>
      <c r="I106" s="673">
        <v>0</v>
      </c>
      <c r="J106" s="647"/>
      <c r="K106" s="648">
        <v>0</v>
      </c>
    </row>
    <row r="107" spans="1:11" ht="18" customHeight="1" x14ac:dyDescent="0.3">
      <c r="B107" s="636"/>
      <c r="C107" s="742"/>
      <c r="D107" s="742"/>
      <c r="E107" s="742"/>
      <c r="F107" s="742"/>
      <c r="G107" s="742"/>
      <c r="H107" s="742"/>
      <c r="I107" s="742"/>
      <c r="J107" s="742"/>
      <c r="K107" s="742"/>
    </row>
    <row r="108" spans="1:11" s="3" customFormat="1" ht="18" customHeight="1" x14ac:dyDescent="0.3">
      <c r="A108" s="639" t="s">
        <v>153</v>
      </c>
      <c r="B108" s="686" t="s">
        <v>154</v>
      </c>
      <c r="C108" s="742"/>
      <c r="D108" s="742"/>
      <c r="E108" s="636" t="s">
        <v>7</v>
      </c>
      <c r="F108" s="650">
        <f t="shared" ref="F108:K108" si="9">SUM(F102:F106)</f>
        <v>4300</v>
      </c>
      <c r="G108" s="650">
        <f t="shared" si="9"/>
        <v>0</v>
      </c>
      <c r="H108" s="648">
        <f t="shared" si="9"/>
        <v>150712</v>
      </c>
      <c r="I108" s="648">
        <f t="shared" si="9"/>
        <v>100681.66839764015</v>
      </c>
      <c r="J108" s="648">
        <f t="shared" si="9"/>
        <v>0</v>
      </c>
      <c r="K108" s="648">
        <f t="shared" si="9"/>
        <v>251393.66839764017</v>
      </c>
    </row>
    <row r="109" spans="1:11" s="3" customFormat="1" ht="18" customHeight="1" thickBot="1" x14ac:dyDescent="0.35">
      <c r="A109" s="643"/>
      <c r="B109" s="644"/>
      <c r="C109" s="645"/>
      <c r="D109" s="645"/>
      <c r="E109" s="645"/>
      <c r="F109" s="655"/>
      <c r="G109" s="655"/>
      <c r="H109" s="655"/>
      <c r="I109" s="655"/>
      <c r="J109" s="655"/>
      <c r="K109" s="655"/>
    </row>
    <row r="110" spans="1:11" s="3"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2085315</v>
      </c>
      <c r="G111" s="742"/>
      <c r="H111" s="742"/>
      <c r="I111" s="742"/>
      <c r="J111" s="742"/>
      <c r="K111" s="742"/>
    </row>
    <row r="112" spans="1:11" ht="18" customHeight="1" x14ac:dyDescent="0.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639" t="s">
        <v>171</v>
      </c>
      <c r="B114" s="635" t="s">
        <v>35</v>
      </c>
      <c r="C114" s="742"/>
      <c r="D114" s="742"/>
      <c r="E114" s="742"/>
      <c r="F114" s="656">
        <v>0.66800000000000004</v>
      </c>
      <c r="G114" s="742"/>
      <c r="H114" s="742"/>
      <c r="I114" s="742"/>
      <c r="J114" s="742"/>
      <c r="K114" s="742"/>
    </row>
    <row r="115" spans="1:11" ht="18" customHeight="1" x14ac:dyDescent="0.3">
      <c r="A115" s="639"/>
      <c r="B115" s="636"/>
      <c r="C115" s="742"/>
      <c r="D115" s="742"/>
      <c r="E115" s="742"/>
      <c r="F115" s="742"/>
      <c r="G115" s="742"/>
      <c r="H115" s="742"/>
      <c r="I115" s="742"/>
      <c r="J115" s="742"/>
      <c r="K115" s="742"/>
    </row>
    <row r="116" spans="1:11" ht="18" customHeight="1" x14ac:dyDescent="0.3">
      <c r="A116" s="639" t="s">
        <v>170</v>
      </c>
      <c r="B116" s="636" t="s">
        <v>16</v>
      </c>
      <c r="C116" s="742"/>
      <c r="D116" s="742"/>
      <c r="E116" s="742"/>
      <c r="F116" s="742"/>
      <c r="G116" s="742"/>
      <c r="H116" s="742"/>
      <c r="I116" s="742"/>
      <c r="J116" s="742"/>
      <c r="K116" s="742"/>
    </row>
    <row r="117" spans="1:11" ht="18" customHeight="1" x14ac:dyDescent="0.3">
      <c r="A117" s="639" t="s">
        <v>172</v>
      </c>
      <c r="B117" s="635" t="s">
        <v>17</v>
      </c>
      <c r="C117" s="742"/>
      <c r="D117" s="742"/>
      <c r="E117" s="742"/>
      <c r="F117" s="647">
        <v>418238555</v>
      </c>
      <c r="G117" s="742"/>
      <c r="H117" s="742"/>
      <c r="I117" s="742"/>
      <c r="J117" s="742"/>
      <c r="K117" s="742"/>
    </row>
    <row r="118" spans="1:11" ht="18" customHeight="1" x14ac:dyDescent="0.3">
      <c r="A118" s="639" t="s">
        <v>173</v>
      </c>
      <c r="B118" s="742" t="s">
        <v>18</v>
      </c>
      <c r="C118" s="742"/>
      <c r="D118" s="742"/>
      <c r="E118" s="742"/>
      <c r="F118" s="647">
        <v>18203936</v>
      </c>
      <c r="G118" s="742"/>
      <c r="H118" s="742"/>
      <c r="I118" s="742"/>
      <c r="J118" s="742"/>
      <c r="K118" s="742"/>
    </row>
    <row r="119" spans="1:11" ht="18" customHeight="1" x14ac:dyDescent="0.3">
      <c r="A119" s="639" t="s">
        <v>174</v>
      </c>
      <c r="B119" s="636" t="s">
        <v>19</v>
      </c>
      <c r="C119" s="742"/>
      <c r="D119" s="742"/>
      <c r="E119" s="742"/>
      <c r="F119" s="649">
        <f>SUM(F117:F118)</f>
        <v>436442491</v>
      </c>
      <c r="G119" s="742"/>
      <c r="H119" s="742"/>
      <c r="I119" s="742"/>
      <c r="J119" s="742"/>
      <c r="K119" s="742"/>
    </row>
    <row r="120" spans="1:11" ht="18" customHeight="1" x14ac:dyDescent="0.3">
      <c r="A120" s="639"/>
      <c r="B120" s="636"/>
      <c r="C120" s="742"/>
      <c r="D120" s="742"/>
      <c r="E120" s="742"/>
      <c r="F120" s="742"/>
      <c r="G120" s="742"/>
      <c r="H120" s="742"/>
      <c r="I120" s="742"/>
      <c r="J120" s="742"/>
      <c r="K120" s="742"/>
    </row>
    <row r="121" spans="1:11" ht="18" customHeight="1" x14ac:dyDescent="0.3">
      <c r="A121" s="639" t="s">
        <v>167</v>
      </c>
      <c r="B121" s="636" t="s">
        <v>36</v>
      </c>
      <c r="C121" s="742"/>
      <c r="D121" s="742"/>
      <c r="E121" s="742"/>
      <c r="F121" s="647">
        <v>419396862</v>
      </c>
      <c r="G121" s="742"/>
      <c r="H121" s="742"/>
      <c r="I121" s="742"/>
      <c r="J121" s="742"/>
      <c r="K121" s="742"/>
    </row>
    <row r="122" spans="1:11" ht="18" customHeight="1" x14ac:dyDescent="0.3">
      <c r="A122" s="639"/>
      <c r="B122" s="742"/>
      <c r="C122" s="742"/>
      <c r="D122" s="742"/>
      <c r="E122" s="742"/>
      <c r="F122" s="742"/>
      <c r="G122" s="742"/>
      <c r="H122" s="742"/>
      <c r="I122" s="742"/>
      <c r="J122" s="742"/>
      <c r="K122" s="742"/>
    </row>
    <row r="123" spans="1:11" ht="18" customHeight="1" x14ac:dyDescent="0.3">
      <c r="A123" s="639" t="s">
        <v>175</v>
      </c>
      <c r="B123" s="636" t="s">
        <v>20</v>
      </c>
      <c r="C123" s="742"/>
      <c r="D123" s="742"/>
      <c r="E123" s="742"/>
      <c r="F123" s="647">
        <f>+F119-F121</f>
        <v>17045629</v>
      </c>
      <c r="G123" s="742"/>
      <c r="H123" s="742"/>
      <c r="I123" s="742"/>
      <c r="J123" s="742"/>
      <c r="K123" s="742"/>
    </row>
    <row r="124" spans="1:11" ht="18" customHeight="1" x14ac:dyDescent="0.3">
      <c r="A124" s="639"/>
      <c r="B124" s="742"/>
      <c r="C124" s="742"/>
      <c r="D124" s="742"/>
      <c r="E124" s="742"/>
      <c r="F124" s="742"/>
      <c r="G124" s="742"/>
      <c r="H124" s="742"/>
      <c r="I124" s="742"/>
      <c r="J124" s="742"/>
      <c r="K124" s="742"/>
    </row>
    <row r="125" spans="1:11" ht="18" customHeight="1" x14ac:dyDescent="0.3">
      <c r="A125" s="639" t="s">
        <v>176</v>
      </c>
      <c r="B125" s="636" t="s">
        <v>21</v>
      </c>
      <c r="C125" s="742"/>
      <c r="D125" s="742"/>
      <c r="E125" s="742"/>
      <c r="F125" s="647">
        <v>14355571</v>
      </c>
      <c r="G125" s="742"/>
      <c r="H125" s="742"/>
      <c r="I125" s="742"/>
      <c r="J125" s="742"/>
      <c r="K125" s="742"/>
    </row>
    <row r="126" spans="1:11" ht="18" customHeight="1" x14ac:dyDescent="0.3">
      <c r="A126" s="639"/>
      <c r="B126" s="742"/>
      <c r="C126" s="742"/>
      <c r="D126" s="742"/>
      <c r="E126" s="742"/>
      <c r="F126" s="742"/>
      <c r="G126" s="742"/>
      <c r="H126" s="742"/>
      <c r="I126" s="742"/>
      <c r="J126" s="742"/>
      <c r="K126" s="742"/>
    </row>
    <row r="127" spans="1:11" ht="18" customHeight="1" x14ac:dyDescent="0.3">
      <c r="A127" s="639" t="s">
        <v>177</v>
      </c>
      <c r="B127" s="636" t="s">
        <v>22</v>
      </c>
      <c r="C127" s="742"/>
      <c r="D127" s="742"/>
      <c r="E127" s="742"/>
      <c r="F127" s="647">
        <f>+F123+F125</f>
        <v>31401200</v>
      </c>
      <c r="G127" s="742"/>
      <c r="H127" s="742"/>
      <c r="I127" s="742"/>
      <c r="J127" s="742"/>
      <c r="K127" s="742"/>
    </row>
    <row r="128" spans="1:11" ht="18" customHeight="1" x14ac:dyDescent="0.3">
      <c r="A128" s="639"/>
      <c r="B128" s="742"/>
      <c r="C128" s="742"/>
      <c r="D128" s="742"/>
      <c r="E128" s="742"/>
      <c r="F128" s="742"/>
      <c r="G128" s="742"/>
      <c r="H128" s="742"/>
      <c r="I128" s="742"/>
      <c r="J128" s="742"/>
      <c r="K128" s="742"/>
    </row>
    <row r="129" spans="1:12" ht="42.75" customHeight="1" x14ac:dyDescent="0.3">
      <c r="B129" s="742"/>
      <c r="C129" s="742"/>
      <c r="D129" s="742"/>
      <c r="E129" s="742"/>
      <c r="F129" s="641" t="s">
        <v>9</v>
      </c>
      <c r="G129" s="641" t="s">
        <v>37</v>
      </c>
      <c r="H129" s="641" t="s">
        <v>29</v>
      </c>
      <c r="I129" s="641" t="s">
        <v>30</v>
      </c>
      <c r="J129" s="641" t="s">
        <v>33</v>
      </c>
      <c r="K129" s="641" t="s">
        <v>34</v>
      </c>
    </row>
    <row r="130" spans="1:12" ht="18" customHeight="1" x14ac:dyDescent="0.3">
      <c r="A130" s="639" t="s">
        <v>157</v>
      </c>
      <c r="B130" s="636" t="s">
        <v>23</v>
      </c>
      <c r="C130" s="742"/>
      <c r="D130" s="742"/>
      <c r="E130" s="742"/>
      <c r="F130" s="742"/>
      <c r="G130" s="742"/>
      <c r="H130" s="742"/>
      <c r="I130" s="742"/>
      <c r="J130" s="742"/>
      <c r="K130" s="742"/>
    </row>
    <row r="131" spans="1:12" ht="18" customHeight="1" x14ac:dyDescent="0.3">
      <c r="A131" s="639" t="s">
        <v>158</v>
      </c>
      <c r="B131" s="742" t="s">
        <v>24</v>
      </c>
      <c r="C131" s="742"/>
      <c r="D131" s="742"/>
      <c r="E131" s="742"/>
      <c r="F131" s="646"/>
      <c r="G131" s="646"/>
      <c r="H131" s="647"/>
      <c r="I131" s="673">
        <v>0</v>
      </c>
      <c r="J131" s="647"/>
      <c r="K131" s="648">
        <f>(H131+I131)-J131</f>
        <v>0</v>
      </c>
    </row>
    <row r="132" spans="1:12" ht="18" customHeight="1" x14ac:dyDescent="0.3">
      <c r="A132" s="639" t="s">
        <v>159</v>
      </c>
      <c r="B132" s="742" t="s">
        <v>25</v>
      </c>
      <c r="C132" s="742"/>
      <c r="D132" s="742"/>
      <c r="E132" s="742"/>
      <c r="F132" s="646"/>
      <c r="G132" s="646"/>
      <c r="H132" s="647"/>
      <c r="I132" s="673">
        <v>0</v>
      </c>
      <c r="J132" s="647"/>
      <c r="K132" s="648">
        <f>(H132+I132)-J132</f>
        <v>0</v>
      </c>
    </row>
    <row r="133" spans="1:12" ht="18" customHeight="1" x14ac:dyDescent="0.3">
      <c r="A133" s="639" t="s">
        <v>160</v>
      </c>
      <c r="B133" s="1351"/>
      <c r="C133" s="1352"/>
      <c r="D133" s="1353"/>
      <c r="E133" s="742"/>
      <c r="F133" s="646"/>
      <c r="G133" s="646"/>
      <c r="H133" s="647"/>
      <c r="I133" s="673">
        <v>0</v>
      </c>
      <c r="J133" s="647"/>
      <c r="K133" s="648">
        <f>(H133+I133)-J133</f>
        <v>0</v>
      </c>
    </row>
    <row r="134" spans="1:12" ht="18" customHeight="1" x14ac:dyDescent="0.3">
      <c r="A134" s="639" t="s">
        <v>161</v>
      </c>
      <c r="B134" s="1351"/>
      <c r="C134" s="1352"/>
      <c r="D134" s="1353"/>
      <c r="E134" s="742"/>
      <c r="F134" s="646"/>
      <c r="G134" s="646"/>
      <c r="H134" s="647"/>
      <c r="I134" s="673">
        <v>0</v>
      </c>
      <c r="J134" s="647"/>
      <c r="K134" s="648">
        <f>(H134+I134)-J134</f>
        <v>0</v>
      </c>
    </row>
    <row r="135" spans="1:12" ht="18" customHeight="1" x14ac:dyDescent="0.3">
      <c r="A135" s="639" t="s">
        <v>162</v>
      </c>
      <c r="B135" s="1351"/>
      <c r="C135" s="1352"/>
      <c r="D135" s="1353"/>
      <c r="E135" s="742"/>
      <c r="F135" s="646"/>
      <c r="G135" s="646"/>
      <c r="H135" s="647"/>
      <c r="I135" s="673">
        <v>0</v>
      </c>
      <c r="J135" s="647"/>
      <c r="K135" s="648">
        <f>(H135+I135)-J135</f>
        <v>0</v>
      </c>
    </row>
    <row r="136" spans="1:12" ht="18" customHeight="1" x14ac:dyDescent="0.3">
      <c r="A136" s="639"/>
      <c r="B136" s="742"/>
      <c r="C136" s="742"/>
      <c r="D136" s="742"/>
      <c r="E136" s="742"/>
      <c r="F136" s="742"/>
      <c r="G136" s="742"/>
      <c r="H136" s="742"/>
      <c r="I136" s="742"/>
      <c r="J136" s="742"/>
      <c r="K136" s="742"/>
    </row>
    <row r="137" spans="1:12" ht="18" customHeight="1" x14ac:dyDescent="0.3">
      <c r="A137" s="639" t="s">
        <v>163</v>
      </c>
      <c r="B137" s="636" t="s">
        <v>27</v>
      </c>
      <c r="C137" s="742"/>
      <c r="D137" s="742"/>
      <c r="E137" s="742"/>
      <c r="F137" s="650">
        <f t="shared" ref="F137:K137" si="10">SUM(F131:F135)</f>
        <v>0</v>
      </c>
      <c r="G137" s="650">
        <f t="shared" si="10"/>
        <v>0</v>
      </c>
      <c r="H137" s="648">
        <f t="shared" si="10"/>
        <v>0</v>
      </c>
      <c r="I137" s="648">
        <f t="shared" si="10"/>
        <v>0</v>
      </c>
      <c r="J137" s="648">
        <f t="shared" si="10"/>
        <v>0</v>
      </c>
      <c r="K137" s="648">
        <f t="shared" si="10"/>
        <v>0</v>
      </c>
    </row>
    <row r="138" spans="1:12" ht="18" customHeight="1" x14ac:dyDescent="0.25">
      <c r="B138" s="742"/>
      <c r="C138" s="742"/>
      <c r="D138" s="742"/>
      <c r="E138" s="742"/>
      <c r="F138" s="742"/>
      <c r="G138" s="742"/>
      <c r="H138" s="742"/>
      <c r="I138" s="742"/>
      <c r="J138" s="742"/>
      <c r="K138" s="742"/>
    </row>
    <row r="139" spans="1:12" ht="42.75" customHeight="1" x14ac:dyDescent="0.3">
      <c r="B139" s="742"/>
      <c r="C139" s="742"/>
      <c r="D139" s="742"/>
      <c r="E139" s="742"/>
      <c r="F139" s="641" t="s">
        <v>9</v>
      </c>
      <c r="G139" s="641" t="s">
        <v>37</v>
      </c>
      <c r="H139" s="641" t="s">
        <v>29</v>
      </c>
      <c r="I139" s="641" t="s">
        <v>30</v>
      </c>
      <c r="J139" s="641" t="s">
        <v>33</v>
      </c>
      <c r="K139" s="641" t="s">
        <v>34</v>
      </c>
    </row>
    <row r="140" spans="1:12" ht="18" customHeight="1" x14ac:dyDescent="0.3">
      <c r="A140" s="639" t="s">
        <v>166</v>
      </c>
      <c r="B140" s="636" t="s">
        <v>26</v>
      </c>
      <c r="C140" s="742"/>
      <c r="D140" s="742"/>
      <c r="E140" s="742"/>
      <c r="F140" s="742"/>
      <c r="G140" s="742"/>
      <c r="H140" s="742"/>
      <c r="I140" s="742"/>
      <c r="J140" s="742"/>
      <c r="K140" s="742"/>
    </row>
    <row r="141" spans="1:12" ht="18" customHeight="1" x14ac:dyDescent="0.3">
      <c r="A141" s="639" t="s">
        <v>137</v>
      </c>
      <c r="B141" s="636" t="s">
        <v>64</v>
      </c>
      <c r="C141" s="742"/>
      <c r="D141" s="742"/>
      <c r="E141" s="742"/>
      <c r="F141" s="664">
        <v>4900.6499999999996</v>
      </c>
      <c r="G141" s="664">
        <v>97029</v>
      </c>
      <c r="H141" s="664">
        <v>286222.02</v>
      </c>
      <c r="I141" s="664">
        <v>191207.80366356182</v>
      </c>
      <c r="J141" s="664">
        <v>0</v>
      </c>
      <c r="K141" s="664">
        <v>477429.82366356184</v>
      </c>
      <c r="L141" s="829"/>
    </row>
    <row r="142" spans="1:12" ht="18" customHeight="1" x14ac:dyDescent="0.3">
      <c r="A142" s="639" t="s">
        <v>142</v>
      </c>
      <c r="B142" s="636" t="s">
        <v>65</v>
      </c>
      <c r="C142" s="742"/>
      <c r="D142" s="742"/>
      <c r="E142" s="742"/>
      <c r="F142" s="664">
        <v>179867.15</v>
      </c>
      <c r="G142" s="664">
        <v>0</v>
      </c>
      <c r="H142" s="664">
        <v>5559892.1949351262</v>
      </c>
      <c r="I142" s="664">
        <v>0</v>
      </c>
      <c r="J142" s="664">
        <v>0</v>
      </c>
      <c r="K142" s="664">
        <v>5559892.1949351262</v>
      </c>
    </row>
    <row r="143" spans="1:12" ht="18" customHeight="1" x14ac:dyDescent="0.3">
      <c r="A143" s="639" t="s">
        <v>144</v>
      </c>
      <c r="B143" s="636" t="s">
        <v>66</v>
      </c>
      <c r="C143" s="742"/>
      <c r="D143" s="742"/>
      <c r="E143" s="742"/>
      <c r="F143" s="664">
        <v>702792.14</v>
      </c>
      <c r="G143" s="664">
        <v>147267.78</v>
      </c>
      <c r="H143" s="664">
        <v>52157173.464012504</v>
      </c>
      <c r="I143" s="664">
        <v>0</v>
      </c>
      <c r="J143" s="664">
        <v>36751185</v>
      </c>
      <c r="K143" s="664">
        <v>15405988.4640125</v>
      </c>
    </row>
    <row r="144" spans="1:12" ht="18" customHeight="1" x14ac:dyDescent="0.3">
      <c r="A144" s="639" t="s">
        <v>146</v>
      </c>
      <c r="B144" s="636" t="s">
        <v>67</v>
      </c>
      <c r="C144" s="742"/>
      <c r="D144" s="742"/>
      <c r="E144" s="742"/>
      <c r="F144" s="664">
        <v>0</v>
      </c>
      <c r="G144" s="664">
        <v>0</v>
      </c>
      <c r="H144" s="664">
        <v>381579</v>
      </c>
      <c r="I144" s="664">
        <v>0</v>
      </c>
      <c r="J144" s="664">
        <v>0</v>
      </c>
      <c r="K144" s="664">
        <v>381579</v>
      </c>
    </row>
    <row r="145" spans="1:11" ht="18" customHeight="1" x14ac:dyDescent="0.3">
      <c r="A145" s="639" t="s">
        <v>148</v>
      </c>
      <c r="B145" s="636" t="s">
        <v>68</v>
      </c>
      <c r="C145" s="742"/>
      <c r="D145" s="742"/>
      <c r="E145" s="742"/>
      <c r="F145" s="664">
        <v>120</v>
      </c>
      <c r="G145" s="664">
        <v>534</v>
      </c>
      <c r="H145" s="664">
        <v>26296.799999999999</v>
      </c>
      <c r="I145" s="664">
        <v>0</v>
      </c>
      <c r="J145" s="664">
        <v>0</v>
      </c>
      <c r="K145" s="664">
        <v>26296.799999999999</v>
      </c>
    </row>
    <row r="146" spans="1:11" ht="18" customHeight="1" x14ac:dyDescent="0.3">
      <c r="A146" s="639" t="s">
        <v>150</v>
      </c>
      <c r="B146" s="636" t="s">
        <v>69</v>
      </c>
      <c r="C146" s="742"/>
      <c r="D146" s="742"/>
      <c r="E146" s="742"/>
      <c r="F146" s="664">
        <v>0</v>
      </c>
      <c r="G146" s="664">
        <v>0</v>
      </c>
      <c r="H146" s="664">
        <v>24750</v>
      </c>
      <c r="I146" s="664">
        <v>16533.993927766827</v>
      </c>
      <c r="J146" s="664">
        <v>0</v>
      </c>
      <c r="K146" s="664">
        <v>41283.993927766831</v>
      </c>
    </row>
    <row r="147" spans="1:11" ht="18" customHeight="1" x14ac:dyDescent="0.3">
      <c r="A147" s="639" t="s">
        <v>153</v>
      </c>
      <c r="B147" s="636" t="s">
        <v>61</v>
      </c>
      <c r="C147" s="742"/>
      <c r="D147" s="742"/>
      <c r="E147" s="742"/>
      <c r="F147" s="650">
        <v>4300</v>
      </c>
      <c r="G147" s="650">
        <v>0</v>
      </c>
      <c r="H147" s="650">
        <v>150712</v>
      </c>
      <c r="I147" s="650">
        <v>100681.66839764015</v>
      </c>
      <c r="J147" s="650">
        <v>0</v>
      </c>
      <c r="K147" s="650">
        <v>251393.66839764017</v>
      </c>
    </row>
    <row r="148" spans="1:11" ht="18" customHeight="1" x14ac:dyDescent="0.3">
      <c r="A148" s="639" t="s">
        <v>155</v>
      </c>
      <c r="B148" s="636" t="s">
        <v>70</v>
      </c>
      <c r="C148" s="742"/>
      <c r="D148" s="742"/>
      <c r="E148" s="742"/>
      <c r="F148" s="665" t="s">
        <v>73</v>
      </c>
      <c r="G148" s="665" t="s">
        <v>73</v>
      </c>
      <c r="H148" s="666" t="s">
        <v>73</v>
      </c>
      <c r="I148" s="666" t="s">
        <v>73</v>
      </c>
      <c r="J148" s="666" t="s">
        <v>73</v>
      </c>
      <c r="K148" s="660">
        <v>2085315</v>
      </c>
    </row>
    <row r="149" spans="1:11" ht="18" customHeight="1" x14ac:dyDescent="0.3">
      <c r="A149" s="639" t="s">
        <v>163</v>
      </c>
      <c r="B149" s="636" t="s">
        <v>71</v>
      </c>
      <c r="C149" s="742"/>
      <c r="D149" s="742"/>
      <c r="E149" s="742"/>
      <c r="F149" s="650">
        <v>0</v>
      </c>
      <c r="G149" s="650">
        <v>0</v>
      </c>
      <c r="H149" s="650">
        <v>0</v>
      </c>
      <c r="I149" s="650">
        <v>0</v>
      </c>
      <c r="J149" s="650">
        <v>0</v>
      </c>
      <c r="K149" s="650">
        <v>0</v>
      </c>
    </row>
    <row r="150" spans="1:11" ht="18" customHeight="1" x14ac:dyDescent="0.3">
      <c r="A150" s="639" t="s">
        <v>185</v>
      </c>
      <c r="B150" s="636" t="s">
        <v>186</v>
      </c>
      <c r="C150" s="742"/>
      <c r="D150" s="742"/>
      <c r="E150" s="742"/>
      <c r="F150" s="665" t="s">
        <v>73</v>
      </c>
      <c r="G150" s="665" t="s">
        <v>73</v>
      </c>
      <c r="H150" s="650">
        <v>10011168</v>
      </c>
      <c r="I150" s="650">
        <v>0</v>
      </c>
      <c r="J150" s="650">
        <v>8481413</v>
      </c>
      <c r="K150" s="650">
        <v>1529755</v>
      </c>
    </row>
    <row r="151" spans="1:11" ht="18" customHeight="1" x14ac:dyDescent="0.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11">SUM(F141:F150)</f>
        <v>891979.94</v>
      </c>
      <c r="G152" s="672">
        <f t="shared" si="11"/>
        <v>244830.78</v>
      </c>
      <c r="H152" s="672">
        <f t="shared" si="11"/>
        <v>68597793.478947625</v>
      </c>
      <c r="I152" s="672">
        <f t="shared" si="11"/>
        <v>308423.46598896879</v>
      </c>
      <c r="J152" s="672">
        <f t="shared" si="11"/>
        <v>45232598</v>
      </c>
      <c r="K152" s="672">
        <f t="shared" si="11"/>
        <v>25758933.944936592</v>
      </c>
    </row>
    <row r="153" spans="1:11" ht="18" customHeight="1" x14ac:dyDescent="0.25">
      <c r="B153" s="742"/>
      <c r="C153" s="742"/>
      <c r="D153" s="742"/>
      <c r="E153" s="742"/>
      <c r="F153" s="742"/>
      <c r="G153" s="742"/>
      <c r="H153" s="742"/>
      <c r="I153" s="742"/>
      <c r="J153" s="742"/>
      <c r="K153" s="742"/>
    </row>
    <row r="154" spans="1:11" ht="18" customHeight="1" x14ac:dyDescent="0.3">
      <c r="A154" s="639" t="s">
        <v>168</v>
      </c>
      <c r="B154" s="636" t="s">
        <v>28</v>
      </c>
      <c r="C154" s="742"/>
      <c r="D154" s="742"/>
      <c r="E154" s="742"/>
      <c r="F154" s="687">
        <f>K152/F121</f>
        <v>6.1418995416652862E-2</v>
      </c>
      <c r="G154" s="742"/>
      <c r="H154" s="742"/>
      <c r="I154" s="742"/>
      <c r="J154" s="742"/>
      <c r="K154" s="742"/>
    </row>
    <row r="155" spans="1:11" ht="18" customHeight="1" x14ac:dyDescent="0.3">
      <c r="A155" s="639" t="s">
        <v>169</v>
      </c>
      <c r="B155" s="636" t="s">
        <v>72</v>
      </c>
      <c r="C155" s="742"/>
      <c r="D155" s="742"/>
      <c r="E155" s="742"/>
      <c r="F155" s="687">
        <f>K152/F127</f>
        <v>0.82031686511778501</v>
      </c>
      <c r="G155" s="636"/>
      <c r="H155" s="742"/>
      <c r="I155" s="742"/>
      <c r="J155" s="742"/>
      <c r="K155" s="742"/>
    </row>
    <row r="156" spans="1:11" ht="18" customHeight="1" x14ac:dyDescent="0.3">
      <c r="B156" s="469"/>
      <c r="C156" s="469"/>
      <c r="D156" s="469"/>
      <c r="E156" s="469"/>
      <c r="F156" s="469"/>
      <c r="G156" s="481"/>
      <c r="H156" s="469"/>
      <c r="I156" s="469"/>
      <c r="J156" s="469"/>
      <c r="K156" s="469"/>
    </row>
  </sheetData>
  <sheetProtection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95:D95"/>
    <mergeCell ref="B57:D57"/>
    <mergeCell ref="B94:D94"/>
    <mergeCell ref="B52:C52"/>
    <mergeCell ref="B90:C90"/>
    <mergeCell ref="B53:D53"/>
    <mergeCell ref="B55:D55"/>
    <mergeCell ref="B56:D56"/>
    <mergeCell ref="B59:D59"/>
    <mergeCell ref="B62:D62"/>
    <mergeCell ref="B103:C103"/>
    <mergeCell ref="B96:D96"/>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K156"/>
  <sheetViews>
    <sheetView showGridLines="0" zoomScale="85" zoomScaleNormal="85" zoomScaleSheetLayoutView="80" workbookViewId="0"/>
  </sheetViews>
  <sheetFormatPr defaultRowHeight="18" customHeight="1" x14ac:dyDescent="0.25"/>
  <cols>
    <col min="1" max="1" width="8.26953125" style="633" customWidth="1"/>
    <col min="2" max="2" width="55.453125" bestFit="1" customWidth="1"/>
    <col min="3" max="3" width="9.54296875" customWidth="1"/>
    <col min="5" max="5" width="12.453125" customWidth="1"/>
    <col min="6" max="6" width="18.54296875" customWidth="1"/>
    <col min="7" max="7" width="23.54296875" customWidth="1"/>
    <col min="8" max="8" width="17.26953125" customWidth="1"/>
    <col min="9" max="9" width="21.26953125" customWidth="1"/>
    <col min="10" max="10" width="19.7265625" customWidth="1"/>
    <col min="11" max="11" width="17.54296875" customWidth="1"/>
  </cols>
  <sheetData>
    <row r="1" spans="1:11" ht="18" customHeight="1" x14ac:dyDescent="0.3">
      <c r="B1" s="742"/>
      <c r="C1" s="888"/>
      <c r="D1" s="889"/>
      <c r="E1" s="888"/>
      <c r="F1" s="888"/>
      <c r="G1" s="888"/>
      <c r="H1" s="888"/>
      <c r="I1" s="888"/>
      <c r="J1" s="888"/>
      <c r="K1" s="888"/>
    </row>
    <row r="2" spans="1:11" ht="18" customHeight="1" x14ac:dyDescent="0.35">
      <c r="B2" s="742"/>
      <c r="C2" s="742"/>
      <c r="D2" s="1360" t="s">
        <v>700</v>
      </c>
      <c r="E2" s="1360"/>
      <c r="F2" s="1360"/>
      <c r="G2" s="1360"/>
      <c r="H2" s="1360"/>
      <c r="I2" s="742"/>
      <c r="J2" s="742"/>
      <c r="K2" s="742"/>
    </row>
    <row r="3" spans="1:11" ht="18" customHeight="1" x14ac:dyDescent="0.3">
      <c r="B3" s="636" t="s">
        <v>0</v>
      </c>
      <c r="C3" s="742"/>
      <c r="D3" s="742"/>
      <c r="E3" s="742"/>
      <c r="F3" s="742"/>
      <c r="G3" s="742"/>
      <c r="H3" s="742"/>
      <c r="I3" s="742"/>
      <c r="J3" s="742"/>
      <c r="K3" s="742"/>
    </row>
    <row r="4" spans="1:11" ht="18" customHeight="1" x14ac:dyDescent="0.25">
      <c r="B4" s="742"/>
      <c r="C4" s="742"/>
      <c r="D4" s="742"/>
      <c r="E4" s="742"/>
      <c r="F4" s="742"/>
      <c r="G4" s="742"/>
      <c r="H4" s="742"/>
      <c r="I4" s="742"/>
      <c r="J4" s="742"/>
      <c r="K4" s="742"/>
    </row>
    <row r="5" spans="1:11" ht="18" customHeight="1" x14ac:dyDescent="0.3">
      <c r="B5" s="733" t="s">
        <v>40</v>
      </c>
      <c r="C5" s="1361" t="s">
        <v>648</v>
      </c>
      <c r="D5" s="1362"/>
      <c r="E5" s="1362"/>
      <c r="F5" s="1362"/>
      <c r="G5" s="1364"/>
      <c r="H5" s="742"/>
      <c r="I5" s="742"/>
      <c r="J5" s="742"/>
      <c r="K5" s="742"/>
    </row>
    <row r="6" spans="1:11" ht="18" customHeight="1" x14ac:dyDescent="0.3">
      <c r="B6" s="733" t="s">
        <v>3</v>
      </c>
      <c r="C6" s="1365">
        <v>210045</v>
      </c>
      <c r="D6" s="1366"/>
      <c r="E6" s="1366"/>
      <c r="F6" s="1366"/>
      <c r="G6" s="1367"/>
      <c r="H6" s="742"/>
      <c r="I6" s="742"/>
      <c r="J6" s="742"/>
      <c r="K6" s="742"/>
    </row>
    <row r="7" spans="1:11" ht="18" customHeight="1" x14ac:dyDescent="0.3">
      <c r="B7" s="733" t="s">
        <v>4</v>
      </c>
      <c r="C7" s="1368">
        <v>300</v>
      </c>
      <c r="D7" s="1369"/>
      <c r="E7" s="1369"/>
      <c r="F7" s="1369"/>
      <c r="G7" s="1370"/>
      <c r="H7" s="742"/>
      <c r="I7" s="742"/>
      <c r="J7" s="742"/>
      <c r="K7" s="742"/>
    </row>
    <row r="8" spans="1:11" ht="18" customHeight="1" x14ac:dyDescent="0.25">
      <c r="B8" s="742"/>
      <c r="C8" s="742"/>
      <c r="D8" s="742"/>
      <c r="E8" s="742"/>
      <c r="F8" s="742"/>
      <c r="G8" s="742"/>
      <c r="H8" s="742"/>
      <c r="I8" s="742"/>
      <c r="J8" s="742"/>
      <c r="K8" s="742"/>
    </row>
    <row r="9" spans="1:11" ht="18" customHeight="1" x14ac:dyDescent="0.3">
      <c r="B9" s="733" t="s">
        <v>1</v>
      </c>
      <c r="C9" s="1361" t="s">
        <v>825</v>
      </c>
      <c r="D9" s="1362"/>
      <c r="E9" s="1362"/>
      <c r="F9" s="1362"/>
      <c r="G9" s="1364"/>
      <c r="H9" s="742"/>
      <c r="I9" s="742"/>
      <c r="J9" s="742"/>
      <c r="K9" s="742"/>
    </row>
    <row r="10" spans="1:11" ht="18" customHeight="1" x14ac:dyDescent="0.3">
      <c r="B10" s="733" t="s">
        <v>2</v>
      </c>
      <c r="C10" s="1371" t="s">
        <v>826</v>
      </c>
      <c r="D10" s="1372"/>
      <c r="E10" s="1372"/>
      <c r="F10" s="1372"/>
      <c r="G10" s="1373"/>
      <c r="H10" s="742"/>
      <c r="I10" s="742"/>
      <c r="J10" s="742"/>
      <c r="K10" s="742"/>
    </row>
    <row r="11" spans="1:11" ht="18" customHeight="1" x14ac:dyDescent="0.3">
      <c r="B11" s="733" t="s">
        <v>32</v>
      </c>
      <c r="C11" s="1361" t="s">
        <v>827</v>
      </c>
      <c r="D11" s="1362"/>
      <c r="E11" s="1362"/>
      <c r="F11" s="1362"/>
      <c r="G11" s="1362"/>
      <c r="H11" s="742"/>
      <c r="I11" s="742"/>
      <c r="J11" s="742"/>
      <c r="K11" s="742"/>
    </row>
    <row r="12" spans="1:11" ht="18" customHeight="1" x14ac:dyDescent="0.3">
      <c r="B12" s="733"/>
      <c r="C12" s="733"/>
      <c r="D12" s="733"/>
      <c r="E12" s="733"/>
      <c r="F12" s="733"/>
      <c r="G12" s="733"/>
      <c r="H12" s="742"/>
      <c r="I12" s="742"/>
      <c r="J12" s="742"/>
      <c r="K12" s="742"/>
    </row>
    <row r="13" spans="1:11" ht="24.65" customHeight="1" x14ac:dyDescent="0.25">
      <c r="B13" s="1363"/>
      <c r="C13" s="1363"/>
      <c r="D13" s="1363"/>
      <c r="E13" s="1363"/>
      <c r="F13" s="1363"/>
      <c r="G13" s="1363"/>
      <c r="H13" s="1363"/>
      <c r="I13" s="888"/>
      <c r="J13" s="742"/>
      <c r="K13" s="742"/>
    </row>
    <row r="14" spans="1:11" ht="18" customHeight="1" x14ac:dyDescent="0.3">
      <c r="B14" s="640"/>
      <c r="C14" s="742"/>
      <c r="D14" s="742"/>
      <c r="E14" s="742"/>
      <c r="F14" s="742"/>
      <c r="G14" s="742"/>
      <c r="H14" s="742"/>
      <c r="I14" s="742"/>
      <c r="J14" s="742"/>
      <c r="K14" s="742"/>
    </row>
    <row r="15" spans="1:11" ht="18" customHeight="1" x14ac:dyDescent="0.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319190</v>
      </c>
      <c r="I18" s="673">
        <v>0</v>
      </c>
      <c r="J18" s="647">
        <v>269779</v>
      </c>
      <c r="K18" s="648">
        <f>(H18+I18)-J18</f>
        <v>49411</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2.5</v>
      </c>
      <c r="G21" s="646">
        <v>33</v>
      </c>
      <c r="H21" s="647">
        <f>38.66*F21</f>
        <v>96.649999999999991</v>
      </c>
      <c r="I21" s="673">
        <f>H21*F$114</f>
        <v>75.870249999999999</v>
      </c>
      <c r="J21" s="647">
        <v>0</v>
      </c>
      <c r="K21" s="648">
        <f t="shared" ref="K21:K34" si="0">(H21+I21)-J21</f>
        <v>172.52024999999998</v>
      </c>
    </row>
    <row r="22" spans="1:11" ht="18" customHeight="1" x14ac:dyDescent="0.3">
      <c r="A22" s="639" t="s">
        <v>76</v>
      </c>
      <c r="B22" s="742" t="s">
        <v>6</v>
      </c>
      <c r="C22" s="742"/>
      <c r="D22" s="742"/>
      <c r="E22" s="742"/>
      <c r="F22" s="646"/>
      <c r="G22" s="646"/>
      <c r="H22" s="647"/>
      <c r="I22" s="673">
        <f>H22*F$114</f>
        <v>0</v>
      </c>
      <c r="J22" s="647"/>
      <c r="K22" s="648">
        <f t="shared" si="0"/>
        <v>0</v>
      </c>
    </row>
    <row r="23" spans="1:11" ht="18" customHeight="1" x14ac:dyDescent="0.3">
      <c r="A23" s="639" t="s">
        <v>77</v>
      </c>
      <c r="B23" s="742" t="s">
        <v>43</v>
      </c>
      <c r="C23" s="742"/>
      <c r="D23" s="742"/>
      <c r="E23" s="742"/>
      <c r="F23" s="646"/>
      <c r="G23" s="646"/>
      <c r="H23" s="647"/>
      <c r="I23" s="673">
        <f t="shared" ref="I23:I34" si="1">H23*F$114</f>
        <v>0</v>
      </c>
      <c r="J23" s="647"/>
      <c r="K23" s="648">
        <f t="shared" si="0"/>
        <v>0</v>
      </c>
    </row>
    <row r="24" spans="1:11" ht="18" customHeight="1" x14ac:dyDescent="0.3">
      <c r="A24" s="639" t="s">
        <v>78</v>
      </c>
      <c r="B24" s="742" t="s">
        <v>44</v>
      </c>
      <c r="C24" s="742"/>
      <c r="D24" s="742"/>
      <c r="E24" s="742"/>
      <c r="F24" s="646"/>
      <c r="G24" s="646"/>
      <c r="H24" s="647"/>
      <c r="I24" s="673">
        <f t="shared" si="1"/>
        <v>0</v>
      </c>
      <c r="J24" s="647"/>
      <c r="K24" s="648">
        <f t="shared" si="0"/>
        <v>0</v>
      </c>
    </row>
    <row r="25" spans="1:11" ht="18" customHeight="1" x14ac:dyDescent="0.3">
      <c r="A25" s="639" t="s">
        <v>79</v>
      </c>
      <c r="B25" s="742" t="s">
        <v>5</v>
      </c>
      <c r="C25" s="742"/>
      <c r="D25" s="742"/>
      <c r="E25" s="742"/>
      <c r="F25" s="646"/>
      <c r="G25" s="646"/>
      <c r="H25" s="647"/>
      <c r="I25" s="673">
        <f t="shared" si="1"/>
        <v>0</v>
      </c>
      <c r="J25" s="647"/>
      <c r="K25" s="648">
        <f t="shared" si="0"/>
        <v>0</v>
      </c>
    </row>
    <row r="26" spans="1:11" ht="18" customHeight="1" x14ac:dyDescent="0.3">
      <c r="A26" s="639" t="s">
        <v>80</v>
      </c>
      <c r="B26" s="742" t="s">
        <v>45</v>
      </c>
      <c r="C26" s="742"/>
      <c r="D26" s="742"/>
      <c r="E26" s="742"/>
      <c r="F26" s="646">
        <v>51</v>
      </c>
      <c r="G26" s="646">
        <v>442</v>
      </c>
      <c r="H26" s="647">
        <f>2664.67+460.82+1137.36+752.18+5022+578.6+4339.5+5294.19</f>
        <v>20249.32</v>
      </c>
      <c r="I26" s="673">
        <f t="shared" si="1"/>
        <v>15895.716200000001</v>
      </c>
      <c r="J26" s="647">
        <f>5022+578.6+4889.17+4339.5+5294.19</f>
        <v>20123.46</v>
      </c>
      <c r="K26" s="648">
        <f t="shared" si="0"/>
        <v>16021.576200000003</v>
      </c>
    </row>
    <row r="27" spans="1:11" ht="18" customHeight="1" x14ac:dyDescent="0.3">
      <c r="A27" s="639" t="s">
        <v>81</v>
      </c>
      <c r="B27" s="742" t="s">
        <v>46</v>
      </c>
      <c r="C27" s="742"/>
      <c r="D27" s="742"/>
      <c r="E27" s="742"/>
      <c r="F27" s="646"/>
      <c r="G27" s="646"/>
      <c r="H27" s="647"/>
      <c r="I27" s="673">
        <f t="shared" si="1"/>
        <v>0</v>
      </c>
      <c r="J27" s="647"/>
      <c r="K27" s="648">
        <f t="shared" si="0"/>
        <v>0</v>
      </c>
    </row>
    <row r="28" spans="1:11" ht="18" customHeight="1" x14ac:dyDescent="0.3">
      <c r="A28" s="639" t="s">
        <v>82</v>
      </c>
      <c r="B28" s="742" t="s">
        <v>47</v>
      </c>
      <c r="C28" s="742"/>
      <c r="D28" s="742"/>
      <c r="E28" s="742"/>
      <c r="F28" s="646">
        <v>56</v>
      </c>
      <c r="G28" s="646">
        <v>43</v>
      </c>
      <c r="H28" s="647">
        <f>30.4*F28</f>
        <v>1702.3999999999999</v>
      </c>
      <c r="I28" s="673">
        <f>H28*F$114</f>
        <v>1336.384</v>
      </c>
      <c r="J28" s="647">
        <v>0</v>
      </c>
      <c r="K28" s="648">
        <f t="shared" si="0"/>
        <v>3038.7839999999997</v>
      </c>
    </row>
    <row r="29" spans="1:11" ht="18" customHeight="1" x14ac:dyDescent="0.3">
      <c r="A29" s="639" t="s">
        <v>83</v>
      </c>
      <c r="B29" s="742" t="s">
        <v>48</v>
      </c>
      <c r="C29" s="742"/>
      <c r="D29" s="742"/>
      <c r="E29" s="742"/>
      <c r="F29" s="646">
        <v>3232</v>
      </c>
      <c r="G29" s="646">
        <v>1616</v>
      </c>
      <c r="H29" s="647">
        <f>(11.85*F29)+5165.58</f>
        <v>43464.78</v>
      </c>
      <c r="I29" s="673">
        <v>0</v>
      </c>
      <c r="J29" s="647">
        <v>0</v>
      </c>
      <c r="K29" s="648">
        <f t="shared" si="0"/>
        <v>43464.78</v>
      </c>
    </row>
    <row r="30" spans="1:11" ht="18" customHeight="1" x14ac:dyDescent="0.3">
      <c r="A30" s="639" t="s">
        <v>84</v>
      </c>
      <c r="B30" s="1351"/>
      <c r="C30" s="1352"/>
      <c r="D30" s="1353"/>
      <c r="E30" s="742"/>
      <c r="F30" s="646"/>
      <c r="G30" s="646"/>
      <c r="H30" s="647"/>
      <c r="I30" s="673">
        <f t="shared" si="1"/>
        <v>0</v>
      </c>
      <c r="J30" s="647"/>
      <c r="K30" s="648">
        <f t="shared" si="0"/>
        <v>0</v>
      </c>
    </row>
    <row r="31" spans="1:11" ht="18" customHeight="1" x14ac:dyDescent="0.3">
      <c r="A31" s="639" t="s">
        <v>133</v>
      </c>
      <c r="B31" s="1351"/>
      <c r="C31" s="1352"/>
      <c r="D31" s="1353"/>
      <c r="E31" s="742"/>
      <c r="F31" s="646"/>
      <c r="G31" s="646"/>
      <c r="H31" s="647"/>
      <c r="I31" s="673">
        <f t="shared" si="1"/>
        <v>0</v>
      </c>
      <c r="J31" s="647"/>
      <c r="K31" s="648">
        <f t="shared" si="0"/>
        <v>0</v>
      </c>
    </row>
    <row r="32" spans="1:11" ht="18" customHeight="1" x14ac:dyDescent="0.3">
      <c r="A32" s="639" t="s">
        <v>134</v>
      </c>
      <c r="B32" s="909"/>
      <c r="C32" s="910"/>
      <c r="D32" s="911"/>
      <c r="E32" s="742"/>
      <c r="F32" s="646"/>
      <c r="G32" s="675"/>
      <c r="H32" s="647"/>
      <c r="I32" s="673">
        <f t="shared" si="1"/>
        <v>0</v>
      </c>
      <c r="J32" s="647"/>
      <c r="K32" s="648">
        <f t="shared" si="0"/>
        <v>0</v>
      </c>
    </row>
    <row r="33" spans="1:11" ht="18" customHeight="1" x14ac:dyDescent="0.3">
      <c r="A33" s="639" t="s">
        <v>135</v>
      </c>
      <c r="B33" s="909"/>
      <c r="C33" s="910"/>
      <c r="D33" s="911"/>
      <c r="E33" s="742"/>
      <c r="F33" s="646"/>
      <c r="G33" s="675"/>
      <c r="H33" s="647"/>
      <c r="I33" s="673">
        <f t="shared" si="1"/>
        <v>0</v>
      </c>
      <c r="J33" s="647"/>
      <c r="K33" s="648">
        <f t="shared" si="0"/>
        <v>0</v>
      </c>
    </row>
    <row r="34" spans="1:11" ht="18" customHeight="1" x14ac:dyDescent="0.3">
      <c r="A34" s="639" t="s">
        <v>136</v>
      </c>
      <c r="B34" s="1351"/>
      <c r="C34" s="1352"/>
      <c r="D34" s="1353"/>
      <c r="E34" s="742"/>
      <c r="F34" s="646"/>
      <c r="G34" s="675"/>
      <c r="H34" s="647"/>
      <c r="I34" s="673">
        <f t="shared" si="1"/>
        <v>0</v>
      </c>
      <c r="J34" s="647"/>
      <c r="K34" s="648">
        <f t="shared" si="0"/>
        <v>0</v>
      </c>
    </row>
    <row r="35" spans="1:11" ht="18" customHeight="1" x14ac:dyDescent="0.25">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3341.5</v>
      </c>
      <c r="G36" s="650">
        <f t="shared" si="2"/>
        <v>2134</v>
      </c>
      <c r="H36" s="650">
        <f t="shared" si="2"/>
        <v>65513.15</v>
      </c>
      <c r="I36" s="648">
        <f t="shared" si="2"/>
        <v>17307.970450000001</v>
      </c>
      <c r="J36" s="648">
        <f t="shared" si="2"/>
        <v>20123.46</v>
      </c>
      <c r="K36" s="648">
        <f t="shared" si="2"/>
        <v>62697.660450000003</v>
      </c>
    </row>
    <row r="37" spans="1:11" ht="18" customHeight="1" thickBot="1" x14ac:dyDescent="0.35">
      <c r="B37" s="636"/>
      <c r="C37" s="742"/>
      <c r="D37" s="742"/>
      <c r="E37" s="742"/>
      <c r="F37" s="651"/>
      <c r="G37" s="651"/>
      <c r="H37" s="652"/>
      <c r="I37" s="652"/>
      <c r="J37" s="652"/>
      <c r="K37" s="668"/>
    </row>
    <row r="38" spans="1:11" ht="42.75" customHeight="1" x14ac:dyDescent="0.3">
      <c r="B38" s="742"/>
      <c r="C38" s="742"/>
      <c r="D38" s="742"/>
      <c r="E38" s="742"/>
      <c r="F38" s="641" t="s">
        <v>9</v>
      </c>
      <c r="G38" s="641" t="s">
        <v>37</v>
      </c>
      <c r="H38" s="641" t="s">
        <v>29</v>
      </c>
      <c r="I38" s="641" t="s">
        <v>30</v>
      </c>
      <c r="J38" s="641" t="s">
        <v>33</v>
      </c>
      <c r="K38" s="641" t="s">
        <v>34</v>
      </c>
    </row>
    <row r="39" spans="1:11" ht="19.149999999999999"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c r="I40" s="673">
        <f t="shared" ref="I40:I47" si="3">H40*F$114</f>
        <v>0</v>
      </c>
      <c r="J40" s="647"/>
      <c r="K40" s="648">
        <f t="shared" ref="K40:K47" si="4">(H40+I40)-J40</f>
        <v>0</v>
      </c>
    </row>
    <row r="41" spans="1:11" ht="18" customHeight="1" x14ac:dyDescent="0.3">
      <c r="A41" s="639" t="s">
        <v>88</v>
      </c>
      <c r="B41" s="1359" t="s">
        <v>50</v>
      </c>
      <c r="C41" s="1359"/>
      <c r="D41" s="742"/>
      <c r="E41" s="742"/>
      <c r="F41" s="646"/>
      <c r="G41" s="646"/>
      <c r="H41" s="647"/>
      <c r="I41" s="673">
        <f t="shared" si="3"/>
        <v>0</v>
      </c>
      <c r="J41" s="647"/>
      <c r="K41" s="648">
        <f t="shared" si="4"/>
        <v>0</v>
      </c>
    </row>
    <row r="42" spans="1:11" ht="18" customHeight="1" x14ac:dyDescent="0.3">
      <c r="A42" s="639" t="s">
        <v>89</v>
      </c>
      <c r="B42" s="635" t="s">
        <v>11</v>
      </c>
      <c r="C42" s="742"/>
      <c r="D42" s="742"/>
      <c r="E42" s="742"/>
      <c r="F42" s="646">
        <f>452+320</f>
        <v>772</v>
      </c>
      <c r="G42" s="646">
        <f>705+8</f>
        <v>713</v>
      </c>
      <c r="H42" s="647">
        <f>(320*58.1)</f>
        <v>18592</v>
      </c>
      <c r="I42" s="673">
        <f t="shared" si="3"/>
        <v>14594.720000000001</v>
      </c>
      <c r="J42" s="647"/>
      <c r="K42" s="648">
        <f t="shared" si="4"/>
        <v>33186.720000000001</v>
      </c>
    </row>
    <row r="43" spans="1:11" ht="18" customHeight="1" x14ac:dyDescent="0.3">
      <c r="A43" s="639" t="s">
        <v>90</v>
      </c>
      <c r="B43" s="670" t="s">
        <v>10</v>
      </c>
      <c r="C43" s="642"/>
      <c r="D43" s="642"/>
      <c r="E43" s="742"/>
      <c r="F43" s="646"/>
      <c r="G43" s="646"/>
      <c r="H43" s="647"/>
      <c r="I43" s="673">
        <f t="shared" si="3"/>
        <v>0</v>
      </c>
      <c r="J43" s="647"/>
      <c r="K43" s="648">
        <f t="shared" si="4"/>
        <v>0</v>
      </c>
    </row>
    <row r="44" spans="1:11" ht="18" customHeight="1" x14ac:dyDescent="0.3">
      <c r="A44" s="639" t="s">
        <v>91</v>
      </c>
      <c r="B44" s="1351"/>
      <c r="C44" s="1352"/>
      <c r="D44" s="1353"/>
      <c r="E44" s="742"/>
      <c r="F44" s="677"/>
      <c r="G44" s="677"/>
      <c r="H44" s="677"/>
      <c r="I44" s="678">
        <f t="shared" si="3"/>
        <v>0</v>
      </c>
      <c r="J44" s="677"/>
      <c r="K44" s="679">
        <f t="shared" si="4"/>
        <v>0</v>
      </c>
    </row>
    <row r="45" spans="1:11" ht="18" customHeight="1" x14ac:dyDescent="0.3">
      <c r="A45" s="639" t="s">
        <v>139</v>
      </c>
      <c r="B45" s="1351"/>
      <c r="C45" s="1352"/>
      <c r="D45" s="1353"/>
      <c r="E45" s="742"/>
      <c r="F45" s="646"/>
      <c r="G45" s="646"/>
      <c r="H45" s="647"/>
      <c r="I45" s="673">
        <f t="shared" si="3"/>
        <v>0</v>
      </c>
      <c r="J45" s="647"/>
      <c r="K45" s="648">
        <f t="shared" si="4"/>
        <v>0</v>
      </c>
    </row>
    <row r="46" spans="1:11" ht="18" customHeight="1" x14ac:dyDescent="0.3">
      <c r="A46" s="639" t="s">
        <v>140</v>
      </c>
      <c r="B46" s="1351"/>
      <c r="C46" s="1352"/>
      <c r="D46" s="1353"/>
      <c r="E46" s="742"/>
      <c r="F46" s="646"/>
      <c r="G46" s="646"/>
      <c r="H46" s="647"/>
      <c r="I46" s="673">
        <f t="shared" si="3"/>
        <v>0</v>
      </c>
      <c r="J46" s="647"/>
      <c r="K46" s="648">
        <f t="shared" si="4"/>
        <v>0</v>
      </c>
    </row>
    <row r="47" spans="1:11" ht="18" customHeight="1" x14ac:dyDescent="0.3">
      <c r="A47" s="639" t="s">
        <v>141</v>
      </c>
      <c r="B47" s="1351"/>
      <c r="C47" s="1352"/>
      <c r="D47" s="1353"/>
      <c r="E47" s="742"/>
      <c r="F47" s="646"/>
      <c r="G47" s="646"/>
      <c r="H47" s="647"/>
      <c r="I47" s="673">
        <f t="shared" si="3"/>
        <v>0</v>
      </c>
      <c r="J47" s="647"/>
      <c r="K47" s="648">
        <f t="shared" si="4"/>
        <v>0</v>
      </c>
    </row>
    <row r="48" spans="1:11" ht="18" customHeight="1" x14ac:dyDescent="0.25">
      <c r="B48" s="742"/>
      <c r="C48" s="742"/>
      <c r="D48" s="742"/>
      <c r="E48" s="742"/>
      <c r="F48" s="742"/>
      <c r="G48" s="742"/>
      <c r="H48" s="742"/>
      <c r="I48" s="742"/>
      <c r="J48" s="742"/>
      <c r="K48" s="742"/>
    </row>
    <row r="49" spans="1:11" ht="18" customHeight="1" x14ac:dyDescent="0.3">
      <c r="A49" s="639" t="s">
        <v>142</v>
      </c>
      <c r="B49" s="636" t="s">
        <v>143</v>
      </c>
      <c r="C49" s="742"/>
      <c r="D49" s="742"/>
      <c r="E49" s="636" t="s">
        <v>7</v>
      </c>
      <c r="F49" s="654">
        <f t="shared" ref="F49:K49" si="5">SUM(F40:F47)</f>
        <v>772</v>
      </c>
      <c r="G49" s="654">
        <f t="shared" si="5"/>
        <v>713</v>
      </c>
      <c r="H49" s="648">
        <f t="shared" si="5"/>
        <v>18592</v>
      </c>
      <c r="I49" s="648">
        <f t="shared" si="5"/>
        <v>14594.720000000001</v>
      </c>
      <c r="J49" s="648">
        <f t="shared" si="5"/>
        <v>0</v>
      </c>
      <c r="K49" s="648">
        <f t="shared" si="5"/>
        <v>33186.720000000001</v>
      </c>
    </row>
    <row r="50" spans="1:11" ht="18" customHeight="1" thickBot="1" x14ac:dyDescent="0.3">
      <c r="B50" s="742"/>
      <c r="C50" s="742"/>
      <c r="D50" s="742"/>
      <c r="E50" s="742"/>
      <c r="F50" s="742"/>
      <c r="G50" s="655"/>
      <c r="H50" s="655"/>
      <c r="I50" s="655"/>
      <c r="J50" s="655"/>
      <c r="K50" s="655"/>
    </row>
    <row r="51" spans="1:11" ht="42.75" customHeight="1" x14ac:dyDescent="0.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828</v>
      </c>
      <c r="C53" s="1355"/>
      <c r="D53" s="1356"/>
      <c r="E53" s="742"/>
      <c r="F53" s="646">
        <v>104</v>
      </c>
      <c r="G53" s="646">
        <v>16</v>
      </c>
      <c r="H53" s="647">
        <f>(28.85+45)*104</f>
        <v>7680.4</v>
      </c>
      <c r="I53" s="673">
        <f t="shared" ref="I53:I62" si="6">H53*F$114</f>
        <v>6029.1139999999996</v>
      </c>
      <c r="J53" s="647">
        <v>2223.8000000000002</v>
      </c>
      <c r="K53" s="648">
        <f t="shared" ref="K53:K62" si="7">(H53+I53)-J53</f>
        <v>11485.714</v>
      </c>
    </row>
    <row r="54" spans="1:11" ht="18" customHeight="1" x14ac:dyDescent="0.3">
      <c r="A54" s="639" t="s">
        <v>93</v>
      </c>
      <c r="B54" s="912"/>
      <c r="C54" s="913"/>
      <c r="D54" s="914"/>
      <c r="E54" s="742"/>
      <c r="F54" s="646"/>
      <c r="G54" s="646"/>
      <c r="H54" s="647"/>
      <c r="I54" s="673">
        <f t="shared" si="6"/>
        <v>0</v>
      </c>
      <c r="J54" s="647"/>
      <c r="K54" s="648">
        <f t="shared" si="7"/>
        <v>0</v>
      </c>
    </row>
    <row r="55" spans="1:11" ht="18" customHeight="1" x14ac:dyDescent="0.3">
      <c r="A55" s="639" t="s">
        <v>94</v>
      </c>
      <c r="B55" s="1354"/>
      <c r="C55" s="1355"/>
      <c r="D55" s="1356"/>
      <c r="E55" s="742"/>
      <c r="F55" s="646"/>
      <c r="G55" s="646"/>
      <c r="H55" s="647"/>
      <c r="I55" s="673">
        <f t="shared" si="6"/>
        <v>0</v>
      </c>
      <c r="J55" s="647"/>
      <c r="K55" s="648">
        <f t="shared" si="7"/>
        <v>0</v>
      </c>
    </row>
    <row r="56" spans="1:11" ht="18" customHeight="1" x14ac:dyDescent="0.3">
      <c r="A56" s="639" t="s">
        <v>95</v>
      </c>
      <c r="B56" s="1354"/>
      <c r="C56" s="1355"/>
      <c r="D56" s="1356"/>
      <c r="E56" s="742"/>
      <c r="F56" s="646"/>
      <c r="G56" s="646"/>
      <c r="H56" s="647"/>
      <c r="I56" s="673">
        <f t="shared" si="6"/>
        <v>0</v>
      </c>
      <c r="J56" s="647"/>
      <c r="K56" s="648">
        <f t="shared" si="7"/>
        <v>0</v>
      </c>
    </row>
    <row r="57" spans="1:11" ht="18" customHeight="1" x14ac:dyDescent="0.3">
      <c r="A57" s="639" t="s">
        <v>96</v>
      </c>
      <c r="B57" s="1354"/>
      <c r="C57" s="1355"/>
      <c r="D57" s="1356"/>
      <c r="E57" s="742"/>
      <c r="F57" s="646"/>
      <c r="G57" s="646"/>
      <c r="H57" s="647"/>
      <c r="I57" s="673">
        <f t="shared" si="6"/>
        <v>0</v>
      </c>
      <c r="J57" s="647"/>
      <c r="K57" s="648">
        <f t="shared" si="7"/>
        <v>0</v>
      </c>
    </row>
    <row r="58" spans="1:11" ht="18" customHeight="1" x14ac:dyDescent="0.3">
      <c r="A58" s="639" t="s">
        <v>97</v>
      </c>
      <c r="B58" s="912"/>
      <c r="C58" s="913"/>
      <c r="D58" s="914"/>
      <c r="E58" s="742"/>
      <c r="F58" s="646"/>
      <c r="G58" s="646"/>
      <c r="H58" s="647"/>
      <c r="I58" s="673">
        <f t="shared" si="6"/>
        <v>0</v>
      </c>
      <c r="J58" s="647"/>
      <c r="K58" s="648">
        <f t="shared" si="7"/>
        <v>0</v>
      </c>
    </row>
    <row r="59" spans="1:11" ht="18" customHeight="1" x14ac:dyDescent="0.3">
      <c r="A59" s="639" t="s">
        <v>98</v>
      </c>
      <c r="B59" s="1354"/>
      <c r="C59" s="1355"/>
      <c r="D59" s="1356"/>
      <c r="E59" s="742"/>
      <c r="F59" s="646"/>
      <c r="G59" s="646"/>
      <c r="H59" s="647"/>
      <c r="I59" s="673">
        <f t="shared" si="6"/>
        <v>0</v>
      </c>
      <c r="J59" s="647"/>
      <c r="K59" s="648">
        <f t="shared" si="7"/>
        <v>0</v>
      </c>
    </row>
    <row r="60" spans="1:11" ht="18" customHeight="1" x14ac:dyDescent="0.3">
      <c r="A60" s="639" t="s">
        <v>99</v>
      </c>
      <c r="B60" s="912"/>
      <c r="C60" s="913"/>
      <c r="D60" s="914"/>
      <c r="E60" s="742"/>
      <c r="F60" s="646"/>
      <c r="G60" s="646"/>
      <c r="H60" s="647"/>
      <c r="I60" s="673">
        <f t="shared" si="6"/>
        <v>0</v>
      </c>
      <c r="J60" s="647"/>
      <c r="K60" s="648">
        <f t="shared" si="7"/>
        <v>0</v>
      </c>
    </row>
    <row r="61" spans="1:11" ht="18" customHeight="1" x14ac:dyDescent="0.3">
      <c r="A61" s="639" t="s">
        <v>100</v>
      </c>
      <c r="B61" s="912"/>
      <c r="C61" s="913"/>
      <c r="D61" s="914"/>
      <c r="E61" s="742"/>
      <c r="F61" s="646"/>
      <c r="G61" s="646"/>
      <c r="H61" s="647"/>
      <c r="I61" s="673">
        <f t="shared" si="6"/>
        <v>0</v>
      </c>
      <c r="J61" s="647"/>
      <c r="K61" s="648">
        <f t="shared" si="7"/>
        <v>0</v>
      </c>
    </row>
    <row r="62" spans="1:11" ht="18" customHeight="1" x14ac:dyDescent="0.3">
      <c r="A62" s="639" t="s">
        <v>101</v>
      </c>
      <c r="B62" s="1354"/>
      <c r="C62" s="1355"/>
      <c r="D62" s="1356"/>
      <c r="E62" s="742"/>
      <c r="F62" s="646"/>
      <c r="G62" s="646"/>
      <c r="H62" s="647"/>
      <c r="I62" s="673">
        <f t="shared" si="6"/>
        <v>0</v>
      </c>
      <c r="J62" s="647"/>
      <c r="K62" s="648">
        <f t="shared" si="7"/>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8">SUM(F53:F62)</f>
        <v>104</v>
      </c>
      <c r="G64" s="650">
        <f t="shared" si="8"/>
        <v>16</v>
      </c>
      <c r="H64" s="648">
        <f t="shared" si="8"/>
        <v>7680.4</v>
      </c>
      <c r="I64" s="648">
        <f t="shared" si="8"/>
        <v>6029.1139999999996</v>
      </c>
      <c r="J64" s="648">
        <f t="shared" si="8"/>
        <v>2223.8000000000002</v>
      </c>
      <c r="K64" s="648">
        <f t="shared" si="8"/>
        <v>11485.714</v>
      </c>
    </row>
    <row r="65" spans="1:11" ht="18" customHeight="1" x14ac:dyDescent="0.25">
      <c r="B65" s="742"/>
      <c r="C65" s="742"/>
      <c r="D65" s="742"/>
      <c r="E65" s="742"/>
      <c r="F65" s="671"/>
      <c r="G65" s="671"/>
      <c r="H65" s="671"/>
      <c r="I65" s="671"/>
      <c r="J65" s="671"/>
      <c r="K65" s="671"/>
    </row>
    <row r="66" spans="1:11" ht="42.75" customHeight="1" x14ac:dyDescent="0.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f t="shared" ref="I68:I72" si="9">H68*F$114</f>
        <v>0</v>
      </c>
      <c r="J68" s="674"/>
      <c r="K68" s="648">
        <f>(H68+I68)-J68</f>
        <v>0</v>
      </c>
    </row>
    <row r="69" spans="1:11" ht="18" customHeight="1" x14ac:dyDescent="0.3">
      <c r="A69" s="639" t="s">
        <v>104</v>
      </c>
      <c r="B69" s="635" t="s">
        <v>53</v>
      </c>
      <c r="C69" s="742"/>
      <c r="D69" s="742"/>
      <c r="E69" s="742"/>
      <c r="F69" s="674"/>
      <c r="G69" s="674"/>
      <c r="H69" s="674"/>
      <c r="I69" s="673">
        <f t="shared" si="9"/>
        <v>0</v>
      </c>
      <c r="J69" s="674"/>
      <c r="K69" s="648">
        <f>(H69+I69)-J69</f>
        <v>0</v>
      </c>
    </row>
    <row r="70" spans="1:11" ht="18" customHeight="1" x14ac:dyDescent="0.3">
      <c r="A70" s="639" t="s">
        <v>178</v>
      </c>
      <c r="B70" s="912"/>
      <c r="C70" s="913"/>
      <c r="D70" s="914"/>
      <c r="E70" s="636"/>
      <c r="F70" s="658"/>
      <c r="G70" s="658"/>
      <c r="H70" s="659"/>
      <c r="I70" s="673">
        <f t="shared" si="9"/>
        <v>0</v>
      </c>
      <c r="J70" s="659"/>
      <c r="K70" s="648">
        <f>(H70+I70)-J70</f>
        <v>0</v>
      </c>
    </row>
    <row r="71" spans="1:11" ht="18" customHeight="1" x14ac:dyDescent="0.3">
      <c r="A71" s="639" t="s">
        <v>179</v>
      </c>
      <c r="B71" s="912"/>
      <c r="C71" s="913"/>
      <c r="D71" s="914"/>
      <c r="E71" s="636"/>
      <c r="F71" s="658"/>
      <c r="G71" s="658"/>
      <c r="H71" s="659"/>
      <c r="I71" s="673">
        <f t="shared" si="9"/>
        <v>0</v>
      </c>
      <c r="J71" s="659"/>
      <c r="K71" s="648">
        <f>(H71+I71)-J71</f>
        <v>0</v>
      </c>
    </row>
    <row r="72" spans="1:11" ht="18" customHeight="1" x14ac:dyDescent="0.3">
      <c r="A72" s="639" t="s">
        <v>180</v>
      </c>
      <c r="B72" s="930"/>
      <c r="C72" s="929"/>
      <c r="D72" s="657"/>
      <c r="E72" s="636"/>
      <c r="F72" s="646"/>
      <c r="G72" s="646"/>
      <c r="H72" s="647"/>
      <c r="I72" s="673">
        <f t="shared" si="9"/>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10">SUM(F68:F72)</f>
        <v>0</v>
      </c>
      <c r="G74" s="653">
        <f t="shared" si="10"/>
        <v>0</v>
      </c>
      <c r="H74" s="653">
        <f t="shared" si="10"/>
        <v>0</v>
      </c>
      <c r="I74" s="676">
        <f t="shared" si="10"/>
        <v>0</v>
      </c>
      <c r="J74" s="653">
        <f t="shared" si="10"/>
        <v>0</v>
      </c>
      <c r="K74" s="649">
        <f t="shared" si="10"/>
        <v>0</v>
      </c>
    </row>
    <row r="75" spans="1:11" ht="42.75" customHeight="1" x14ac:dyDescent="0.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v>2315</v>
      </c>
      <c r="I77" s="673">
        <v>0</v>
      </c>
      <c r="J77" s="647"/>
      <c r="K77" s="648">
        <f>(H77+I77)-J77</f>
        <v>2315</v>
      </c>
    </row>
    <row r="78" spans="1:11" ht="18" customHeight="1" x14ac:dyDescent="0.3">
      <c r="A78" s="639" t="s">
        <v>108</v>
      </c>
      <c r="B78" s="635" t="s">
        <v>55</v>
      </c>
      <c r="C78" s="742"/>
      <c r="D78" s="742"/>
      <c r="E78" s="742"/>
      <c r="F78" s="646"/>
      <c r="G78" s="646"/>
      <c r="H78" s="647"/>
      <c r="I78" s="673">
        <f t="shared" ref="I78:I80" si="11">H78*F$114</f>
        <v>0</v>
      </c>
      <c r="J78" s="647"/>
      <c r="K78" s="648">
        <f>(H78+I78)-J78</f>
        <v>0</v>
      </c>
    </row>
    <row r="79" spans="1:11" ht="18" customHeight="1" x14ac:dyDescent="0.3">
      <c r="A79" s="639" t="s">
        <v>109</v>
      </c>
      <c r="B79" s="635" t="s">
        <v>13</v>
      </c>
      <c r="C79" s="742"/>
      <c r="D79" s="742"/>
      <c r="E79" s="742"/>
      <c r="F79" s="646"/>
      <c r="G79" s="646"/>
      <c r="H79" s="647"/>
      <c r="I79" s="673">
        <f t="shared" si="11"/>
        <v>0</v>
      </c>
      <c r="J79" s="647"/>
      <c r="K79" s="648">
        <f>(H79+I79)-J79</f>
        <v>0</v>
      </c>
    </row>
    <row r="80" spans="1:11" ht="18" customHeight="1" x14ac:dyDescent="0.3">
      <c r="A80" s="639" t="s">
        <v>110</v>
      </c>
      <c r="B80" s="635" t="s">
        <v>56</v>
      </c>
      <c r="C80" s="742"/>
      <c r="D80" s="742"/>
      <c r="E80" s="742"/>
      <c r="F80" s="646"/>
      <c r="G80" s="646"/>
      <c r="H80" s="647"/>
      <c r="I80" s="673">
        <f t="shared" si="11"/>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12">SUM(F77:F80)</f>
        <v>0</v>
      </c>
      <c r="G82" s="653">
        <f t="shared" si="12"/>
        <v>0</v>
      </c>
      <c r="H82" s="649">
        <f t="shared" si="12"/>
        <v>2315</v>
      </c>
      <c r="I82" s="649">
        <f t="shared" si="12"/>
        <v>0</v>
      </c>
      <c r="J82" s="649">
        <f t="shared" si="12"/>
        <v>0</v>
      </c>
      <c r="K82" s="649">
        <f t="shared" si="12"/>
        <v>2315</v>
      </c>
    </row>
    <row r="83" spans="1:11" ht="18" customHeight="1" thickBot="1" x14ac:dyDescent="0.35">
      <c r="A83" s="639"/>
      <c r="B83" s="742"/>
      <c r="C83" s="742"/>
      <c r="D83" s="742"/>
      <c r="E83" s="742"/>
      <c r="F83" s="655"/>
      <c r="G83" s="655"/>
      <c r="H83" s="655"/>
      <c r="I83" s="655"/>
      <c r="J83" s="655"/>
      <c r="K83" s="655"/>
    </row>
    <row r="84" spans="1:11" ht="42.75" customHeight="1" x14ac:dyDescent="0.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13">H86*F$114</f>
        <v>0</v>
      </c>
      <c r="J86" s="647"/>
      <c r="K86" s="648">
        <f t="shared" ref="K86:K96" si="14">(H86+I86)-J86</f>
        <v>0</v>
      </c>
    </row>
    <row r="87" spans="1:11" ht="18" customHeight="1" x14ac:dyDescent="0.3">
      <c r="A87" s="639" t="s">
        <v>114</v>
      </c>
      <c r="B87" s="635" t="s">
        <v>14</v>
      </c>
      <c r="C87" s="742"/>
      <c r="D87" s="742"/>
      <c r="E87" s="742"/>
      <c r="F87" s="646">
        <v>26</v>
      </c>
      <c r="G87" s="646"/>
      <c r="H87" s="647">
        <f>26*93.64</f>
        <v>2434.64</v>
      </c>
      <c r="I87" s="673">
        <f t="shared" si="13"/>
        <v>1911.1923999999999</v>
      </c>
      <c r="J87" s="647">
        <v>0</v>
      </c>
      <c r="K87" s="648">
        <f t="shared" si="14"/>
        <v>4345.8323999999993</v>
      </c>
    </row>
    <row r="88" spans="1:11" ht="18" customHeight="1" x14ac:dyDescent="0.3">
      <c r="A88" s="639" t="s">
        <v>115</v>
      </c>
      <c r="B88" s="635" t="s">
        <v>116</v>
      </c>
      <c r="C88" s="742"/>
      <c r="D88" s="742"/>
      <c r="E88" s="742"/>
      <c r="F88" s="646"/>
      <c r="G88" s="646"/>
      <c r="H88" s="647"/>
      <c r="I88" s="673">
        <f t="shared" si="13"/>
        <v>0</v>
      </c>
      <c r="J88" s="647"/>
      <c r="K88" s="648">
        <f t="shared" si="14"/>
        <v>0</v>
      </c>
    </row>
    <row r="89" spans="1:11" ht="18" customHeight="1" x14ac:dyDescent="0.3">
      <c r="A89" s="639" t="s">
        <v>117</v>
      </c>
      <c r="B89" s="635" t="s">
        <v>58</v>
      </c>
      <c r="C89" s="742"/>
      <c r="D89" s="742"/>
      <c r="E89" s="742"/>
      <c r="F89" s="646"/>
      <c r="G89" s="646"/>
      <c r="H89" s="647"/>
      <c r="I89" s="673">
        <f t="shared" si="13"/>
        <v>0</v>
      </c>
      <c r="J89" s="647"/>
      <c r="K89" s="648">
        <f t="shared" si="14"/>
        <v>0</v>
      </c>
    </row>
    <row r="90" spans="1:11" ht="18" customHeight="1" x14ac:dyDescent="0.3">
      <c r="A90" s="639" t="s">
        <v>118</v>
      </c>
      <c r="B90" s="1359" t="s">
        <v>59</v>
      </c>
      <c r="C90" s="1359"/>
      <c r="D90" s="742"/>
      <c r="E90" s="742"/>
      <c r="F90" s="646"/>
      <c r="G90" s="646"/>
      <c r="H90" s="647"/>
      <c r="I90" s="673">
        <f t="shared" si="13"/>
        <v>0</v>
      </c>
      <c r="J90" s="647"/>
      <c r="K90" s="648">
        <f t="shared" si="14"/>
        <v>0</v>
      </c>
    </row>
    <row r="91" spans="1:11" ht="18" customHeight="1" x14ac:dyDescent="0.3">
      <c r="A91" s="639" t="s">
        <v>119</v>
      </c>
      <c r="B91" s="635" t="s">
        <v>60</v>
      </c>
      <c r="C91" s="742"/>
      <c r="D91" s="742"/>
      <c r="E91" s="742"/>
      <c r="F91" s="646">
        <f>120+127</f>
        <v>247</v>
      </c>
      <c r="G91" s="646">
        <v>25000</v>
      </c>
      <c r="H91" s="647">
        <f>2385.16+(127*93.64)</f>
        <v>14277.44</v>
      </c>
      <c r="I91" s="673">
        <f t="shared" si="13"/>
        <v>11207.790400000002</v>
      </c>
      <c r="J91" s="647">
        <v>0</v>
      </c>
      <c r="K91" s="648">
        <f t="shared" si="14"/>
        <v>25485.2304</v>
      </c>
    </row>
    <row r="92" spans="1:11" ht="18" customHeight="1" x14ac:dyDescent="0.3">
      <c r="A92" s="639" t="s">
        <v>120</v>
      </c>
      <c r="B92" s="635" t="s">
        <v>121</v>
      </c>
      <c r="C92" s="742"/>
      <c r="D92" s="742"/>
      <c r="E92" s="742"/>
      <c r="F92" s="661">
        <v>5</v>
      </c>
      <c r="G92" s="661"/>
      <c r="H92" s="662">
        <f>+F92*93.64</f>
        <v>468.2</v>
      </c>
      <c r="I92" s="673">
        <f t="shared" si="13"/>
        <v>367.53699999999998</v>
      </c>
      <c r="J92" s="662">
        <v>0</v>
      </c>
      <c r="K92" s="648">
        <f t="shared" si="14"/>
        <v>835.73699999999997</v>
      </c>
    </row>
    <row r="93" spans="1:11" ht="18" customHeight="1" x14ac:dyDescent="0.3">
      <c r="A93" s="639" t="s">
        <v>122</v>
      </c>
      <c r="B93" s="635" t="s">
        <v>123</v>
      </c>
      <c r="C93" s="742"/>
      <c r="D93" s="742"/>
      <c r="E93" s="742"/>
      <c r="F93" s="646"/>
      <c r="G93" s="646"/>
      <c r="H93" s="647"/>
      <c r="I93" s="673">
        <f t="shared" si="13"/>
        <v>0</v>
      </c>
      <c r="J93" s="647"/>
      <c r="K93" s="648">
        <f t="shared" si="14"/>
        <v>0</v>
      </c>
    </row>
    <row r="94" spans="1:11" ht="18" customHeight="1" x14ac:dyDescent="0.3">
      <c r="A94" s="639" t="s">
        <v>124</v>
      </c>
      <c r="B94" s="1354"/>
      <c r="C94" s="1355"/>
      <c r="D94" s="1356"/>
      <c r="E94" s="742"/>
      <c r="F94" s="646"/>
      <c r="G94" s="646"/>
      <c r="H94" s="647"/>
      <c r="I94" s="673">
        <f t="shared" si="13"/>
        <v>0</v>
      </c>
      <c r="J94" s="647"/>
      <c r="K94" s="648">
        <f t="shared" si="14"/>
        <v>0</v>
      </c>
    </row>
    <row r="95" spans="1:11" ht="18" customHeight="1" x14ac:dyDescent="0.3">
      <c r="A95" s="639" t="s">
        <v>125</v>
      </c>
      <c r="B95" s="1354"/>
      <c r="C95" s="1355"/>
      <c r="D95" s="1356"/>
      <c r="E95" s="742"/>
      <c r="F95" s="646"/>
      <c r="G95" s="646"/>
      <c r="H95" s="647"/>
      <c r="I95" s="673">
        <f t="shared" si="13"/>
        <v>0</v>
      </c>
      <c r="J95" s="647"/>
      <c r="K95" s="648">
        <f t="shared" si="14"/>
        <v>0</v>
      </c>
    </row>
    <row r="96" spans="1:11" ht="18" customHeight="1" x14ac:dyDescent="0.3">
      <c r="A96" s="639" t="s">
        <v>126</v>
      </c>
      <c r="B96" s="1354"/>
      <c r="C96" s="1355"/>
      <c r="D96" s="1356"/>
      <c r="E96" s="742"/>
      <c r="F96" s="646"/>
      <c r="G96" s="646"/>
      <c r="H96" s="647"/>
      <c r="I96" s="673">
        <f t="shared" si="13"/>
        <v>0</v>
      </c>
      <c r="J96" s="647"/>
      <c r="K96" s="648">
        <f t="shared" si="14"/>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5">SUM(F86:F96)</f>
        <v>278</v>
      </c>
      <c r="G98" s="650">
        <f t="shared" si="15"/>
        <v>25000</v>
      </c>
      <c r="H98" s="650">
        <f t="shared" si="15"/>
        <v>17180.280000000002</v>
      </c>
      <c r="I98" s="650">
        <f t="shared" si="15"/>
        <v>13486.519800000002</v>
      </c>
      <c r="J98" s="650">
        <f t="shared" si="15"/>
        <v>0</v>
      </c>
      <c r="K98" s="650">
        <f t="shared" si="15"/>
        <v>30666.799800000001</v>
      </c>
    </row>
    <row r="99" spans="1:11" ht="18" customHeight="1" thickBot="1" x14ac:dyDescent="0.35">
      <c r="B99" s="636"/>
      <c r="C99" s="742"/>
      <c r="D99" s="742"/>
      <c r="E99" s="742"/>
      <c r="F99" s="655"/>
      <c r="G99" s="655"/>
      <c r="H99" s="655"/>
      <c r="I99" s="655"/>
      <c r="J99" s="655"/>
      <c r="K99" s="655"/>
    </row>
    <row r="100" spans="1:11" ht="42.75" customHeight="1" x14ac:dyDescent="0.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20</v>
      </c>
      <c r="G102" s="646"/>
      <c r="H102" s="647">
        <v>640</v>
      </c>
      <c r="I102" s="673">
        <f>H102*F$114</f>
        <v>502.40000000000003</v>
      </c>
      <c r="J102" s="647"/>
      <c r="K102" s="648">
        <f>(H102+I102)-J102</f>
        <v>1142.4000000000001</v>
      </c>
    </row>
    <row r="103" spans="1:11" ht="18" customHeight="1" x14ac:dyDescent="0.3">
      <c r="A103" s="639" t="s">
        <v>132</v>
      </c>
      <c r="B103" s="1357" t="s">
        <v>62</v>
      </c>
      <c r="C103" s="1357"/>
      <c r="D103" s="742"/>
      <c r="E103" s="742"/>
      <c r="F103" s="646"/>
      <c r="G103" s="646"/>
      <c r="H103" s="647"/>
      <c r="I103" s="673">
        <f>H103*F$114</f>
        <v>0</v>
      </c>
      <c r="J103" s="647"/>
      <c r="K103" s="648">
        <f>(H103+I103)-J103</f>
        <v>0</v>
      </c>
    </row>
    <row r="104" spans="1:11" ht="18" customHeight="1" x14ac:dyDescent="0.3">
      <c r="A104" s="639" t="s">
        <v>128</v>
      </c>
      <c r="B104" s="1354"/>
      <c r="C104" s="1355"/>
      <c r="D104" s="1356"/>
      <c r="E104" s="742"/>
      <c r="F104" s="646"/>
      <c r="G104" s="646"/>
      <c r="H104" s="647"/>
      <c r="I104" s="673">
        <f>H104*F$114</f>
        <v>0</v>
      </c>
      <c r="J104" s="647"/>
      <c r="K104" s="648">
        <f>(H104+I104)-J104</f>
        <v>0</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B107" s="636"/>
      <c r="C107" s="742"/>
      <c r="D107" s="742"/>
      <c r="E107" s="742"/>
      <c r="F107" s="742"/>
      <c r="G107" s="742"/>
      <c r="H107" s="742"/>
      <c r="I107" s="742"/>
      <c r="J107" s="742"/>
      <c r="K107" s="742"/>
    </row>
    <row r="108" spans="1:11" s="3" customFormat="1" ht="18" customHeight="1" x14ac:dyDescent="0.3">
      <c r="A108" s="639" t="s">
        <v>153</v>
      </c>
      <c r="B108" s="686" t="s">
        <v>154</v>
      </c>
      <c r="C108" s="742"/>
      <c r="D108" s="742"/>
      <c r="E108" s="636" t="s">
        <v>7</v>
      </c>
      <c r="F108" s="650">
        <f t="shared" ref="F108:K108" si="16">SUM(F102:F106)</f>
        <v>20</v>
      </c>
      <c r="G108" s="650">
        <f t="shared" si="16"/>
        <v>0</v>
      </c>
      <c r="H108" s="648">
        <f t="shared" si="16"/>
        <v>640</v>
      </c>
      <c r="I108" s="648">
        <f t="shared" si="16"/>
        <v>502.40000000000003</v>
      </c>
      <c r="J108" s="648">
        <f t="shared" si="16"/>
        <v>0</v>
      </c>
      <c r="K108" s="648">
        <f t="shared" si="16"/>
        <v>1142.4000000000001</v>
      </c>
    </row>
    <row r="109" spans="1:11" s="3" customFormat="1" ht="18" customHeight="1" thickBot="1" x14ac:dyDescent="0.35">
      <c r="A109" s="643"/>
      <c r="B109" s="644"/>
      <c r="C109" s="645"/>
      <c r="D109" s="645"/>
      <c r="E109" s="645"/>
      <c r="F109" s="655"/>
      <c r="G109" s="655"/>
      <c r="H109" s="655"/>
      <c r="I109" s="655"/>
      <c r="J109" s="655"/>
      <c r="K109" s="655"/>
    </row>
    <row r="110" spans="1:11" s="3"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307205</v>
      </c>
      <c r="G111" s="742"/>
      <c r="H111" s="742"/>
      <c r="I111" s="742"/>
      <c r="J111" s="742"/>
      <c r="K111" s="742"/>
    </row>
    <row r="112" spans="1:11" ht="18" customHeight="1" x14ac:dyDescent="0.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639" t="s">
        <v>171</v>
      </c>
      <c r="B114" s="635" t="s">
        <v>35</v>
      </c>
      <c r="C114" s="742"/>
      <c r="D114" s="742"/>
      <c r="E114" s="742"/>
      <c r="F114" s="656">
        <v>0.78500000000000003</v>
      </c>
      <c r="G114" s="742"/>
      <c r="H114" s="742"/>
      <c r="I114" s="742"/>
      <c r="J114" s="742"/>
      <c r="K114" s="742"/>
    </row>
    <row r="115" spans="1:11" ht="18" customHeight="1" x14ac:dyDescent="0.3">
      <c r="A115" s="639"/>
      <c r="B115" s="636"/>
      <c r="C115" s="742"/>
      <c r="D115" s="742"/>
      <c r="E115" s="742"/>
      <c r="F115" s="742"/>
      <c r="G115" s="742"/>
      <c r="H115" s="742"/>
      <c r="I115" s="742"/>
      <c r="J115" s="742"/>
      <c r="K115" s="742"/>
    </row>
    <row r="116" spans="1:11" ht="18" customHeight="1" x14ac:dyDescent="0.3">
      <c r="A116" s="639" t="s">
        <v>170</v>
      </c>
      <c r="B116" s="636" t="s">
        <v>16</v>
      </c>
      <c r="C116" s="742"/>
      <c r="D116" s="742"/>
      <c r="E116" s="742"/>
      <c r="F116" s="742"/>
      <c r="G116" s="742"/>
      <c r="H116" s="742"/>
      <c r="I116" s="742"/>
      <c r="J116" s="742"/>
      <c r="K116" s="742"/>
    </row>
    <row r="117" spans="1:11" ht="18" customHeight="1" x14ac:dyDescent="0.3">
      <c r="A117" s="639" t="s">
        <v>172</v>
      </c>
      <c r="B117" s="635" t="s">
        <v>17</v>
      </c>
      <c r="C117" s="742"/>
      <c r="D117" s="742"/>
      <c r="E117" s="742"/>
      <c r="F117" s="647">
        <f>14254220+1321182</f>
        <v>15575402</v>
      </c>
      <c r="G117" s="742"/>
      <c r="H117" s="742"/>
      <c r="I117" s="742"/>
      <c r="J117" s="742"/>
      <c r="K117" s="742"/>
    </row>
    <row r="118" spans="1:11" ht="18" customHeight="1" x14ac:dyDescent="0.3">
      <c r="A118" s="639" t="s">
        <v>173</v>
      </c>
      <c r="B118" s="742" t="s">
        <v>18</v>
      </c>
      <c r="C118" s="742"/>
      <c r="D118" s="742"/>
      <c r="E118" s="742"/>
      <c r="F118" s="647">
        <v>218129</v>
      </c>
      <c r="G118" s="742"/>
      <c r="H118" s="742"/>
      <c r="I118" s="742"/>
      <c r="J118" s="742"/>
      <c r="K118" s="742"/>
    </row>
    <row r="119" spans="1:11" ht="18" customHeight="1" x14ac:dyDescent="0.3">
      <c r="A119" s="639" t="s">
        <v>174</v>
      </c>
      <c r="B119" s="636" t="s">
        <v>19</v>
      </c>
      <c r="C119" s="742"/>
      <c r="D119" s="742"/>
      <c r="E119" s="742"/>
      <c r="F119" s="649">
        <f>SUM(F117:F118)</f>
        <v>15793531</v>
      </c>
      <c r="G119" s="742"/>
      <c r="H119" s="742"/>
      <c r="I119" s="742"/>
      <c r="J119" s="742"/>
      <c r="K119" s="742"/>
    </row>
    <row r="120" spans="1:11" ht="18" customHeight="1" x14ac:dyDescent="0.3">
      <c r="A120" s="639"/>
      <c r="B120" s="636"/>
      <c r="C120" s="742"/>
      <c r="D120" s="742"/>
      <c r="E120" s="742"/>
      <c r="F120" s="742"/>
      <c r="G120" s="742"/>
      <c r="H120" s="742"/>
      <c r="I120" s="742"/>
      <c r="J120" s="742"/>
      <c r="K120" s="742"/>
    </row>
    <row r="121" spans="1:11" ht="18" customHeight="1" x14ac:dyDescent="0.3">
      <c r="A121" s="639" t="s">
        <v>167</v>
      </c>
      <c r="B121" s="636" t="s">
        <v>36</v>
      </c>
      <c r="C121" s="742"/>
      <c r="D121" s="742"/>
      <c r="E121" s="742"/>
      <c r="F121" s="647">
        <v>16564839</v>
      </c>
      <c r="G121" s="742"/>
      <c r="H121" s="742"/>
      <c r="I121" s="742"/>
      <c r="J121" s="742"/>
      <c r="K121" s="742"/>
    </row>
    <row r="122" spans="1:11" ht="18" customHeight="1" x14ac:dyDescent="0.3">
      <c r="A122" s="639"/>
      <c r="B122" s="742"/>
      <c r="C122" s="742"/>
      <c r="D122" s="742"/>
      <c r="E122" s="742"/>
      <c r="F122" s="742"/>
      <c r="G122" s="742"/>
      <c r="H122" s="742"/>
      <c r="I122" s="742"/>
      <c r="J122" s="742"/>
      <c r="K122" s="742"/>
    </row>
    <row r="123" spans="1:11" ht="18" customHeight="1" x14ac:dyDescent="0.3">
      <c r="A123" s="639" t="s">
        <v>175</v>
      </c>
      <c r="B123" s="636" t="s">
        <v>20</v>
      </c>
      <c r="C123" s="742"/>
      <c r="D123" s="742"/>
      <c r="E123" s="742"/>
      <c r="F123" s="647">
        <f>+F119-F121</f>
        <v>-771308</v>
      </c>
      <c r="G123" s="742"/>
      <c r="H123" s="742"/>
      <c r="I123" s="742"/>
      <c r="J123" s="742"/>
      <c r="K123" s="742"/>
    </row>
    <row r="124" spans="1:11" ht="18" customHeight="1" x14ac:dyDescent="0.3">
      <c r="A124" s="639"/>
      <c r="B124" s="742"/>
      <c r="C124" s="742"/>
      <c r="D124" s="742"/>
      <c r="E124" s="742"/>
      <c r="F124" s="742"/>
      <c r="G124" s="742"/>
      <c r="H124" s="742"/>
      <c r="I124" s="742"/>
      <c r="J124" s="742"/>
      <c r="K124" s="742"/>
    </row>
    <row r="125" spans="1:11" ht="18" customHeight="1" x14ac:dyDescent="0.3">
      <c r="A125" s="639" t="s">
        <v>176</v>
      </c>
      <c r="B125" s="636" t="s">
        <v>21</v>
      </c>
      <c r="C125" s="742"/>
      <c r="D125" s="742"/>
      <c r="E125" s="742"/>
      <c r="F125" s="647">
        <v>139638</v>
      </c>
      <c r="G125" s="742"/>
      <c r="H125" s="742"/>
      <c r="I125" s="742"/>
      <c r="J125" s="742"/>
      <c r="K125" s="742"/>
    </row>
    <row r="126" spans="1:11" ht="18" customHeight="1" x14ac:dyDescent="0.3">
      <c r="A126" s="639"/>
      <c r="B126" s="742"/>
      <c r="C126" s="742"/>
      <c r="D126" s="742"/>
      <c r="E126" s="742"/>
      <c r="F126" s="742"/>
      <c r="G126" s="742"/>
      <c r="H126" s="742"/>
      <c r="I126" s="742"/>
      <c r="J126" s="742"/>
      <c r="K126" s="742"/>
    </row>
    <row r="127" spans="1:11" ht="18" customHeight="1" x14ac:dyDescent="0.3">
      <c r="A127" s="639" t="s">
        <v>177</v>
      </c>
      <c r="B127" s="636" t="s">
        <v>22</v>
      </c>
      <c r="C127" s="742"/>
      <c r="D127" s="742"/>
      <c r="E127" s="742"/>
      <c r="F127" s="647">
        <f>+F123+F125</f>
        <v>-631670</v>
      </c>
      <c r="G127" s="742"/>
      <c r="H127" s="742"/>
      <c r="I127" s="742"/>
      <c r="J127" s="742"/>
      <c r="K127" s="742"/>
    </row>
    <row r="128" spans="1:11" ht="18" customHeight="1" x14ac:dyDescent="0.3">
      <c r="A128" s="639"/>
      <c r="B128" s="742"/>
      <c r="C128" s="742"/>
      <c r="D128" s="742"/>
      <c r="E128" s="742"/>
      <c r="F128" s="742"/>
      <c r="G128" s="742"/>
      <c r="H128" s="742"/>
      <c r="I128" s="742"/>
      <c r="J128" s="742"/>
      <c r="K128" s="742"/>
    </row>
    <row r="129" spans="1:11" ht="42.75" customHeight="1" x14ac:dyDescent="0.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7">SUM(F131:F135)</f>
        <v>0</v>
      </c>
      <c r="G137" s="650">
        <f t="shared" si="17"/>
        <v>0</v>
      </c>
      <c r="H137" s="648">
        <f t="shared" si="17"/>
        <v>0</v>
      </c>
      <c r="I137" s="648">
        <f t="shared" si="17"/>
        <v>0</v>
      </c>
      <c r="J137" s="648">
        <f t="shared" si="17"/>
        <v>0</v>
      </c>
      <c r="K137" s="648">
        <f t="shared" si="17"/>
        <v>0</v>
      </c>
    </row>
    <row r="138" spans="1:11" ht="18" customHeight="1" x14ac:dyDescent="0.25">
      <c r="B138" s="742"/>
      <c r="C138" s="742"/>
      <c r="D138" s="742"/>
      <c r="E138" s="742"/>
      <c r="F138" s="742"/>
      <c r="G138" s="742"/>
      <c r="H138" s="742"/>
      <c r="I138" s="742"/>
      <c r="J138" s="742"/>
      <c r="K138" s="742"/>
    </row>
    <row r="139" spans="1:11" ht="42.75" customHeight="1" x14ac:dyDescent="0.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8">F36</f>
        <v>3341.5</v>
      </c>
      <c r="G141" s="664">
        <f t="shared" si="18"/>
        <v>2134</v>
      </c>
      <c r="H141" s="664">
        <f t="shared" si="18"/>
        <v>65513.15</v>
      </c>
      <c r="I141" s="664">
        <f t="shared" si="18"/>
        <v>17307.970450000001</v>
      </c>
      <c r="J141" s="664">
        <f t="shared" si="18"/>
        <v>20123.46</v>
      </c>
      <c r="K141" s="664">
        <f t="shared" si="18"/>
        <v>62697.660450000003</v>
      </c>
    </row>
    <row r="142" spans="1:11" ht="18" customHeight="1" x14ac:dyDescent="0.3">
      <c r="A142" s="639" t="s">
        <v>142</v>
      </c>
      <c r="B142" s="636" t="s">
        <v>65</v>
      </c>
      <c r="C142" s="742"/>
      <c r="D142" s="742"/>
      <c r="E142" s="742"/>
      <c r="F142" s="664">
        <f t="shared" ref="F142:K142" si="19">F49</f>
        <v>772</v>
      </c>
      <c r="G142" s="664">
        <f t="shared" si="19"/>
        <v>713</v>
      </c>
      <c r="H142" s="664">
        <f t="shared" si="19"/>
        <v>18592</v>
      </c>
      <c r="I142" s="664">
        <f t="shared" si="19"/>
        <v>14594.720000000001</v>
      </c>
      <c r="J142" s="664">
        <f t="shared" si="19"/>
        <v>0</v>
      </c>
      <c r="K142" s="664">
        <f t="shared" si="19"/>
        <v>33186.720000000001</v>
      </c>
    </row>
    <row r="143" spans="1:11" ht="18" customHeight="1" x14ac:dyDescent="0.3">
      <c r="A143" s="639" t="s">
        <v>144</v>
      </c>
      <c r="B143" s="636" t="s">
        <v>66</v>
      </c>
      <c r="C143" s="742"/>
      <c r="D143" s="742"/>
      <c r="E143" s="742"/>
      <c r="F143" s="664">
        <f t="shared" ref="F143:K143" si="20">F64</f>
        <v>104</v>
      </c>
      <c r="G143" s="664">
        <f t="shared" si="20"/>
        <v>16</v>
      </c>
      <c r="H143" s="664">
        <f t="shared" si="20"/>
        <v>7680.4</v>
      </c>
      <c r="I143" s="664">
        <f t="shared" si="20"/>
        <v>6029.1139999999996</v>
      </c>
      <c r="J143" s="664">
        <f t="shared" si="20"/>
        <v>2223.8000000000002</v>
      </c>
      <c r="K143" s="664">
        <f t="shared" si="20"/>
        <v>11485.714</v>
      </c>
    </row>
    <row r="144" spans="1:11" ht="18" customHeight="1" x14ac:dyDescent="0.3">
      <c r="A144" s="639" t="s">
        <v>146</v>
      </c>
      <c r="B144" s="636" t="s">
        <v>67</v>
      </c>
      <c r="C144" s="742"/>
      <c r="D144" s="742"/>
      <c r="E144" s="742"/>
      <c r="F144" s="664">
        <f t="shared" ref="F144:K144" si="21">F74</f>
        <v>0</v>
      </c>
      <c r="G144" s="664">
        <f t="shared" si="21"/>
        <v>0</v>
      </c>
      <c r="H144" s="664">
        <f t="shared" si="21"/>
        <v>0</v>
      </c>
      <c r="I144" s="664">
        <f t="shared" si="21"/>
        <v>0</v>
      </c>
      <c r="J144" s="664">
        <f t="shared" si="21"/>
        <v>0</v>
      </c>
      <c r="K144" s="664">
        <f t="shared" si="21"/>
        <v>0</v>
      </c>
    </row>
    <row r="145" spans="1:11" ht="18" customHeight="1" x14ac:dyDescent="0.3">
      <c r="A145" s="639" t="s">
        <v>148</v>
      </c>
      <c r="B145" s="636" t="s">
        <v>68</v>
      </c>
      <c r="C145" s="742"/>
      <c r="D145" s="742"/>
      <c r="E145" s="742"/>
      <c r="F145" s="664">
        <f t="shared" ref="F145:K145" si="22">F82</f>
        <v>0</v>
      </c>
      <c r="G145" s="664">
        <f t="shared" si="22"/>
        <v>0</v>
      </c>
      <c r="H145" s="664">
        <f t="shared" si="22"/>
        <v>2315</v>
      </c>
      <c r="I145" s="664">
        <f t="shared" si="22"/>
        <v>0</v>
      </c>
      <c r="J145" s="664">
        <f t="shared" si="22"/>
        <v>0</v>
      </c>
      <c r="K145" s="664">
        <f t="shared" si="22"/>
        <v>2315</v>
      </c>
    </row>
    <row r="146" spans="1:11" ht="18" customHeight="1" x14ac:dyDescent="0.3">
      <c r="A146" s="639" t="s">
        <v>150</v>
      </c>
      <c r="B146" s="636" t="s">
        <v>69</v>
      </c>
      <c r="C146" s="742"/>
      <c r="D146" s="742"/>
      <c r="E146" s="742"/>
      <c r="F146" s="664">
        <f t="shared" ref="F146:K146" si="23">F98</f>
        <v>278</v>
      </c>
      <c r="G146" s="664">
        <f t="shared" si="23"/>
        <v>25000</v>
      </c>
      <c r="H146" s="664">
        <f t="shared" si="23"/>
        <v>17180.280000000002</v>
      </c>
      <c r="I146" s="664">
        <f t="shared" si="23"/>
        <v>13486.519800000002</v>
      </c>
      <c r="J146" s="664">
        <f t="shared" si="23"/>
        <v>0</v>
      </c>
      <c r="K146" s="664">
        <f t="shared" si="23"/>
        <v>30666.799800000001</v>
      </c>
    </row>
    <row r="147" spans="1:11" ht="18" customHeight="1" x14ac:dyDescent="0.3">
      <c r="A147" s="639" t="s">
        <v>153</v>
      </c>
      <c r="B147" s="636" t="s">
        <v>61</v>
      </c>
      <c r="C147" s="742"/>
      <c r="D147" s="742"/>
      <c r="E147" s="742"/>
      <c r="F147" s="650">
        <f t="shared" ref="F147:K147" si="24">F108</f>
        <v>20</v>
      </c>
      <c r="G147" s="650">
        <f t="shared" si="24"/>
        <v>0</v>
      </c>
      <c r="H147" s="650">
        <f t="shared" si="24"/>
        <v>640</v>
      </c>
      <c r="I147" s="650">
        <f t="shared" si="24"/>
        <v>502.40000000000003</v>
      </c>
      <c r="J147" s="650">
        <f t="shared" si="24"/>
        <v>0</v>
      </c>
      <c r="K147" s="650">
        <f t="shared" si="24"/>
        <v>1142.4000000000001</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307205</v>
      </c>
    </row>
    <row r="149" spans="1:11" ht="18" customHeight="1" x14ac:dyDescent="0.3">
      <c r="A149" s="639" t="s">
        <v>163</v>
      </c>
      <c r="B149" s="636" t="s">
        <v>71</v>
      </c>
      <c r="C149" s="742"/>
      <c r="D149" s="742"/>
      <c r="E149" s="742"/>
      <c r="F149" s="650">
        <f t="shared" ref="F149:K149" si="25">F137</f>
        <v>0</v>
      </c>
      <c r="G149" s="650">
        <f t="shared" si="25"/>
        <v>0</v>
      </c>
      <c r="H149" s="650">
        <f t="shared" si="25"/>
        <v>0</v>
      </c>
      <c r="I149" s="650">
        <f t="shared" si="25"/>
        <v>0</v>
      </c>
      <c r="J149" s="650">
        <f t="shared" si="25"/>
        <v>0</v>
      </c>
      <c r="K149" s="650">
        <f t="shared" si="25"/>
        <v>0</v>
      </c>
    </row>
    <row r="150" spans="1:11" ht="18" customHeight="1" x14ac:dyDescent="0.3">
      <c r="A150" s="639" t="s">
        <v>185</v>
      </c>
      <c r="B150" s="636" t="s">
        <v>186</v>
      </c>
      <c r="C150" s="742"/>
      <c r="D150" s="742"/>
      <c r="E150" s="742"/>
      <c r="F150" s="665" t="s">
        <v>73</v>
      </c>
      <c r="G150" s="665" t="s">
        <v>73</v>
      </c>
      <c r="H150" s="650">
        <f>H18</f>
        <v>319190</v>
      </c>
      <c r="I150" s="650">
        <f>I18</f>
        <v>0</v>
      </c>
      <c r="J150" s="650">
        <f>J18</f>
        <v>269779</v>
      </c>
      <c r="K150" s="650">
        <f>K18</f>
        <v>49411</v>
      </c>
    </row>
    <row r="151" spans="1:11" ht="18" customHeight="1" x14ac:dyDescent="0.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6">SUM(F141:F150)</f>
        <v>4515.5</v>
      </c>
      <c r="G152" s="672">
        <f t="shared" si="26"/>
        <v>27863</v>
      </c>
      <c r="H152" s="672">
        <f t="shared" si="26"/>
        <v>431110.82999999996</v>
      </c>
      <c r="I152" s="672">
        <f t="shared" si="26"/>
        <v>51920.724250000007</v>
      </c>
      <c r="J152" s="672">
        <f t="shared" si="26"/>
        <v>292126.26</v>
      </c>
      <c r="K152" s="672">
        <f t="shared" si="26"/>
        <v>498110.29425000004</v>
      </c>
    </row>
    <row r="153" spans="1:11" ht="18" customHeight="1" x14ac:dyDescent="0.25">
      <c r="B153" s="742"/>
      <c r="C153" s="742"/>
      <c r="D153" s="742"/>
      <c r="E153" s="742"/>
      <c r="F153" s="742"/>
      <c r="G153" s="742"/>
      <c r="H153" s="742"/>
      <c r="I153" s="742"/>
      <c r="J153" s="742"/>
      <c r="K153" s="742"/>
    </row>
    <row r="154" spans="1:11" ht="18" customHeight="1" x14ac:dyDescent="0.3">
      <c r="A154" s="639" t="s">
        <v>168</v>
      </c>
      <c r="B154" s="636" t="s">
        <v>28</v>
      </c>
      <c r="C154" s="742"/>
      <c r="D154" s="742"/>
      <c r="E154" s="834"/>
      <c r="F154" s="687">
        <f>K152/F121</f>
        <v>3.0070337191324348E-2</v>
      </c>
      <c r="G154" s="742"/>
      <c r="H154" s="742"/>
      <c r="I154" s="742"/>
      <c r="J154" s="742"/>
      <c r="K154" s="742"/>
    </row>
    <row r="155" spans="1:11" ht="18" customHeight="1" x14ac:dyDescent="0.3">
      <c r="A155" s="639" t="s">
        <v>169</v>
      </c>
      <c r="B155" s="636" t="s">
        <v>72</v>
      </c>
      <c r="C155" s="742"/>
      <c r="D155" s="742"/>
      <c r="E155" s="834"/>
      <c r="F155" s="687">
        <f>K152/F127</f>
        <v>-0.78856094835911161</v>
      </c>
      <c r="G155" s="636"/>
      <c r="H155" s="742"/>
      <c r="I155" s="742"/>
      <c r="J155" s="742"/>
      <c r="K155" s="742"/>
    </row>
    <row r="156" spans="1:11" ht="18" customHeight="1" x14ac:dyDescent="0.3">
      <c r="B156" s="482"/>
      <c r="C156" s="482"/>
      <c r="D156" s="482"/>
      <c r="E156" s="482"/>
      <c r="F156" s="482"/>
      <c r="G156" s="483"/>
      <c r="H156" s="482"/>
      <c r="I156" s="482"/>
      <c r="J156" s="482"/>
      <c r="K156" s="482"/>
    </row>
  </sheetData>
  <sheetProtection sheet="1" objects="1" scenarios="1"/>
  <mergeCells count="34">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103:C103"/>
    <mergeCell ref="B96:D96"/>
    <mergeCell ref="B95:D95"/>
    <mergeCell ref="B57:D57"/>
    <mergeCell ref="B94:D94"/>
    <mergeCell ref="B90:C90"/>
    <mergeCell ref="B62:D62"/>
    <mergeCell ref="B134:D134"/>
    <mergeCell ref="B135:D135"/>
    <mergeCell ref="B133:D133"/>
    <mergeCell ref="B104:D104"/>
    <mergeCell ref="B105:D105"/>
    <mergeCell ref="B106:D106"/>
    <mergeCell ref="B52:C52"/>
    <mergeCell ref="B53:D53"/>
    <mergeCell ref="B55:D55"/>
    <mergeCell ref="B31:D31"/>
    <mergeCell ref="B30:D30"/>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156"/>
  <sheetViews>
    <sheetView showGridLines="0" zoomScale="75" zoomScaleNormal="75" zoomScaleSheetLayoutView="80" workbookViewId="0">
      <selection activeCell="A3" sqref="A3"/>
    </sheetView>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2" width="11.54296875" style="28" bestFit="1" customWidth="1"/>
    <col min="13"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587</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61" t="s">
        <v>344</v>
      </c>
      <c r="D5" s="1362"/>
      <c r="E5" s="1362"/>
      <c r="F5" s="1362"/>
      <c r="G5" s="1364"/>
      <c r="H5" s="742"/>
      <c r="I5" s="742"/>
      <c r="J5" s="742"/>
      <c r="K5" s="742"/>
    </row>
    <row r="6" spans="1:11" ht="18" customHeight="1" x14ac:dyDescent="0.3">
      <c r="A6" s="633"/>
      <c r="B6" s="733" t="s">
        <v>3</v>
      </c>
      <c r="C6" s="1365" t="s">
        <v>345</v>
      </c>
      <c r="D6" s="1570"/>
      <c r="E6" s="1570"/>
      <c r="F6" s="1570"/>
      <c r="G6" s="1571"/>
      <c r="H6" s="742"/>
      <c r="I6" s="742"/>
      <c r="J6" s="742"/>
      <c r="K6" s="742"/>
    </row>
    <row r="7" spans="1:11" ht="18" customHeight="1" x14ac:dyDescent="0.3">
      <c r="A7" s="633"/>
      <c r="B7" s="733" t="s">
        <v>4</v>
      </c>
      <c r="C7" s="1368">
        <v>1828</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61" t="s">
        <v>346</v>
      </c>
      <c r="D9" s="1362"/>
      <c r="E9" s="1362"/>
      <c r="F9" s="1362"/>
      <c r="G9" s="1364"/>
      <c r="H9" s="742"/>
      <c r="I9" s="742"/>
      <c r="J9" s="742"/>
      <c r="K9" s="742"/>
    </row>
    <row r="10" spans="1:11" ht="18" customHeight="1" x14ac:dyDescent="0.3">
      <c r="A10" s="633"/>
      <c r="B10" s="733" t="s">
        <v>2</v>
      </c>
      <c r="C10" s="1371" t="s">
        <v>347</v>
      </c>
      <c r="D10" s="1372"/>
      <c r="E10" s="1372"/>
      <c r="F10" s="1372"/>
      <c r="G10" s="1373"/>
      <c r="H10" s="742"/>
      <c r="I10" s="742"/>
      <c r="J10" s="742"/>
      <c r="K10" s="742"/>
    </row>
    <row r="11" spans="1:11" ht="18" customHeight="1" x14ac:dyDescent="0.3">
      <c r="A11" s="633"/>
      <c r="B11" s="733" t="s">
        <v>32</v>
      </c>
      <c r="C11" s="1361" t="s">
        <v>348</v>
      </c>
      <c r="D11" s="1362"/>
      <c r="E11" s="1362"/>
      <c r="F11" s="1362"/>
      <c r="G11" s="1362"/>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6691884</v>
      </c>
      <c r="I18" s="647">
        <v>0</v>
      </c>
      <c r="J18" s="647">
        <v>5655962</v>
      </c>
      <c r="K18" s="648">
        <f>(H18+I18)-J18</f>
        <v>1035922</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10689.5</v>
      </c>
      <c r="G21" s="646">
        <v>889778</v>
      </c>
      <c r="H21" s="647">
        <v>1147229.47175</v>
      </c>
      <c r="I21" s="673">
        <v>771511.81975187501</v>
      </c>
      <c r="J21" s="647">
        <v>79202</v>
      </c>
      <c r="K21" s="648">
        <f>(H21+I21)-J21</f>
        <v>1839539.291501875</v>
      </c>
    </row>
    <row r="22" spans="1:11" ht="18" customHeight="1" x14ac:dyDescent="0.3">
      <c r="A22" s="639" t="s">
        <v>76</v>
      </c>
      <c r="B22" s="742" t="s">
        <v>6</v>
      </c>
      <c r="C22" s="742"/>
      <c r="D22" s="742"/>
      <c r="E22" s="742"/>
      <c r="F22" s="646">
        <v>576</v>
      </c>
      <c r="G22" s="646">
        <v>624</v>
      </c>
      <c r="H22" s="647">
        <v>44233.677000000011</v>
      </c>
      <c r="I22" s="673">
        <v>29747.147782500007</v>
      </c>
      <c r="J22" s="647">
        <v>0</v>
      </c>
      <c r="K22" s="648">
        <f t="shared" ref="K22:K34" si="0">(H22+I22)-J22</f>
        <v>73980.824782500014</v>
      </c>
    </row>
    <row r="23" spans="1:11" ht="18" customHeight="1" x14ac:dyDescent="0.3">
      <c r="A23" s="639" t="s">
        <v>77</v>
      </c>
      <c r="B23" s="742" t="s">
        <v>43</v>
      </c>
      <c r="C23" s="742"/>
      <c r="D23" s="742"/>
      <c r="E23" s="742"/>
      <c r="F23" s="646">
        <v>20</v>
      </c>
      <c r="G23" s="646">
        <v>24</v>
      </c>
      <c r="H23" s="647">
        <v>1728</v>
      </c>
      <c r="I23" s="673">
        <v>1162.08</v>
      </c>
      <c r="J23" s="647">
        <v>198</v>
      </c>
      <c r="K23" s="648">
        <f t="shared" si="0"/>
        <v>2692.08</v>
      </c>
    </row>
    <row r="24" spans="1:11" ht="18" customHeight="1" x14ac:dyDescent="0.3">
      <c r="A24" s="639" t="s">
        <v>78</v>
      </c>
      <c r="B24" s="742" t="s">
        <v>44</v>
      </c>
      <c r="C24" s="742"/>
      <c r="D24" s="742"/>
      <c r="E24" s="742"/>
      <c r="F24" s="646">
        <v>0</v>
      </c>
      <c r="G24" s="646">
        <v>0</v>
      </c>
      <c r="H24" s="647">
        <v>0</v>
      </c>
      <c r="I24" s="673">
        <v>0</v>
      </c>
      <c r="J24" s="647">
        <v>0</v>
      </c>
      <c r="K24" s="648">
        <f t="shared" si="0"/>
        <v>0</v>
      </c>
    </row>
    <row r="25" spans="1:11" ht="18" customHeight="1" x14ac:dyDescent="0.3">
      <c r="A25" s="639" t="s">
        <v>79</v>
      </c>
      <c r="B25" s="742" t="s">
        <v>5</v>
      </c>
      <c r="C25" s="742"/>
      <c r="D25" s="742"/>
      <c r="E25" s="742"/>
      <c r="F25" s="646">
        <v>4495</v>
      </c>
      <c r="G25" s="646">
        <v>5429</v>
      </c>
      <c r="H25" s="647">
        <v>390848</v>
      </c>
      <c r="I25" s="673">
        <v>262845.27999999997</v>
      </c>
      <c r="J25" s="647">
        <v>44703</v>
      </c>
      <c r="K25" s="648">
        <f t="shared" si="0"/>
        <v>608990.28</v>
      </c>
    </row>
    <row r="26" spans="1:11" ht="18" customHeight="1" x14ac:dyDescent="0.3">
      <c r="A26" s="639" t="s">
        <v>80</v>
      </c>
      <c r="B26" s="742" t="s">
        <v>45</v>
      </c>
      <c r="C26" s="742"/>
      <c r="D26" s="742"/>
      <c r="E26" s="742"/>
      <c r="F26" s="646">
        <v>0</v>
      </c>
      <c r="G26" s="646">
        <v>0</v>
      </c>
      <c r="H26" s="647">
        <v>0</v>
      </c>
      <c r="I26" s="673">
        <v>0</v>
      </c>
      <c r="J26" s="647">
        <v>0</v>
      </c>
      <c r="K26" s="648">
        <f t="shared" si="0"/>
        <v>0</v>
      </c>
    </row>
    <row r="27" spans="1:11" ht="18" customHeight="1" x14ac:dyDescent="0.3">
      <c r="A27" s="639" t="s">
        <v>81</v>
      </c>
      <c r="B27" s="742" t="s">
        <v>46</v>
      </c>
      <c r="C27" s="742"/>
      <c r="D27" s="742"/>
      <c r="E27" s="742"/>
      <c r="F27" s="646">
        <v>0</v>
      </c>
      <c r="G27" s="646">
        <v>0</v>
      </c>
      <c r="H27" s="647">
        <v>0</v>
      </c>
      <c r="I27" s="673">
        <v>0</v>
      </c>
      <c r="J27" s="647">
        <v>0</v>
      </c>
      <c r="K27" s="648">
        <f t="shared" si="0"/>
        <v>0</v>
      </c>
    </row>
    <row r="28" spans="1:11" ht="18" customHeight="1" x14ac:dyDescent="0.3">
      <c r="A28" s="639" t="s">
        <v>82</v>
      </c>
      <c r="B28" s="742" t="s">
        <v>47</v>
      </c>
      <c r="C28" s="742"/>
      <c r="D28" s="742"/>
      <c r="E28" s="742"/>
      <c r="F28" s="646">
        <v>0</v>
      </c>
      <c r="G28" s="646">
        <v>0</v>
      </c>
      <c r="H28" s="647">
        <v>0</v>
      </c>
      <c r="I28" s="673">
        <v>0</v>
      </c>
      <c r="J28" s="647">
        <v>0</v>
      </c>
      <c r="K28" s="648">
        <f t="shared" si="0"/>
        <v>0</v>
      </c>
    </row>
    <row r="29" spans="1:11" ht="18" customHeight="1" x14ac:dyDescent="0.3">
      <c r="A29" s="639" t="s">
        <v>83</v>
      </c>
      <c r="B29" s="742" t="s">
        <v>48</v>
      </c>
      <c r="C29" s="742"/>
      <c r="D29" s="742"/>
      <c r="E29" s="742"/>
      <c r="F29" s="646">
        <v>0</v>
      </c>
      <c r="G29" s="646">
        <v>0</v>
      </c>
      <c r="H29" s="647">
        <v>899952.52</v>
      </c>
      <c r="I29" s="673">
        <v>361325.50749999995</v>
      </c>
      <c r="J29" s="647">
        <v>0</v>
      </c>
      <c r="K29" s="648">
        <f t="shared" si="0"/>
        <v>1261278.0274999999</v>
      </c>
    </row>
    <row r="30" spans="1:11" ht="18" customHeight="1" x14ac:dyDescent="0.3">
      <c r="A30" s="639" t="s">
        <v>84</v>
      </c>
      <c r="B30" s="1351"/>
      <c r="C30" s="1352"/>
      <c r="D30" s="1353"/>
      <c r="E30" s="742"/>
      <c r="F30" s="646"/>
      <c r="G30" s="646"/>
      <c r="H30" s="647"/>
      <c r="I30" s="673">
        <v>0</v>
      </c>
      <c r="J30" s="647"/>
      <c r="K30" s="648">
        <f t="shared" si="0"/>
        <v>0</v>
      </c>
    </row>
    <row r="31" spans="1:11" ht="18" customHeight="1" x14ac:dyDescent="0.3">
      <c r="A31" s="639" t="s">
        <v>133</v>
      </c>
      <c r="B31" s="1351"/>
      <c r="C31" s="1352"/>
      <c r="D31" s="1353"/>
      <c r="E31" s="742"/>
      <c r="F31" s="646"/>
      <c r="G31" s="646"/>
      <c r="H31" s="647"/>
      <c r="I31" s="673">
        <v>0</v>
      </c>
      <c r="J31" s="647"/>
      <c r="K31" s="648">
        <f t="shared" si="0"/>
        <v>0</v>
      </c>
    </row>
    <row r="32" spans="1:11" ht="18" customHeight="1" x14ac:dyDescent="0.3">
      <c r="A32" s="639" t="s">
        <v>134</v>
      </c>
      <c r="B32" s="909"/>
      <c r="C32" s="910"/>
      <c r="D32" s="911"/>
      <c r="E32" s="742"/>
      <c r="F32" s="646"/>
      <c r="G32" s="675"/>
      <c r="H32" s="647"/>
      <c r="I32" s="673">
        <v>0</v>
      </c>
      <c r="J32" s="647"/>
      <c r="K32" s="648">
        <f t="shared" si="0"/>
        <v>0</v>
      </c>
    </row>
    <row r="33" spans="1:11" ht="18" customHeight="1" x14ac:dyDescent="0.3">
      <c r="A33" s="639" t="s">
        <v>135</v>
      </c>
      <c r="B33" s="909"/>
      <c r="C33" s="910"/>
      <c r="D33" s="911"/>
      <c r="E33" s="742"/>
      <c r="F33" s="646"/>
      <c r="G33" s="675"/>
      <c r="H33" s="647"/>
      <c r="I33" s="673">
        <v>0</v>
      </c>
      <c r="J33" s="647"/>
      <c r="K33" s="648">
        <f t="shared" si="0"/>
        <v>0</v>
      </c>
    </row>
    <row r="34" spans="1:11" ht="18" customHeight="1" x14ac:dyDescent="0.3">
      <c r="A34" s="639" t="s">
        <v>136</v>
      </c>
      <c r="B34" s="1351"/>
      <c r="C34" s="1352"/>
      <c r="D34" s="1353"/>
      <c r="E34" s="742"/>
      <c r="F34" s="646"/>
      <c r="G34" s="675"/>
      <c r="H34" s="647"/>
      <c r="I34" s="673">
        <v>0</v>
      </c>
      <c r="J34" s="647"/>
      <c r="K34" s="648">
        <f t="shared" si="0"/>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SUM(F21:F34)</f>
        <v>15780.5</v>
      </c>
      <c r="G36" s="650">
        <f t="shared" ref="G36:K36" si="1">SUM(G21:G34)</f>
        <v>895855</v>
      </c>
      <c r="H36" s="650">
        <f t="shared" si="1"/>
        <v>2483991.6687500002</v>
      </c>
      <c r="I36" s="650">
        <f t="shared" si="1"/>
        <v>1426591.8350343751</v>
      </c>
      <c r="J36" s="650">
        <f t="shared" si="1"/>
        <v>124103</v>
      </c>
      <c r="K36" s="650">
        <f t="shared" si="1"/>
        <v>3786480.5037843753</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c r="I40" s="673">
        <v>0</v>
      </c>
      <c r="J40" s="647"/>
      <c r="K40" s="648">
        <f>(H40+I40)-J40</f>
        <v>0</v>
      </c>
    </row>
    <row r="41" spans="1:11" ht="18" customHeight="1" x14ac:dyDescent="0.3">
      <c r="A41" s="639" t="s">
        <v>88</v>
      </c>
      <c r="B41" s="1359" t="s">
        <v>50</v>
      </c>
      <c r="C41" s="1359"/>
      <c r="D41" s="742"/>
      <c r="E41" s="742"/>
      <c r="F41" s="646">
        <v>900</v>
      </c>
      <c r="G41" s="646">
        <v>0</v>
      </c>
      <c r="H41" s="647">
        <v>57707.775000000001</v>
      </c>
      <c r="I41" s="673">
        <v>0</v>
      </c>
      <c r="J41" s="647"/>
      <c r="K41" s="648">
        <f t="shared" ref="K41:K47" si="2">(H41+I41)-J41</f>
        <v>57707.775000000001</v>
      </c>
    </row>
    <row r="42" spans="1:11" ht="18" customHeight="1" x14ac:dyDescent="0.3">
      <c r="A42" s="639" t="s">
        <v>89</v>
      </c>
      <c r="B42" s="635" t="s">
        <v>11</v>
      </c>
      <c r="C42" s="742"/>
      <c r="D42" s="742"/>
      <c r="E42" s="742"/>
      <c r="F42" s="646">
        <v>11606</v>
      </c>
      <c r="G42" s="646">
        <v>41</v>
      </c>
      <c r="H42" s="647">
        <v>628332.13799999992</v>
      </c>
      <c r="I42" s="673">
        <v>0</v>
      </c>
      <c r="J42" s="647"/>
      <c r="K42" s="648">
        <f t="shared" si="2"/>
        <v>628332.13799999992</v>
      </c>
    </row>
    <row r="43" spans="1:11" ht="18" customHeight="1" x14ac:dyDescent="0.3">
      <c r="A43" s="639" t="s">
        <v>90</v>
      </c>
      <c r="B43" s="670" t="s">
        <v>10</v>
      </c>
      <c r="C43" s="642"/>
      <c r="D43" s="642"/>
      <c r="E43" s="742"/>
      <c r="F43" s="646">
        <v>104</v>
      </c>
      <c r="G43" s="646">
        <v>0</v>
      </c>
      <c r="H43" s="647">
        <v>599441.97199999995</v>
      </c>
      <c r="I43" s="673">
        <v>0</v>
      </c>
      <c r="J43" s="647"/>
      <c r="K43" s="648">
        <f t="shared" si="2"/>
        <v>599441.97199999995</v>
      </c>
    </row>
    <row r="44" spans="1:11" ht="18" customHeight="1" x14ac:dyDescent="0.3">
      <c r="A44" s="639" t="s">
        <v>91</v>
      </c>
      <c r="B44" s="1351" t="s">
        <v>561</v>
      </c>
      <c r="C44" s="1352"/>
      <c r="D44" s="1353"/>
      <c r="E44" s="742"/>
      <c r="F44" s="646">
        <v>405</v>
      </c>
      <c r="G44" s="646">
        <v>15003</v>
      </c>
      <c r="H44" s="647">
        <v>23027.918750000001</v>
      </c>
      <c r="I44" s="673">
        <v>0</v>
      </c>
      <c r="J44" s="677"/>
      <c r="K44" s="648">
        <f t="shared" si="2"/>
        <v>23027.918750000001</v>
      </c>
    </row>
    <row r="45" spans="1:11" ht="18" customHeight="1" x14ac:dyDescent="0.3">
      <c r="A45" s="639" t="s">
        <v>139</v>
      </c>
      <c r="B45" s="1351"/>
      <c r="C45" s="1352"/>
      <c r="D45" s="1353"/>
      <c r="E45" s="742"/>
      <c r="F45" s="646"/>
      <c r="G45" s="646"/>
      <c r="H45" s="647"/>
      <c r="I45" s="673">
        <v>0</v>
      </c>
      <c r="J45" s="647"/>
      <c r="K45" s="648">
        <f t="shared" si="2"/>
        <v>0</v>
      </c>
    </row>
    <row r="46" spans="1:11" ht="18" customHeight="1" x14ac:dyDescent="0.3">
      <c r="A46" s="639" t="s">
        <v>140</v>
      </c>
      <c r="B46" s="1351"/>
      <c r="C46" s="1352"/>
      <c r="D46" s="1353"/>
      <c r="E46" s="742"/>
      <c r="F46" s="646"/>
      <c r="G46" s="646"/>
      <c r="H46" s="647"/>
      <c r="I46" s="673">
        <v>0</v>
      </c>
      <c r="J46" s="647"/>
      <c r="K46" s="648">
        <f t="shared" si="2"/>
        <v>0</v>
      </c>
    </row>
    <row r="47" spans="1:11" ht="18" customHeight="1" x14ac:dyDescent="0.3">
      <c r="A47" s="639" t="s">
        <v>141</v>
      </c>
      <c r="B47" s="1351"/>
      <c r="C47" s="1352"/>
      <c r="D47" s="1353"/>
      <c r="E47" s="742"/>
      <c r="F47" s="646"/>
      <c r="G47" s="646"/>
      <c r="H47" s="647"/>
      <c r="I47" s="673">
        <v>0</v>
      </c>
      <c r="J47" s="647"/>
      <c r="K47" s="648">
        <f t="shared" si="2"/>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SUM(F40:F47)</f>
        <v>13015</v>
      </c>
      <c r="G49" s="654">
        <f t="shared" ref="G49:K49" si="3">SUM(G40:G47)</f>
        <v>15044</v>
      </c>
      <c r="H49" s="654">
        <f t="shared" si="3"/>
        <v>1308509.8037499997</v>
      </c>
      <c r="I49" s="654">
        <f t="shared" si="3"/>
        <v>0</v>
      </c>
      <c r="J49" s="654">
        <f t="shared" si="3"/>
        <v>0</v>
      </c>
      <c r="K49" s="654">
        <f t="shared" si="3"/>
        <v>1308509.8037499997</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455" t="s">
        <v>424</v>
      </c>
      <c r="C53" s="1456"/>
      <c r="D53" s="1457"/>
      <c r="E53" s="742"/>
      <c r="F53" s="646"/>
      <c r="G53" s="646"/>
      <c r="H53" s="647">
        <v>10822077</v>
      </c>
      <c r="I53" s="673">
        <v>0</v>
      </c>
      <c r="J53" s="647"/>
      <c r="K53" s="648">
        <f>(H53+I53)-J53</f>
        <v>10822077</v>
      </c>
    </row>
    <row r="54" spans="1:11" ht="18" customHeight="1" x14ac:dyDescent="0.3">
      <c r="A54" s="639" t="s">
        <v>93</v>
      </c>
      <c r="B54" s="928" t="s">
        <v>560</v>
      </c>
      <c r="C54" s="913"/>
      <c r="D54" s="914"/>
      <c r="E54" s="742"/>
      <c r="F54" s="646">
        <v>0</v>
      </c>
      <c r="G54" s="646">
        <v>0</v>
      </c>
      <c r="H54" s="647">
        <v>900</v>
      </c>
      <c r="I54" s="673">
        <v>0</v>
      </c>
      <c r="J54" s="647"/>
      <c r="K54" s="648">
        <f t="shared" ref="K54:K62" si="4">(H54+I54)-J54</f>
        <v>900</v>
      </c>
    </row>
    <row r="55" spans="1:11" ht="18" customHeight="1" x14ac:dyDescent="0.3">
      <c r="A55" s="639" t="s">
        <v>94</v>
      </c>
      <c r="B55" s="1455" t="s">
        <v>559</v>
      </c>
      <c r="C55" s="1456"/>
      <c r="D55" s="1457"/>
      <c r="E55" s="742"/>
      <c r="F55" s="646">
        <v>1664</v>
      </c>
      <c r="G55" s="646">
        <v>721</v>
      </c>
      <c r="H55" s="647">
        <v>361740</v>
      </c>
      <c r="I55" s="673">
        <v>0</v>
      </c>
      <c r="J55" s="647"/>
      <c r="K55" s="648">
        <f t="shared" si="4"/>
        <v>361740</v>
      </c>
    </row>
    <row r="56" spans="1:11" ht="18" customHeight="1" x14ac:dyDescent="0.3">
      <c r="A56" s="639" t="s">
        <v>95</v>
      </c>
      <c r="B56" s="1354"/>
      <c r="C56" s="1355"/>
      <c r="D56" s="1356"/>
      <c r="E56" s="742"/>
      <c r="F56" s="646"/>
      <c r="G56" s="646"/>
      <c r="H56" s="647"/>
      <c r="I56" s="673">
        <v>0</v>
      </c>
      <c r="J56" s="647"/>
      <c r="K56" s="648">
        <f t="shared" si="4"/>
        <v>0</v>
      </c>
    </row>
    <row r="57" spans="1:11" ht="18" customHeight="1" x14ac:dyDescent="0.3">
      <c r="A57" s="639" t="s">
        <v>96</v>
      </c>
      <c r="B57" s="1354"/>
      <c r="C57" s="1355"/>
      <c r="D57" s="1356"/>
      <c r="E57" s="742"/>
      <c r="F57" s="646"/>
      <c r="G57" s="646"/>
      <c r="H57" s="647"/>
      <c r="I57" s="673">
        <v>0</v>
      </c>
      <c r="J57" s="647"/>
      <c r="K57" s="648">
        <f t="shared" si="4"/>
        <v>0</v>
      </c>
    </row>
    <row r="58" spans="1:11" ht="18" customHeight="1" x14ac:dyDescent="0.3">
      <c r="A58" s="639" t="s">
        <v>97</v>
      </c>
      <c r="B58" s="912"/>
      <c r="C58" s="913"/>
      <c r="D58" s="914"/>
      <c r="E58" s="742"/>
      <c r="F58" s="646"/>
      <c r="G58" s="646"/>
      <c r="H58" s="647"/>
      <c r="I58" s="673">
        <v>0</v>
      </c>
      <c r="J58" s="647"/>
      <c r="K58" s="648">
        <f t="shared" si="4"/>
        <v>0</v>
      </c>
    </row>
    <row r="59" spans="1:11" ht="18" customHeight="1" x14ac:dyDescent="0.3">
      <c r="A59" s="639" t="s">
        <v>98</v>
      </c>
      <c r="B59" s="1354"/>
      <c r="C59" s="1355"/>
      <c r="D59" s="1356"/>
      <c r="E59" s="742"/>
      <c r="F59" s="646"/>
      <c r="G59" s="646"/>
      <c r="H59" s="647"/>
      <c r="I59" s="673">
        <v>0</v>
      </c>
      <c r="J59" s="647"/>
      <c r="K59" s="648">
        <f t="shared" si="4"/>
        <v>0</v>
      </c>
    </row>
    <row r="60" spans="1:11" ht="18" customHeight="1" x14ac:dyDescent="0.3">
      <c r="A60" s="639" t="s">
        <v>99</v>
      </c>
      <c r="B60" s="912"/>
      <c r="C60" s="913"/>
      <c r="D60" s="914"/>
      <c r="E60" s="742"/>
      <c r="F60" s="646"/>
      <c r="G60" s="646"/>
      <c r="H60" s="647"/>
      <c r="I60" s="673">
        <v>0</v>
      </c>
      <c r="J60" s="647"/>
      <c r="K60" s="648">
        <f t="shared" si="4"/>
        <v>0</v>
      </c>
    </row>
    <row r="61" spans="1:11" ht="18" customHeight="1" x14ac:dyDescent="0.3">
      <c r="A61" s="639" t="s">
        <v>100</v>
      </c>
      <c r="B61" s="912"/>
      <c r="C61" s="913"/>
      <c r="D61" s="914"/>
      <c r="E61" s="742"/>
      <c r="F61" s="646"/>
      <c r="G61" s="646"/>
      <c r="H61" s="647"/>
      <c r="I61" s="673">
        <v>0</v>
      </c>
      <c r="J61" s="647"/>
      <c r="K61" s="648">
        <f t="shared" si="4"/>
        <v>0</v>
      </c>
    </row>
    <row r="62" spans="1:11" ht="18" customHeight="1" x14ac:dyDescent="0.3">
      <c r="A62" s="639" t="s">
        <v>101</v>
      </c>
      <c r="B62" s="1354"/>
      <c r="C62" s="1355"/>
      <c r="D62" s="1356"/>
      <c r="E62" s="742"/>
      <c r="F62" s="646"/>
      <c r="G62" s="646"/>
      <c r="H62" s="647"/>
      <c r="I62" s="673">
        <v>0</v>
      </c>
      <c r="J62" s="647"/>
      <c r="K62" s="648">
        <f t="shared" si="4"/>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SUM(F53:F62)</f>
        <v>1664</v>
      </c>
      <c r="G64" s="650">
        <f t="shared" ref="G64:K64" si="5">SUM(G53:G62)</f>
        <v>721</v>
      </c>
      <c r="H64" s="650">
        <f t="shared" si="5"/>
        <v>11184717</v>
      </c>
      <c r="I64" s="650">
        <f t="shared" si="5"/>
        <v>0</v>
      </c>
      <c r="J64" s="650">
        <f t="shared" si="5"/>
        <v>0</v>
      </c>
      <c r="K64" s="650">
        <f t="shared" si="5"/>
        <v>11184717</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486">
        <v>351299</v>
      </c>
      <c r="I68" s="673">
        <v>0</v>
      </c>
      <c r="J68" s="486">
        <v>230945</v>
      </c>
      <c r="K68" s="648">
        <f>(H68+I68)-J68</f>
        <v>120354</v>
      </c>
    </row>
    <row r="69" spans="1:11" ht="18" customHeight="1" x14ac:dyDescent="0.3">
      <c r="A69" s="639" t="s">
        <v>104</v>
      </c>
      <c r="B69" s="635" t="s">
        <v>53</v>
      </c>
      <c r="C69" s="742"/>
      <c r="D69" s="742"/>
      <c r="E69" s="742"/>
      <c r="F69" s="674"/>
      <c r="G69" s="674"/>
      <c r="H69" s="674"/>
      <c r="I69" s="673">
        <v>0</v>
      </c>
      <c r="J69" s="674"/>
      <c r="K69" s="648">
        <f t="shared" ref="K69:K72" si="6">(H69+I69)-J69</f>
        <v>0</v>
      </c>
    </row>
    <row r="70" spans="1:11" ht="18" customHeight="1" x14ac:dyDescent="0.3">
      <c r="A70" s="639" t="s">
        <v>178</v>
      </c>
      <c r="B70" s="1284" t="s">
        <v>829</v>
      </c>
      <c r="C70" s="1285"/>
      <c r="D70" s="1286"/>
      <c r="E70" s="636"/>
      <c r="F70" s="658"/>
      <c r="G70" s="658"/>
      <c r="H70" s="659">
        <v>7041</v>
      </c>
      <c r="I70" s="673">
        <v>0</v>
      </c>
      <c r="J70" s="659">
        <v>0</v>
      </c>
      <c r="K70" s="648">
        <f t="shared" ref="K70" si="7">(H70+I70)-J70</f>
        <v>7041</v>
      </c>
    </row>
    <row r="71" spans="1:11" ht="18" customHeight="1" x14ac:dyDescent="0.3">
      <c r="A71" s="639" t="s">
        <v>179</v>
      </c>
      <c r="B71" s="912"/>
      <c r="C71" s="913"/>
      <c r="D71" s="914"/>
      <c r="E71" s="636"/>
      <c r="F71" s="658"/>
      <c r="G71" s="658"/>
      <c r="H71" s="659"/>
      <c r="I71" s="673"/>
      <c r="J71" s="659"/>
      <c r="K71" s="648"/>
    </row>
    <row r="72" spans="1:11" ht="18" customHeight="1" x14ac:dyDescent="0.3">
      <c r="A72" s="639" t="s">
        <v>180</v>
      </c>
      <c r="B72" s="930"/>
      <c r="C72" s="929"/>
      <c r="D72" s="657"/>
      <c r="E72" s="636"/>
      <c r="F72" s="646"/>
      <c r="G72" s="646"/>
      <c r="H72" s="647"/>
      <c r="I72" s="673">
        <v>0</v>
      </c>
      <c r="J72" s="647"/>
      <c r="K72" s="648">
        <f t="shared" si="6"/>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SUM(F68:F72)</f>
        <v>0</v>
      </c>
      <c r="G74" s="653">
        <f t="shared" ref="G74:K74" si="8">SUM(G68:G72)</f>
        <v>0</v>
      </c>
      <c r="H74" s="653">
        <f t="shared" si="8"/>
        <v>358340</v>
      </c>
      <c r="I74" s="653">
        <f t="shared" si="8"/>
        <v>0</v>
      </c>
      <c r="J74" s="653">
        <f t="shared" si="8"/>
        <v>230945</v>
      </c>
      <c r="K74" s="653">
        <f t="shared" si="8"/>
        <v>127395</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v>100</v>
      </c>
      <c r="G77" s="646">
        <v>1000</v>
      </c>
      <c r="H77" s="647">
        <v>301623.42499999999</v>
      </c>
      <c r="I77" s="673">
        <v>0</v>
      </c>
      <c r="J77" s="647">
        <v>0</v>
      </c>
      <c r="K77" s="648">
        <f>(H77+I77)-J77</f>
        <v>301623.42499999999</v>
      </c>
    </row>
    <row r="78" spans="1:11" ht="18" customHeight="1" x14ac:dyDescent="0.3">
      <c r="A78" s="639" t="s">
        <v>108</v>
      </c>
      <c r="B78" s="635" t="s">
        <v>55</v>
      </c>
      <c r="C78" s="742"/>
      <c r="D78" s="742"/>
      <c r="E78" s="742"/>
      <c r="F78" s="646">
        <v>0</v>
      </c>
      <c r="G78" s="646">
        <v>0</v>
      </c>
      <c r="H78" s="647">
        <v>0</v>
      </c>
      <c r="I78" s="673">
        <v>0</v>
      </c>
      <c r="J78" s="647">
        <v>0</v>
      </c>
      <c r="K78" s="648">
        <f t="shared" ref="K78:K80" si="9">(H78+I78)-J78</f>
        <v>0</v>
      </c>
    </row>
    <row r="79" spans="1:11" ht="18" customHeight="1" x14ac:dyDescent="0.3">
      <c r="A79" s="639" t="s">
        <v>109</v>
      </c>
      <c r="B79" s="635" t="s">
        <v>13</v>
      </c>
      <c r="C79" s="742"/>
      <c r="D79" s="742"/>
      <c r="E79" s="742"/>
      <c r="F79" s="646">
        <v>656</v>
      </c>
      <c r="G79" s="646">
        <v>3680</v>
      </c>
      <c r="H79" s="647">
        <v>225312.9535</v>
      </c>
      <c r="I79" s="673">
        <v>0</v>
      </c>
      <c r="J79" s="647">
        <v>0</v>
      </c>
      <c r="K79" s="648">
        <f t="shared" si="9"/>
        <v>225312.9535</v>
      </c>
    </row>
    <row r="80" spans="1:11" ht="18" customHeight="1" x14ac:dyDescent="0.3">
      <c r="A80" s="639" t="s">
        <v>110</v>
      </c>
      <c r="B80" s="635" t="s">
        <v>56</v>
      </c>
      <c r="C80" s="742"/>
      <c r="D80" s="742"/>
      <c r="E80" s="742"/>
      <c r="F80" s="646">
        <v>0</v>
      </c>
      <c r="G80" s="646">
        <v>0</v>
      </c>
      <c r="H80" s="647">
        <v>250000</v>
      </c>
      <c r="I80" s="673">
        <v>48750</v>
      </c>
      <c r="J80" s="647">
        <v>0</v>
      </c>
      <c r="K80" s="648">
        <f t="shared" si="9"/>
        <v>298750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1288">
        <f>SUM(F77:F80)</f>
        <v>756</v>
      </c>
      <c r="G82" s="1288">
        <f>SUM(G77:G80)</f>
        <v>4680</v>
      </c>
      <c r="H82" s="1288">
        <f t="shared" ref="H82:K82" si="10">SUM(H77:H80)</f>
        <v>776936.37849999999</v>
      </c>
      <c r="I82" s="1288">
        <f t="shared" si="10"/>
        <v>48750</v>
      </c>
      <c r="J82" s="1288">
        <f t="shared" si="10"/>
        <v>0</v>
      </c>
      <c r="K82" s="1288">
        <f t="shared" si="10"/>
        <v>825686.37849999999</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v>0</v>
      </c>
      <c r="G86" s="646">
        <v>0</v>
      </c>
      <c r="H86" s="647">
        <v>0</v>
      </c>
      <c r="I86" s="673">
        <v>0</v>
      </c>
      <c r="J86" s="647">
        <v>0</v>
      </c>
      <c r="K86" s="648">
        <f>(H86+I86)-J86</f>
        <v>0</v>
      </c>
    </row>
    <row r="87" spans="1:11" ht="18" customHeight="1" x14ac:dyDescent="0.3">
      <c r="A87" s="639" t="s">
        <v>114</v>
      </c>
      <c r="B87" s="635" t="s">
        <v>14</v>
      </c>
      <c r="C87" s="742"/>
      <c r="D87" s="742"/>
      <c r="E87" s="742"/>
      <c r="F87" s="646"/>
      <c r="G87" s="646"/>
      <c r="H87" s="647"/>
      <c r="I87" s="673">
        <v>0</v>
      </c>
      <c r="J87" s="647"/>
      <c r="K87" s="648">
        <f t="shared" ref="K87:K96" si="11">(H87+I87)-J87</f>
        <v>0</v>
      </c>
    </row>
    <row r="88" spans="1:11" ht="18" customHeight="1" x14ac:dyDescent="0.3">
      <c r="A88" s="639" t="s">
        <v>115</v>
      </c>
      <c r="B88" s="635" t="s">
        <v>116</v>
      </c>
      <c r="C88" s="742"/>
      <c r="D88" s="742"/>
      <c r="E88" s="742"/>
      <c r="F88" s="646">
        <v>2040</v>
      </c>
      <c r="G88" s="646">
        <v>68</v>
      </c>
      <c r="H88" s="647">
        <v>240437.62</v>
      </c>
      <c r="I88" s="673">
        <v>161694.29944999999</v>
      </c>
      <c r="J88" s="647">
        <v>0</v>
      </c>
      <c r="K88" s="648">
        <f t="shared" si="11"/>
        <v>402131.91944999999</v>
      </c>
    </row>
    <row r="89" spans="1:11" ht="18" customHeight="1" x14ac:dyDescent="0.3">
      <c r="A89" s="639" t="s">
        <v>117</v>
      </c>
      <c r="B89" s="635" t="s">
        <v>58</v>
      </c>
      <c r="C89" s="742"/>
      <c r="D89" s="742"/>
      <c r="E89" s="742"/>
      <c r="F89" s="646"/>
      <c r="G89" s="646"/>
      <c r="H89" s="647"/>
      <c r="I89" s="673">
        <v>0</v>
      </c>
      <c r="J89" s="647"/>
      <c r="K89" s="648">
        <f t="shared" si="11"/>
        <v>0</v>
      </c>
    </row>
    <row r="90" spans="1:11" ht="18" customHeight="1" x14ac:dyDescent="0.3">
      <c r="A90" s="639" t="s">
        <v>118</v>
      </c>
      <c r="B90" s="1359" t="s">
        <v>59</v>
      </c>
      <c r="C90" s="1359"/>
      <c r="D90" s="742"/>
      <c r="E90" s="742"/>
      <c r="F90" s="646"/>
      <c r="G90" s="646"/>
      <c r="H90" s="647"/>
      <c r="I90" s="673">
        <v>0</v>
      </c>
      <c r="J90" s="647"/>
      <c r="K90" s="648">
        <f t="shared" si="11"/>
        <v>0</v>
      </c>
    </row>
    <row r="91" spans="1:11" ht="18" customHeight="1" x14ac:dyDescent="0.3">
      <c r="A91" s="639" t="s">
        <v>119</v>
      </c>
      <c r="B91" s="635" t="s">
        <v>60</v>
      </c>
      <c r="C91" s="742"/>
      <c r="D91" s="742"/>
      <c r="E91" s="742"/>
      <c r="F91" s="646"/>
      <c r="G91" s="646"/>
      <c r="H91" s="647"/>
      <c r="I91" s="673">
        <v>0</v>
      </c>
      <c r="J91" s="647"/>
      <c r="K91" s="648">
        <f t="shared" si="11"/>
        <v>0</v>
      </c>
    </row>
    <row r="92" spans="1:11" ht="18" customHeight="1" x14ac:dyDescent="0.3">
      <c r="A92" s="639" t="s">
        <v>120</v>
      </c>
      <c r="B92" s="635" t="s">
        <v>121</v>
      </c>
      <c r="C92" s="742"/>
      <c r="D92" s="742"/>
      <c r="E92" s="742"/>
      <c r="F92" s="661"/>
      <c r="G92" s="661"/>
      <c r="H92" s="662"/>
      <c r="I92" s="673">
        <v>0</v>
      </c>
      <c r="J92" s="662"/>
      <c r="K92" s="648">
        <f t="shared" si="11"/>
        <v>0</v>
      </c>
    </row>
    <row r="93" spans="1:11" ht="18" customHeight="1" x14ac:dyDescent="0.3">
      <c r="A93" s="639" t="s">
        <v>122</v>
      </c>
      <c r="B93" s="635" t="s">
        <v>123</v>
      </c>
      <c r="C93" s="742"/>
      <c r="D93" s="742"/>
      <c r="E93" s="742"/>
      <c r="F93" s="646"/>
      <c r="G93" s="646"/>
      <c r="H93" s="647"/>
      <c r="I93" s="673">
        <v>0</v>
      </c>
      <c r="J93" s="647"/>
      <c r="K93" s="648">
        <f t="shared" si="11"/>
        <v>0</v>
      </c>
    </row>
    <row r="94" spans="1:11" ht="18" customHeight="1" x14ac:dyDescent="0.3">
      <c r="A94" s="639" t="s">
        <v>124</v>
      </c>
      <c r="B94" s="1354"/>
      <c r="C94" s="1355"/>
      <c r="D94" s="1356"/>
      <c r="E94" s="742"/>
      <c r="F94" s="646"/>
      <c r="G94" s="646"/>
      <c r="H94" s="647"/>
      <c r="I94" s="673">
        <v>0</v>
      </c>
      <c r="J94" s="647"/>
      <c r="K94" s="648">
        <f t="shared" si="11"/>
        <v>0</v>
      </c>
    </row>
    <row r="95" spans="1:11" ht="18" customHeight="1" x14ac:dyDescent="0.3">
      <c r="A95" s="639" t="s">
        <v>125</v>
      </c>
      <c r="B95" s="1354"/>
      <c r="C95" s="1355"/>
      <c r="D95" s="1356"/>
      <c r="E95" s="742"/>
      <c r="F95" s="646"/>
      <c r="G95" s="646"/>
      <c r="H95" s="647"/>
      <c r="I95" s="673">
        <v>0</v>
      </c>
      <c r="J95" s="647"/>
      <c r="K95" s="648">
        <f t="shared" si="11"/>
        <v>0</v>
      </c>
    </row>
    <row r="96" spans="1:11" ht="18" customHeight="1" x14ac:dyDescent="0.3">
      <c r="A96" s="639" t="s">
        <v>126</v>
      </c>
      <c r="B96" s="1354"/>
      <c r="C96" s="1355"/>
      <c r="D96" s="1356"/>
      <c r="E96" s="742"/>
      <c r="F96" s="646"/>
      <c r="G96" s="646"/>
      <c r="H96" s="647"/>
      <c r="I96" s="673">
        <v>0</v>
      </c>
      <c r="J96" s="647"/>
      <c r="K96" s="648">
        <f t="shared" si="11"/>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SUM(F86:F96)</f>
        <v>2040</v>
      </c>
      <c r="G98" s="650">
        <f t="shared" ref="G98:K98" si="12">SUM(G86:G96)</f>
        <v>68</v>
      </c>
      <c r="H98" s="650">
        <f t="shared" si="12"/>
        <v>240437.62</v>
      </c>
      <c r="I98" s="650">
        <f t="shared" si="12"/>
        <v>161694.29944999999</v>
      </c>
      <c r="J98" s="650">
        <f t="shared" si="12"/>
        <v>0</v>
      </c>
      <c r="K98" s="650">
        <f t="shared" si="12"/>
        <v>402131.91944999999</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2647</v>
      </c>
      <c r="G102" s="646">
        <v>0</v>
      </c>
      <c r="H102" s="647">
        <v>245402.361</v>
      </c>
      <c r="I102" s="673">
        <v>165033.0877725</v>
      </c>
      <c r="J102" s="647">
        <v>0</v>
      </c>
      <c r="K102" s="648">
        <f>(H102+I102)-J102</f>
        <v>410435.44877250004</v>
      </c>
    </row>
    <row r="103" spans="1:11" ht="18" customHeight="1" x14ac:dyDescent="0.3">
      <c r="A103" s="639" t="s">
        <v>132</v>
      </c>
      <c r="B103" s="1357" t="s">
        <v>62</v>
      </c>
      <c r="C103" s="1357"/>
      <c r="D103" s="742"/>
      <c r="E103" s="742"/>
      <c r="F103" s="646"/>
      <c r="G103" s="646"/>
      <c r="H103" s="647"/>
      <c r="I103" s="673">
        <v>0</v>
      </c>
      <c r="J103" s="647"/>
      <c r="K103" s="648">
        <f t="shared" ref="K103:K106" si="13">(H103+I103)-J103</f>
        <v>0</v>
      </c>
    </row>
    <row r="104" spans="1:11" ht="18" customHeight="1" x14ac:dyDescent="0.3">
      <c r="A104" s="639" t="s">
        <v>128</v>
      </c>
      <c r="B104" s="1354"/>
      <c r="C104" s="1355"/>
      <c r="D104" s="1356"/>
      <c r="E104" s="742"/>
      <c r="F104" s="646"/>
      <c r="G104" s="646"/>
      <c r="H104" s="647"/>
      <c r="I104" s="673">
        <v>0</v>
      </c>
      <c r="J104" s="647"/>
      <c r="K104" s="648">
        <f t="shared" si="13"/>
        <v>0</v>
      </c>
    </row>
    <row r="105" spans="1:11" ht="18" customHeight="1" x14ac:dyDescent="0.3">
      <c r="A105" s="639" t="s">
        <v>127</v>
      </c>
      <c r="B105" s="1354"/>
      <c r="C105" s="1355"/>
      <c r="D105" s="1356"/>
      <c r="E105" s="742"/>
      <c r="F105" s="646"/>
      <c r="G105" s="646"/>
      <c r="H105" s="647"/>
      <c r="I105" s="673">
        <v>0</v>
      </c>
      <c r="J105" s="647"/>
      <c r="K105" s="648">
        <f t="shared" si="13"/>
        <v>0</v>
      </c>
    </row>
    <row r="106" spans="1:11" ht="18" customHeight="1" x14ac:dyDescent="0.3">
      <c r="A106" s="639" t="s">
        <v>129</v>
      </c>
      <c r="B106" s="1354"/>
      <c r="C106" s="1355"/>
      <c r="D106" s="1356"/>
      <c r="E106" s="742"/>
      <c r="F106" s="646"/>
      <c r="G106" s="646"/>
      <c r="H106" s="647"/>
      <c r="I106" s="673">
        <v>0</v>
      </c>
      <c r="J106" s="647"/>
      <c r="K106" s="648">
        <f t="shared" si="13"/>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SUM(F102:F107)</f>
        <v>2647</v>
      </c>
      <c r="G108" s="650">
        <f t="shared" ref="G108:K108" si="14">SUM(G102:G107)</f>
        <v>0</v>
      </c>
      <c r="H108" s="650">
        <f t="shared" si="14"/>
        <v>245402.361</v>
      </c>
      <c r="I108" s="650">
        <f t="shared" si="14"/>
        <v>165033.0877725</v>
      </c>
      <c r="J108" s="650">
        <f t="shared" si="14"/>
        <v>0</v>
      </c>
      <c r="K108" s="650">
        <f t="shared" si="14"/>
        <v>410435.44877250004</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3368221.85</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v>0.67249999999999999</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259837000</v>
      </c>
      <c r="G117" s="740"/>
      <c r="H117" s="740"/>
      <c r="I117" s="740"/>
      <c r="J117" s="740"/>
      <c r="K117" s="740"/>
    </row>
    <row r="118" spans="1:11" ht="18" customHeight="1" x14ac:dyDescent="0.3">
      <c r="A118" s="639" t="s">
        <v>173</v>
      </c>
      <c r="B118" s="742" t="s">
        <v>18</v>
      </c>
      <c r="C118" s="742"/>
      <c r="D118" s="742"/>
      <c r="E118" s="742"/>
      <c r="F118" s="647">
        <v>13680000</v>
      </c>
      <c r="G118" s="740"/>
      <c r="H118" s="740"/>
      <c r="I118" s="740"/>
      <c r="J118" s="740"/>
      <c r="K118" s="740"/>
    </row>
    <row r="119" spans="1:11" ht="18" customHeight="1" x14ac:dyDescent="0.3">
      <c r="A119" s="639" t="s">
        <v>174</v>
      </c>
      <c r="B119" s="636" t="s">
        <v>19</v>
      </c>
      <c r="C119" s="742"/>
      <c r="D119" s="742"/>
      <c r="E119" s="742"/>
      <c r="F119" s="649">
        <v>273517000</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260413000</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v>13104000</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11674000</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v>24778000</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2" ht="42.75" customHeight="1" x14ac:dyDescent="0.3">
      <c r="A129" s="633"/>
      <c r="B129" s="742"/>
      <c r="C129" s="742"/>
      <c r="D129" s="742"/>
      <c r="E129" s="742"/>
      <c r="F129" s="641" t="s">
        <v>9</v>
      </c>
      <c r="G129" s="641" t="s">
        <v>37</v>
      </c>
      <c r="H129" s="641" t="s">
        <v>29</v>
      </c>
      <c r="I129" s="641" t="s">
        <v>30</v>
      </c>
      <c r="J129" s="641" t="s">
        <v>33</v>
      </c>
      <c r="K129" s="641" t="s">
        <v>34</v>
      </c>
    </row>
    <row r="130" spans="1:12" ht="18" customHeight="1" x14ac:dyDescent="0.3">
      <c r="A130" s="639" t="s">
        <v>157</v>
      </c>
      <c r="B130" s="636" t="s">
        <v>23</v>
      </c>
      <c r="C130" s="742"/>
      <c r="D130" s="742"/>
      <c r="E130" s="742"/>
      <c r="F130" s="742"/>
      <c r="G130" s="742"/>
      <c r="H130" s="742"/>
      <c r="I130" s="742"/>
      <c r="J130" s="742"/>
      <c r="K130" s="742"/>
    </row>
    <row r="131" spans="1:12" ht="18" customHeight="1" x14ac:dyDescent="0.3">
      <c r="A131" s="639" t="s">
        <v>158</v>
      </c>
      <c r="B131" s="742" t="s">
        <v>24</v>
      </c>
      <c r="C131" s="742"/>
      <c r="D131" s="742"/>
      <c r="E131" s="742"/>
      <c r="F131" s="646"/>
      <c r="G131" s="646"/>
      <c r="H131" s="647"/>
      <c r="I131" s="673">
        <v>0</v>
      </c>
      <c r="J131" s="647"/>
      <c r="K131" s="648">
        <v>0</v>
      </c>
    </row>
    <row r="132" spans="1:12" ht="18" customHeight="1" x14ac:dyDescent="0.3">
      <c r="A132" s="639" t="s">
        <v>159</v>
      </c>
      <c r="B132" s="742" t="s">
        <v>25</v>
      </c>
      <c r="C132" s="742"/>
      <c r="D132" s="742"/>
      <c r="E132" s="742"/>
      <c r="F132" s="646"/>
      <c r="G132" s="646"/>
      <c r="H132" s="647"/>
      <c r="I132" s="673">
        <v>0</v>
      </c>
      <c r="J132" s="647"/>
      <c r="K132" s="648">
        <v>0</v>
      </c>
    </row>
    <row r="133" spans="1:12" ht="18" customHeight="1" x14ac:dyDescent="0.3">
      <c r="A133" s="639" t="s">
        <v>160</v>
      </c>
      <c r="B133" s="1351"/>
      <c r="C133" s="1352"/>
      <c r="D133" s="1353"/>
      <c r="E133" s="742"/>
      <c r="F133" s="646"/>
      <c r="G133" s="646"/>
      <c r="H133" s="647"/>
      <c r="I133" s="673">
        <v>0</v>
      </c>
      <c r="J133" s="647"/>
      <c r="K133" s="648">
        <v>0</v>
      </c>
    </row>
    <row r="134" spans="1:12" ht="18" customHeight="1" x14ac:dyDescent="0.3">
      <c r="A134" s="639" t="s">
        <v>161</v>
      </c>
      <c r="B134" s="1351"/>
      <c r="C134" s="1352"/>
      <c r="D134" s="1353"/>
      <c r="E134" s="742"/>
      <c r="F134" s="646"/>
      <c r="G134" s="646"/>
      <c r="H134" s="647"/>
      <c r="I134" s="673">
        <v>0</v>
      </c>
      <c r="J134" s="647"/>
      <c r="K134" s="648">
        <v>0</v>
      </c>
    </row>
    <row r="135" spans="1:12" ht="18" customHeight="1" x14ac:dyDescent="0.3">
      <c r="A135" s="639" t="s">
        <v>162</v>
      </c>
      <c r="B135" s="1351"/>
      <c r="C135" s="1352"/>
      <c r="D135" s="1353"/>
      <c r="E135" s="742"/>
      <c r="F135" s="646"/>
      <c r="G135" s="646"/>
      <c r="H135" s="647"/>
      <c r="I135" s="673">
        <v>0</v>
      </c>
      <c r="J135" s="647"/>
      <c r="K135" s="648">
        <v>0</v>
      </c>
    </row>
    <row r="136" spans="1:12" ht="18" customHeight="1" x14ac:dyDescent="0.3">
      <c r="A136" s="639"/>
      <c r="B136" s="742"/>
      <c r="C136" s="742"/>
      <c r="D136" s="742"/>
      <c r="E136" s="742"/>
      <c r="F136" s="742"/>
      <c r="G136" s="742"/>
      <c r="H136" s="742"/>
      <c r="I136" s="742"/>
      <c r="J136" s="742"/>
      <c r="K136" s="742"/>
    </row>
    <row r="137" spans="1:12" ht="18" customHeight="1" x14ac:dyDescent="0.3">
      <c r="A137" s="639" t="s">
        <v>163</v>
      </c>
      <c r="B137" s="636" t="s">
        <v>27</v>
      </c>
      <c r="C137" s="742"/>
      <c r="D137" s="742"/>
      <c r="E137" s="742"/>
      <c r="F137" s="650">
        <v>0</v>
      </c>
      <c r="G137" s="650">
        <v>0</v>
      </c>
      <c r="H137" s="648">
        <v>0</v>
      </c>
      <c r="I137" s="648">
        <v>0</v>
      </c>
      <c r="J137" s="648">
        <v>0</v>
      </c>
      <c r="K137" s="648">
        <v>0</v>
      </c>
    </row>
    <row r="138" spans="1:12" ht="18" customHeight="1" x14ac:dyDescent="0.25">
      <c r="A138" s="633"/>
      <c r="B138" s="742"/>
      <c r="C138" s="742"/>
      <c r="D138" s="742"/>
      <c r="E138" s="742"/>
      <c r="F138" s="742"/>
      <c r="G138" s="742"/>
      <c r="H138" s="742"/>
      <c r="I138" s="742"/>
      <c r="J138" s="742"/>
      <c r="K138" s="742"/>
    </row>
    <row r="139" spans="1:12" ht="42.75" customHeight="1" x14ac:dyDescent="0.3">
      <c r="A139" s="633"/>
      <c r="B139" s="742"/>
      <c r="C139" s="742"/>
      <c r="D139" s="742"/>
      <c r="E139" s="742"/>
      <c r="F139" s="641" t="s">
        <v>9</v>
      </c>
      <c r="G139" s="641" t="s">
        <v>37</v>
      </c>
      <c r="H139" s="641" t="s">
        <v>29</v>
      </c>
      <c r="I139" s="641" t="s">
        <v>30</v>
      </c>
      <c r="J139" s="641" t="s">
        <v>33</v>
      </c>
      <c r="K139" s="641" t="s">
        <v>34</v>
      </c>
    </row>
    <row r="140" spans="1:12" ht="18" customHeight="1" x14ac:dyDescent="0.3">
      <c r="A140" s="639" t="s">
        <v>166</v>
      </c>
      <c r="B140" s="636" t="s">
        <v>26</v>
      </c>
      <c r="C140" s="742"/>
      <c r="D140" s="742"/>
      <c r="E140" s="742"/>
      <c r="F140" s="742"/>
      <c r="G140" s="742"/>
      <c r="H140" s="742"/>
      <c r="I140" s="742"/>
      <c r="J140" s="742"/>
      <c r="K140" s="742"/>
    </row>
    <row r="141" spans="1:12" ht="18" customHeight="1" x14ac:dyDescent="0.3">
      <c r="A141" s="639" t="s">
        <v>137</v>
      </c>
      <c r="B141" s="636" t="s">
        <v>64</v>
      </c>
      <c r="C141" s="742"/>
      <c r="D141" s="742"/>
      <c r="E141" s="742"/>
      <c r="F141" s="664">
        <f>F36</f>
        <v>15780.5</v>
      </c>
      <c r="G141" s="664">
        <f t="shared" ref="G141:K141" si="15">G36</f>
        <v>895855</v>
      </c>
      <c r="H141" s="664">
        <f t="shared" si="15"/>
        <v>2483991.6687500002</v>
      </c>
      <c r="I141" s="664">
        <f t="shared" si="15"/>
        <v>1426591.8350343751</v>
      </c>
      <c r="J141" s="664">
        <f t="shared" si="15"/>
        <v>124103</v>
      </c>
      <c r="K141" s="664">
        <f t="shared" si="15"/>
        <v>3786480.5037843753</v>
      </c>
      <c r="L141" s="1156"/>
    </row>
    <row r="142" spans="1:12" ht="18" customHeight="1" x14ac:dyDescent="0.3">
      <c r="A142" s="639" t="s">
        <v>142</v>
      </c>
      <c r="B142" s="636" t="s">
        <v>65</v>
      </c>
      <c r="C142" s="742"/>
      <c r="D142" s="742"/>
      <c r="E142" s="742"/>
      <c r="F142" s="664">
        <f>F49</f>
        <v>13015</v>
      </c>
      <c r="G142" s="664">
        <f>G49</f>
        <v>15044</v>
      </c>
      <c r="H142" s="664">
        <f t="shared" ref="H142:K142" si="16">H49</f>
        <v>1308509.8037499997</v>
      </c>
      <c r="I142" s="664">
        <f t="shared" si="16"/>
        <v>0</v>
      </c>
      <c r="J142" s="664">
        <f t="shared" si="16"/>
        <v>0</v>
      </c>
      <c r="K142" s="664">
        <f t="shared" si="16"/>
        <v>1308509.8037499997</v>
      </c>
      <c r="L142" s="1156"/>
    </row>
    <row r="143" spans="1:12" ht="18" customHeight="1" x14ac:dyDescent="0.3">
      <c r="A143" s="639" t="s">
        <v>144</v>
      </c>
      <c r="B143" s="636" t="s">
        <v>66</v>
      </c>
      <c r="C143" s="742"/>
      <c r="D143" s="742"/>
      <c r="E143" s="742"/>
      <c r="F143" s="664">
        <f>F64</f>
        <v>1664</v>
      </c>
      <c r="G143" s="664">
        <f t="shared" ref="G143:K143" si="17">G64</f>
        <v>721</v>
      </c>
      <c r="H143" s="664">
        <f t="shared" si="17"/>
        <v>11184717</v>
      </c>
      <c r="I143" s="664">
        <f t="shared" si="17"/>
        <v>0</v>
      </c>
      <c r="J143" s="664">
        <f t="shared" si="17"/>
        <v>0</v>
      </c>
      <c r="K143" s="664">
        <f t="shared" si="17"/>
        <v>11184717</v>
      </c>
      <c r="L143" s="1156"/>
    </row>
    <row r="144" spans="1:12" ht="18" customHeight="1" x14ac:dyDescent="0.3">
      <c r="A144" s="639" t="s">
        <v>146</v>
      </c>
      <c r="B144" s="636" t="s">
        <v>67</v>
      </c>
      <c r="C144" s="742"/>
      <c r="D144" s="742"/>
      <c r="E144" s="742"/>
      <c r="F144" s="664">
        <f>F74</f>
        <v>0</v>
      </c>
      <c r="G144" s="664">
        <f t="shared" ref="G144:K144" si="18">G74</f>
        <v>0</v>
      </c>
      <c r="H144" s="664">
        <f t="shared" si="18"/>
        <v>358340</v>
      </c>
      <c r="I144" s="664">
        <f t="shared" si="18"/>
        <v>0</v>
      </c>
      <c r="J144" s="664">
        <f t="shared" si="18"/>
        <v>230945</v>
      </c>
      <c r="K144" s="664">
        <f t="shared" si="18"/>
        <v>127395</v>
      </c>
      <c r="L144" s="1156"/>
    </row>
    <row r="145" spans="1:12" ht="18" customHeight="1" x14ac:dyDescent="0.3">
      <c r="A145" s="639" t="s">
        <v>148</v>
      </c>
      <c r="B145" s="636" t="s">
        <v>68</v>
      </c>
      <c r="C145" s="742"/>
      <c r="D145" s="742"/>
      <c r="E145" s="742"/>
      <c r="F145" s="664">
        <f>F82</f>
        <v>756</v>
      </c>
      <c r="G145" s="664">
        <f t="shared" ref="G145:K145" si="19">G82</f>
        <v>4680</v>
      </c>
      <c r="H145" s="664">
        <f t="shared" si="19"/>
        <v>776936.37849999999</v>
      </c>
      <c r="I145" s="664">
        <f t="shared" si="19"/>
        <v>48750</v>
      </c>
      <c r="J145" s="664">
        <f t="shared" si="19"/>
        <v>0</v>
      </c>
      <c r="K145" s="664">
        <f t="shared" si="19"/>
        <v>825686.37849999999</v>
      </c>
      <c r="L145" s="1156"/>
    </row>
    <row r="146" spans="1:12" ht="18" customHeight="1" x14ac:dyDescent="0.3">
      <c r="A146" s="639" t="s">
        <v>150</v>
      </c>
      <c r="B146" s="636" t="s">
        <v>69</v>
      </c>
      <c r="C146" s="742"/>
      <c r="D146" s="742"/>
      <c r="E146" s="742"/>
      <c r="F146" s="664">
        <f>F98</f>
        <v>2040</v>
      </c>
      <c r="G146" s="664">
        <f t="shared" ref="G146:K146" si="20">G98</f>
        <v>68</v>
      </c>
      <c r="H146" s="664">
        <f t="shared" si="20"/>
        <v>240437.62</v>
      </c>
      <c r="I146" s="664">
        <f t="shared" si="20"/>
        <v>161694.29944999999</v>
      </c>
      <c r="J146" s="664">
        <f t="shared" si="20"/>
        <v>0</v>
      </c>
      <c r="K146" s="664">
        <f t="shared" si="20"/>
        <v>402131.91944999999</v>
      </c>
      <c r="L146" s="1156"/>
    </row>
    <row r="147" spans="1:12" ht="18" customHeight="1" x14ac:dyDescent="0.3">
      <c r="A147" s="639" t="s">
        <v>153</v>
      </c>
      <c r="B147" s="636" t="s">
        <v>61</v>
      </c>
      <c r="C147" s="742"/>
      <c r="D147" s="742"/>
      <c r="E147" s="742"/>
      <c r="F147" s="650">
        <f>F108</f>
        <v>2647</v>
      </c>
      <c r="G147" s="650">
        <f t="shared" ref="G147:K147" si="21">G108</f>
        <v>0</v>
      </c>
      <c r="H147" s="650">
        <f t="shared" si="21"/>
        <v>245402.361</v>
      </c>
      <c r="I147" s="650">
        <f t="shared" si="21"/>
        <v>165033.0877725</v>
      </c>
      <c r="J147" s="650">
        <f t="shared" si="21"/>
        <v>0</v>
      </c>
      <c r="K147" s="650">
        <f t="shared" si="21"/>
        <v>410435.44877250004</v>
      </c>
      <c r="L147" s="1156"/>
    </row>
    <row r="148" spans="1:12" ht="18" customHeight="1" x14ac:dyDescent="0.3">
      <c r="A148" s="639" t="s">
        <v>155</v>
      </c>
      <c r="B148" s="636" t="s">
        <v>70</v>
      </c>
      <c r="C148" s="742"/>
      <c r="D148" s="742"/>
      <c r="E148" s="742"/>
      <c r="F148" s="665" t="s">
        <v>73</v>
      </c>
      <c r="G148" s="665" t="s">
        <v>73</v>
      </c>
      <c r="H148" s="666" t="s">
        <v>73</v>
      </c>
      <c r="I148" s="666" t="s">
        <v>73</v>
      </c>
      <c r="J148" s="666" t="s">
        <v>73</v>
      </c>
      <c r="K148" s="660">
        <f>F111</f>
        <v>3368221.85</v>
      </c>
      <c r="L148" s="1156"/>
    </row>
    <row r="149" spans="1:12" ht="18" customHeight="1" x14ac:dyDescent="0.3">
      <c r="A149" s="639" t="s">
        <v>163</v>
      </c>
      <c r="B149" s="636" t="s">
        <v>71</v>
      </c>
      <c r="C149" s="742"/>
      <c r="D149" s="742"/>
      <c r="E149" s="742"/>
      <c r="F149" s="650">
        <v>0</v>
      </c>
      <c r="G149" s="650">
        <v>0</v>
      </c>
      <c r="H149" s="650">
        <v>0</v>
      </c>
      <c r="I149" s="650">
        <v>0</v>
      </c>
      <c r="J149" s="650">
        <v>0</v>
      </c>
      <c r="K149" s="650">
        <v>0</v>
      </c>
      <c r="L149" s="1156"/>
    </row>
    <row r="150" spans="1:12" ht="18" customHeight="1" x14ac:dyDescent="0.3">
      <c r="A150" s="639" t="s">
        <v>185</v>
      </c>
      <c r="B150" s="636" t="s">
        <v>186</v>
      </c>
      <c r="C150" s="742"/>
      <c r="D150" s="742"/>
      <c r="E150" s="742"/>
      <c r="F150" s="665" t="s">
        <v>73</v>
      </c>
      <c r="G150" s="665" t="s">
        <v>73</v>
      </c>
      <c r="H150" s="650">
        <f>H18</f>
        <v>6691884</v>
      </c>
      <c r="I150" s="650">
        <f>I18</f>
        <v>0</v>
      </c>
      <c r="J150" s="650">
        <f>J18</f>
        <v>5655962</v>
      </c>
      <c r="K150" s="650">
        <f>K18</f>
        <v>1035922</v>
      </c>
      <c r="L150" s="1156"/>
    </row>
    <row r="151" spans="1:12" ht="18" customHeight="1" x14ac:dyDescent="0.3">
      <c r="A151" s="633"/>
      <c r="B151" s="636"/>
      <c r="C151" s="742"/>
      <c r="D151" s="742"/>
      <c r="E151" s="742"/>
      <c r="F151" s="671"/>
      <c r="G151" s="671"/>
      <c r="H151" s="671"/>
      <c r="I151" s="671"/>
      <c r="J151" s="671"/>
      <c r="K151" s="671"/>
      <c r="L151" s="1156"/>
    </row>
    <row r="152" spans="1:12" ht="18" customHeight="1" x14ac:dyDescent="0.3">
      <c r="A152" s="639" t="s">
        <v>165</v>
      </c>
      <c r="B152" s="636" t="s">
        <v>26</v>
      </c>
      <c r="C152" s="742"/>
      <c r="D152" s="742"/>
      <c r="E152" s="742"/>
      <c r="F152" s="672">
        <f>SUM(F141:F150)</f>
        <v>35902.5</v>
      </c>
      <c r="G152" s="672">
        <f t="shared" ref="G152:K152" si="22">SUM(G141:G150)</f>
        <v>916368</v>
      </c>
      <c r="H152" s="672">
        <f t="shared" si="22"/>
        <v>23290218.831999999</v>
      </c>
      <c r="I152" s="672">
        <f t="shared" si="22"/>
        <v>1802069.2222568751</v>
      </c>
      <c r="J152" s="672">
        <f t="shared" si="22"/>
        <v>6011010</v>
      </c>
      <c r="K152" s="672">
        <f t="shared" si="22"/>
        <v>22449499.904256877</v>
      </c>
      <c r="L152" s="1156"/>
    </row>
    <row r="153" spans="1:12" ht="18" customHeight="1" x14ac:dyDescent="0.25">
      <c r="B153" s="740"/>
      <c r="C153" s="740"/>
      <c r="D153" s="740"/>
      <c r="E153" s="740"/>
      <c r="F153" s="740"/>
      <c r="G153" s="740"/>
      <c r="H153" s="1156"/>
      <c r="I153" s="740"/>
      <c r="J153" s="740"/>
      <c r="K153" s="740"/>
    </row>
    <row r="154" spans="1:12" ht="18" customHeight="1" x14ac:dyDescent="0.3">
      <c r="A154" s="639" t="s">
        <v>168</v>
      </c>
      <c r="B154" s="636" t="s">
        <v>28</v>
      </c>
      <c r="C154" s="742"/>
      <c r="D154" s="742"/>
      <c r="E154" s="742"/>
      <c r="F154" s="687">
        <v>8.6207293431037918E-2</v>
      </c>
      <c r="G154" s="742"/>
      <c r="H154" s="742"/>
      <c r="I154" s="742"/>
      <c r="J154" s="742"/>
      <c r="K154" s="742"/>
    </row>
    <row r="155" spans="1:12" ht="18" customHeight="1" x14ac:dyDescent="0.3">
      <c r="A155" s="639" t="s">
        <v>169</v>
      </c>
      <c r="B155" s="636" t="s">
        <v>72</v>
      </c>
      <c r="C155" s="742"/>
      <c r="D155" s="742"/>
      <c r="E155" s="742"/>
      <c r="F155" s="687">
        <v>0.90602550263366199</v>
      </c>
      <c r="G155" s="636"/>
      <c r="H155" s="742"/>
      <c r="I155" s="742"/>
      <c r="J155" s="742"/>
      <c r="K155" s="742"/>
    </row>
    <row r="156" spans="1:12" ht="18" customHeight="1" x14ac:dyDescent="0.3">
      <c r="A156" s="633"/>
      <c r="B156" s="484"/>
      <c r="C156" s="484"/>
      <c r="D156" s="484"/>
      <c r="E156" s="484"/>
      <c r="F156" s="484"/>
      <c r="G156" s="485"/>
      <c r="H156" s="484"/>
      <c r="I156" s="484"/>
      <c r="J156" s="484"/>
      <c r="K156" s="484"/>
    </row>
  </sheetData>
  <sheetProtection sheet="1" objects="1" scenarios="1"/>
  <mergeCells count="34">
    <mergeCell ref="C5:G5"/>
    <mergeCell ref="C6:G6"/>
    <mergeCell ref="C7:G7"/>
    <mergeCell ref="C9:G9"/>
    <mergeCell ref="C10:G10"/>
    <mergeCell ref="B34:D34"/>
    <mergeCell ref="C11:G11"/>
    <mergeCell ref="B41:C41"/>
    <mergeCell ref="B44:D44"/>
    <mergeCell ref="B13:H13"/>
    <mergeCell ref="B30:D30"/>
    <mergeCell ref="B31:D31"/>
    <mergeCell ref="B56:D56"/>
    <mergeCell ref="B59:D59"/>
    <mergeCell ref="B62:D62"/>
    <mergeCell ref="B45:D45"/>
    <mergeCell ref="B46:D46"/>
    <mergeCell ref="B47:D47"/>
    <mergeCell ref="B103:C103"/>
    <mergeCell ref="D2:H2"/>
    <mergeCell ref="B134:D134"/>
    <mergeCell ref="B135:D135"/>
    <mergeCell ref="B133:D133"/>
    <mergeCell ref="B104:D104"/>
    <mergeCell ref="B105:D105"/>
    <mergeCell ref="B106:D106"/>
    <mergeCell ref="B96:D96"/>
    <mergeCell ref="B95:D95"/>
    <mergeCell ref="B57:D57"/>
    <mergeCell ref="B94:D94"/>
    <mergeCell ref="B52:C52"/>
    <mergeCell ref="B90:C90"/>
    <mergeCell ref="B53:D53"/>
    <mergeCell ref="B55:D5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K156"/>
  <sheetViews>
    <sheetView showGridLines="0" zoomScale="85" zoomScaleNormal="85" zoomScaleSheetLayoutView="50" workbookViewId="0"/>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86" t="s">
        <v>539</v>
      </c>
      <c r="D5" s="1387"/>
      <c r="E5" s="1387"/>
      <c r="F5" s="1387"/>
      <c r="G5" s="1388"/>
      <c r="H5" s="742"/>
      <c r="I5" s="742"/>
      <c r="J5" s="742"/>
      <c r="K5" s="742"/>
    </row>
    <row r="6" spans="1:11" ht="18" customHeight="1" x14ac:dyDescent="0.3">
      <c r="A6" s="633"/>
      <c r="B6" s="733" t="s">
        <v>3</v>
      </c>
      <c r="C6" s="1365">
        <v>210049</v>
      </c>
      <c r="D6" s="1366"/>
      <c r="E6" s="1366"/>
      <c r="F6" s="1366"/>
      <c r="G6" s="1367"/>
      <c r="H6" s="742"/>
      <c r="I6" s="742"/>
      <c r="J6" s="742"/>
      <c r="K6" s="742"/>
    </row>
    <row r="7" spans="1:11" ht="18" customHeight="1" x14ac:dyDescent="0.3">
      <c r="A7" s="633"/>
      <c r="B7" s="733" t="s">
        <v>4</v>
      </c>
      <c r="C7" s="1368">
        <v>2185</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86" t="s">
        <v>536</v>
      </c>
      <c r="D9" s="1387"/>
      <c r="E9" s="1387"/>
      <c r="F9" s="1387"/>
      <c r="G9" s="1388"/>
      <c r="H9" s="742"/>
      <c r="I9" s="742"/>
      <c r="J9" s="742"/>
      <c r="K9" s="742"/>
    </row>
    <row r="10" spans="1:11" ht="18" customHeight="1" x14ac:dyDescent="0.3">
      <c r="A10" s="633"/>
      <c r="B10" s="733" t="s">
        <v>2</v>
      </c>
      <c r="C10" s="1389" t="s">
        <v>537</v>
      </c>
      <c r="D10" s="1390"/>
      <c r="E10" s="1390"/>
      <c r="F10" s="1390"/>
      <c r="G10" s="1391"/>
      <c r="H10" s="742"/>
      <c r="I10" s="742"/>
      <c r="J10" s="742"/>
      <c r="K10" s="742"/>
    </row>
    <row r="11" spans="1:11" ht="18" customHeight="1" x14ac:dyDescent="0.3">
      <c r="A11" s="633"/>
      <c r="B11" s="733" t="s">
        <v>32</v>
      </c>
      <c r="C11" s="1386" t="s">
        <v>830</v>
      </c>
      <c r="D11" s="1387"/>
      <c r="E11" s="1387"/>
      <c r="F11" s="1387"/>
      <c r="G11" s="1387"/>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4"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7401636</v>
      </c>
      <c r="I18" s="673">
        <v>0</v>
      </c>
      <c r="J18" s="647">
        <v>6255843</v>
      </c>
      <c r="K18" s="648">
        <f>(H18+I18)-J18</f>
        <v>1145793</v>
      </c>
    </row>
    <row r="19" spans="1:11" ht="45.4"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3963</v>
      </c>
      <c r="G21" s="646">
        <f>189344+84</f>
        <v>189428</v>
      </c>
      <c r="H21" s="647">
        <v>210256</v>
      </c>
      <c r="I21" s="673">
        <f t="shared" ref="I21:I34" si="0">H21*F$114</f>
        <v>114555.6320868357</v>
      </c>
      <c r="J21" s="647">
        <v>1614</v>
      </c>
      <c r="K21" s="648">
        <f t="shared" ref="K21:K34" si="1">(H21+I21)-J21</f>
        <v>323197.63208683569</v>
      </c>
    </row>
    <row r="22" spans="1:11" ht="18" customHeight="1" x14ac:dyDescent="0.3">
      <c r="A22" s="639" t="s">
        <v>76</v>
      </c>
      <c r="B22" s="742" t="s">
        <v>6</v>
      </c>
      <c r="C22" s="742"/>
      <c r="D22" s="742"/>
      <c r="E22" s="742"/>
      <c r="F22" s="646">
        <v>438</v>
      </c>
      <c r="G22" s="646">
        <f>2811+223</f>
        <v>3034</v>
      </c>
      <c r="H22" s="647">
        <v>29107</v>
      </c>
      <c r="I22" s="673">
        <f t="shared" si="0"/>
        <v>15858.623692791296</v>
      </c>
      <c r="J22" s="647">
        <v>0</v>
      </c>
      <c r="K22" s="648">
        <f t="shared" si="1"/>
        <v>44965.623692791298</v>
      </c>
    </row>
    <row r="23" spans="1:11" ht="18" customHeight="1" x14ac:dyDescent="0.3">
      <c r="A23" s="639" t="s">
        <v>77</v>
      </c>
      <c r="B23" s="742" t="s">
        <v>43</v>
      </c>
      <c r="C23" s="742"/>
      <c r="D23" s="742"/>
      <c r="E23" s="742"/>
      <c r="F23" s="646">
        <v>1020</v>
      </c>
      <c r="G23" s="646">
        <f>888+1573</f>
        <v>2461</v>
      </c>
      <c r="H23" s="647">
        <v>57134</v>
      </c>
      <c r="I23" s="673">
        <f t="shared" si="0"/>
        <v>31128.821454081077</v>
      </c>
      <c r="J23" s="647">
        <v>4043</v>
      </c>
      <c r="K23" s="648">
        <f t="shared" si="1"/>
        <v>84219.821454081073</v>
      </c>
    </row>
    <row r="24" spans="1:11" ht="18" customHeight="1" x14ac:dyDescent="0.3">
      <c r="A24" s="639" t="s">
        <v>78</v>
      </c>
      <c r="B24" s="742" t="s">
        <v>44</v>
      </c>
      <c r="C24" s="742"/>
      <c r="D24" s="742"/>
      <c r="E24" s="742"/>
      <c r="F24" s="646">
        <v>4386</v>
      </c>
      <c r="G24" s="646">
        <f>1762+5600</f>
        <v>7362</v>
      </c>
      <c r="H24" s="647">
        <v>799085</v>
      </c>
      <c r="I24" s="673">
        <f t="shared" si="0"/>
        <v>435372.53284619271</v>
      </c>
      <c r="J24" s="647">
        <f>40644</f>
        <v>40644</v>
      </c>
      <c r="K24" s="648">
        <f t="shared" si="1"/>
        <v>1193813.5328461928</v>
      </c>
    </row>
    <row r="25" spans="1:11" ht="18" customHeight="1" x14ac:dyDescent="0.3">
      <c r="A25" s="639" t="s">
        <v>79</v>
      </c>
      <c r="B25" s="742" t="s">
        <v>5</v>
      </c>
      <c r="C25" s="742"/>
      <c r="D25" s="742"/>
      <c r="E25" s="742"/>
      <c r="F25" s="646">
        <v>729</v>
      </c>
      <c r="G25" s="646">
        <v>3399</v>
      </c>
      <c r="H25" s="647">
        <v>30250</v>
      </c>
      <c r="I25" s="673">
        <f t="shared" si="0"/>
        <v>16481.374470297065</v>
      </c>
      <c r="J25" s="647">
        <v>1309</v>
      </c>
      <c r="K25" s="648">
        <f t="shared" si="1"/>
        <v>45422.374470297065</v>
      </c>
    </row>
    <row r="26" spans="1:11" ht="18" customHeight="1" x14ac:dyDescent="0.3">
      <c r="A26" s="639" t="s">
        <v>80</v>
      </c>
      <c r="B26" s="742" t="s">
        <v>45</v>
      </c>
      <c r="C26" s="742"/>
      <c r="D26" s="742"/>
      <c r="E26" s="742"/>
      <c r="F26" s="646"/>
      <c r="G26" s="646"/>
      <c r="H26" s="647"/>
      <c r="I26" s="673">
        <f t="shared" si="0"/>
        <v>0</v>
      </c>
      <c r="J26" s="647"/>
      <c r="K26" s="648">
        <f t="shared" si="1"/>
        <v>0</v>
      </c>
    </row>
    <row r="27" spans="1:11" ht="18" customHeight="1" x14ac:dyDescent="0.3">
      <c r="A27" s="639" t="s">
        <v>81</v>
      </c>
      <c r="B27" s="742" t="s">
        <v>46</v>
      </c>
      <c r="C27" s="742"/>
      <c r="D27" s="742"/>
      <c r="E27" s="742"/>
      <c r="F27" s="646">
        <v>35</v>
      </c>
      <c r="G27" s="646">
        <v>14</v>
      </c>
      <c r="H27" s="647">
        <v>2352</v>
      </c>
      <c r="I27" s="673">
        <f t="shared" si="0"/>
        <v>1281.4609174921884</v>
      </c>
      <c r="J27" s="647">
        <v>0</v>
      </c>
      <c r="K27" s="648">
        <f t="shared" si="1"/>
        <v>3633.4609174921884</v>
      </c>
    </row>
    <row r="28" spans="1:11" ht="18" customHeight="1" x14ac:dyDescent="0.3">
      <c r="A28" s="639" t="s">
        <v>82</v>
      </c>
      <c r="B28" s="742" t="s">
        <v>47</v>
      </c>
      <c r="C28" s="742"/>
      <c r="D28" s="742"/>
      <c r="E28" s="742"/>
      <c r="F28" s="646">
        <v>1509</v>
      </c>
      <c r="G28" s="646">
        <v>90</v>
      </c>
      <c r="H28" s="647">
        <v>35958</v>
      </c>
      <c r="I28" s="673">
        <f t="shared" si="0"/>
        <v>19591.314486047664</v>
      </c>
      <c r="J28" s="647">
        <v>0</v>
      </c>
      <c r="K28" s="648">
        <f t="shared" si="1"/>
        <v>55549.31448604766</v>
      </c>
    </row>
    <row r="29" spans="1:11" ht="18" customHeight="1" x14ac:dyDescent="0.3">
      <c r="A29" s="639" t="s">
        <v>83</v>
      </c>
      <c r="B29" s="742" t="s">
        <v>48</v>
      </c>
      <c r="C29" s="742"/>
      <c r="D29" s="742"/>
      <c r="E29" s="742"/>
      <c r="F29" s="646">
        <v>2400</v>
      </c>
      <c r="G29" s="646">
        <v>3575</v>
      </c>
      <c r="H29" s="647">
        <v>461416</v>
      </c>
      <c r="I29" s="673">
        <f t="shared" si="0"/>
        <v>251397.35149046581</v>
      </c>
      <c r="J29" s="647">
        <v>223</v>
      </c>
      <c r="K29" s="648">
        <f t="shared" si="1"/>
        <v>712590.35149046581</v>
      </c>
    </row>
    <row r="30" spans="1:11" ht="18" customHeight="1" x14ac:dyDescent="0.3">
      <c r="A30" s="639" t="s">
        <v>84</v>
      </c>
      <c r="B30" s="1351"/>
      <c r="C30" s="1352"/>
      <c r="D30" s="1353"/>
      <c r="E30" s="742"/>
      <c r="F30" s="646"/>
      <c r="G30" s="646"/>
      <c r="H30" s="647"/>
      <c r="I30" s="673">
        <f t="shared" si="0"/>
        <v>0</v>
      </c>
      <c r="J30" s="647"/>
      <c r="K30" s="648">
        <f t="shared" si="1"/>
        <v>0</v>
      </c>
    </row>
    <row r="31" spans="1:11" ht="18" customHeight="1" x14ac:dyDescent="0.3">
      <c r="A31" s="639" t="s">
        <v>133</v>
      </c>
      <c r="B31" s="1351"/>
      <c r="C31" s="1352"/>
      <c r="D31" s="1353"/>
      <c r="E31" s="742"/>
      <c r="F31" s="646"/>
      <c r="G31" s="646"/>
      <c r="H31" s="647"/>
      <c r="I31" s="673">
        <f t="shared" si="0"/>
        <v>0</v>
      </c>
      <c r="J31" s="647"/>
      <c r="K31" s="648">
        <f t="shared" si="1"/>
        <v>0</v>
      </c>
    </row>
    <row r="32" spans="1:11" ht="18" customHeight="1" x14ac:dyDescent="0.3">
      <c r="A32" s="639" t="s">
        <v>134</v>
      </c>
      <c r="B32" s="909"/>
      <c r="C32" s="910"/>
      <c r="D32" s="911"/>
      <c r="E32" s="742"/>
      <c r="F32" s="646"/>
      <c r="G32" s="675"/>
      <c r="H32" s="647"/>
      <c r="I32" s="673">
        <f t="shared" si="0"/>
        <v>0</v>
      </c>
      <c r="J32" s="647"/>
      <c r="K32" s="648">
        <f t="shared" si="1"/>
        <v>0</v>
      </c>
    </row>
    <row r="33" spans="1:11" ht="18" customHeight="1" x14ac:dyDescent="0.3">
      <c r="A33" s="639" t="s">
        <v>135</v>
      </c>
      <c r="B33" s="909"/>
      <c r="C33" s="910"/>
      <c r="D33" s="911"/>
      <c r="E33" s="742"/>
      <c r="F33" s="646"/>
      <c r="G33" s="675"/>
      <c r="H33" s="647"/>
      <c r="I33" s="673">
        <f t="shared" si="0"/>
        <v>0</v>
      </c>
      <c r="J33" s="647"/>
      <c r="K33" s="648">
        <f t="shared" si="1"/>
        <v>0</v>
      </c>
    </row>
    <row r="34" spans="1:11" ht="18" customHeight="1" x14ac:dyDescent="0.3">
      <c r="A34" s="639" t="s">
        <v>136</v>
      </c>
      <c r="B34" s="1351"/>
      <c r="C34" s="1352"/>
      <c r="D34" s="1353"/>
      <c r="E34" s="742"/>
      <c r="F34" s="646"/>
      <c r="G34" s="675"/>
      <c r="H34" s="647"/>
      <c r="I34" s="673">
        <f t="shared" si="0"/>
        <v>0</v>
      </c>
      <c r="J34" s="647"/>
      <c r="K34" s="648">
        <f t="shared" si="1"/>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14480</v>
      </c>
      <c r="G36" s="650">
        <f t="shared" si="2"/>
        <v>209363</v>
      </c>
      <c r="H36" s="650">
        <f t="shared" si="2"/>
        <v>1625558</v>
      </c>
      <c r="I36" s="648">
        <f t="shared" si="2"/>
        <v>885667.11144420353</v>
      </c>
      <c r="J36" s="648">
        <f t="shared" si="2"/>
        <v>47833</v>
      </c>
      <c r="K36" s="648">
        <f t="shared" si="2"/>
        <v>2463392.1114442036</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v>561</v>
      </c>
      <c r="G40" s="646"/>
      <c r="H40" s="647">
        <v>62381</v>
      </c>
      <c r="I40" s="673">
        <f t="shared" ref="I40:I47" si="3">H40*F$114</f>
        <v>33987.590771292605</v>
      </c>
      <c r="J40" s="647"/>
      <c r="K40" s="648">
        <f t="shared" ref="K40:K47" si="4">(H40+I40)-J40</f>
        <v>96368.590771292598</v>
      </c>
    </row>
    <row r="41" spans="1:11" ht="18" customHeight="1" x14ac:dyDescent="0.3">
      <c r="A41" s="639" t="s">
        <v>88</v>
      </c>
      <c r="B41" s="1359" t="s">
        <v>50</v>
      </c>
      <c r="C41" s="1359"/>
      <c r="D41" s="742"/>
      <c r="E41" s="742"/>
      <c r="F41" s="646">
        <v>2651</v>
      </c>
      <c r="G41" s="646"/>
      <c r="H41" s="647">
        <v>113546</v>
      </c>
      <c r="I41" s="673">
        <f t="shared" si="3"/>
        <v>61864.269276176878</v>
      </c>
      <c r="J41" s="647"/>
      <c r="K41" s="648">
        <f t="shared" si="4"/>
        <v>175410.26927617687</v>
      </c>
    </row>
    <row r="42" spans="1:11" ht="18" customHeight="1" x14ac:dyDescent="0.3">
      <c r="A42" s="639" t="s">
        <v>89</v>
      </c>
      <c r="B42" s="635" t="s">
        <v>11</v>
      </c>
      <c r="C42" s="742"/>
      <c r="D42" s="742"/>
      <c r="E42" s="742"/>
      <c r="F42" s="646">
        <v>7661</v>
      </c>
      <c r="G42" s="646">
        <v>22</v>
      </c>
      <c r="H42" s="647">
        <v>307458</v>
      </c>
      <c r="I42" s="673">
        <f t="shared" si="3"/>
        <v>167515.05559962298</v>
      </c>
      <c r="J42" s="647"/>
      <c r="K42" s="648">
        <f t="shared" si="4"/>
        <v>474973.05559962301</v>
      </c>
    </row>
    <row r="43" spans="1:11" ht="18" customHeight="1" x14ac:dyDescent="0.3">
      <c r="A43" s="639" t="s">
        <v>90</v>
      </c>
      <c r="B43" s="670" t="s">
        <v>10</v>
      </c>
      <c r="C43" s="642"/>
      <c r="D43" s="642"/>
      <c r="E43" s="742"/>
      <c r="F43" s="646"/>
      <c r="G43" s="646"/>
      <c r="H43" s="647"/>
      <c r="I43" s="673">
        <f t="shared" si="3"/>
        <v>0</v>
      </c>
      <c r="J43" s="647"/>
      <c r="K43" s="648">
        <f t="shared" si="4"/>
        <v>0</v>
      </c>
    </row>
    <row r="44" spans="1:11" ht="18" customHeight="1" x14ac:dyDescent="0.3">
      <c r="A44" s="639" t="s">
        <v>91</v>
      </c>
      <c r="B44" s="1351"/>
      <c r="C44" s="1352"/>
      <c r="D44" s="1353"/>
      <c r="E44" s="742"/>
      <c r="F44" s="677"/>
      <c r="G44" s="677"/>
      <c r="H44" s="677"/>
      <c r="I44" s="678">
        <f t="shared" si="3"/>
        <v>0</v>
      </c>
      <c r="J44" s="677"/>
      <c r="K44" s="679">
        <f t="shared" si="4"/>
        <v>0</v>
      </c>
    </row>
    <row r="45" spans="1:11" ht="18" customHeight="1" x14ac:dyDescent="0.3">
      <c r="A45" s="639" t="s">
        <v>139</v>
      </c>
      <c r="B45" s="1351"/>
      <c r="C45" s="1352"/>
      <c r="D45" s="1353"/>
      <c r="E45" s="742"/>
      <c r="F45" s="646"/>
      <c r="G45" s="646"/>
      <c r="H45" s="647"/>
      <c r="I45" s="673">
        <f t="shared" si="3"/>
        <v>0</v>
      </c>
      <c r="J45" s="647"/>
      <c r="K45" s="648">
        <f t="shared" si="4"/>
        <v>0</v>
      </c>
    </row>
    <row r="46" spans="1:11" ht="18" customHeight="1" x14ac:dyDescent="0.3">
      <c r="A46" s="639" t="s">
        <v>140</v>
      </c>
      <c r="B46" s="1351"/>
      <c r="C46" s="1352"/>
      <c r="D46" s="1353"/>
      <c r="E46" s="742"/>
      <c r="F46" s="646"/>
      <c r="G46" s="646"/>
      <c r="H46" s="647"/>
      <c r="I46" s="673">
        <f t="shared" si="3"/>
        <v>0</v>
      </c>
      <c r="J46" s="647"/>
      <c r="K46" s="648">
        <f t="shared" si="4"/>
        <v>0</v>
      </c>
    </row>
    <row r="47" spans="1:11" ht="18" customHeight="1" x14ac:dyDescent="0.3">
      <c r="A47" s="639" t="s">
        <v>141</v>
      </c>
      <c r="B47" s="1351"/>
      <c r="C47" s="1352"/>
      <c r="D47" s="1353"/>
      <c r="E47" s="742"/>
      <c r="F47" s="646"/>
      <c r="G47" s="646"/>
      <c r="H47" s="647"/>
      <c r="I47" s="673">
        <f t="shared" si="3"/>
        <v>0</v>
      </c>
      <c r="J47" s="647"/>
      <c r="K47" s="648">
        <f t="shared" si="4"/>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5">SUM(F40:F47)</f>
        <v>10873</v>
      </c>
      <c r="G49" s="654">
        <f t="shared" si="5"/>
        <v>22</v>
      </c>
      <c r="H49" s="648">
        <f t="shared" si="5"/>
        <v>483385</v>
      </c>
      <c r="I49" s="648">
        <f t="shared" si="5"/>
        <v>263366.91564709245</v>
      </c>
      <c r="J49" s="648">
        <f t="shared" si="5"/>
        <v>0</v>
      </c>
      <c r="K49" s="648">
        <f t="shared" si="5"/>
        <v>746751.91564709251</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455" t="s">
        <v>831</v>
      </c>
      <c r="C53" s="1456"/>
      <c r="D53" s="1457"/>
      <c r="E53" s="742"/>
      <c r="F53" s="646"/>
      <c r="G53" s="646">
        <v>0</v>
      </c>
      <c r="H53" s="647">
        <v>1259597</v>
      </c>
      <c r="I53" s="673">
        <f t="shared" ref="I53:I62" si="6">H53*F$114</f>
        <v>686277.3500384388</v>
      </c>
      <c r="J53" s="647"/>
      <c r="K53" s="648">
        <f t="shared" ref="K53:K62" si="7">(H53+I53)-J53</f>
        <v>1945874.3500384388</v>
      </c>
    </row>
    <row r="54" spans="1:11" ht="18" customHeight="1" x14ac:dyDescent="0.3">
      <c r="A54" s="639" t="s">
        <v>93</v>
      </c>
      <c r="B54" s="928" t="s">
        <v>649</v>
      </c>
      <c r="C54" s="913"/>
      <c r="D54" s="914"/>
      <c r="E54" s="742"/>
      <c r="F54" s="646"/>
      <c r="G54" s="646"/>
      <c r="H54" s="647">
        <v>1444226</v>
      </c>
      <c r="I54" s="673">
        <f t="shared" si="6"/>
        <v>786870.39754509914</v>
      </c>
      <c r="J54" s="647"/>
      <c r="K54" s="648">
        <f t="shared" si="7"/>
        <v>2231096.3975450993</v>
      </c>
    </row>
    <row r="55" spans="1:11" ht="18" customHeight="1" x14ac:dyDescent="0.3">
      <c r="A55" s="639" t="s">
        <v>94</v>
      </c>
      <c r="B55" s="1354"/>
      <c r="C55" s="1355"/>
      <c r="D55" s="1356"/>
      <c r="E55" s="742"/>
      <c r="F55" s="646"/>
      <c r="G55" s="646"/>
      <c r="H55" s="647"/>
      <c r="I55" s="673">
        <f t="shared" si="6"/>
        <v>0</v>
      </c>
      <c r="J55" s="647"/>
      <c r="K55" s="648">
        <f t="shared" si="7"/>
        <v>0</v>
      </c>
    </row>
    <row r="56" spans="1:11" ht="18" customHeight="1" x14ac:dyDescent="0.3">
      <c r="A56" s="639" t="s">
        <v>95</v>
      </c>
      <c r="B56" s="1354"/>
      <c r="C56" s="1355"/>
      <c r="D56" s="1356"/>
      <c r="E56" s="742"/>
      <c r="F56" s="646"/>
      <c r="G56" s="646"/>
      <c r="H56" s="647"/>
      <c r="I56" s="673">
        <f t="shared" si="6"/>
        <v>0</v>
      </c>
      <c r="J56" s="647"/>
      <c r="K56" s="648">
        <f t="shared" si="7"/>
        <v>0</v>
      </c>
    </row>
    <row r="57" spans="1:11" ht="18" customHeight="1" x14ac:dyDescent="0.3">
      <c r="A57" s="639" t="s">
        <v>96</v>
      </c>
      <c r="B57" s="1354"/>
      <c r="C57" s="1355"/>
      <c r="D57" s="1356"/>
      <c r="E57" s="742"/>
      <c r="F57" s="646"/>
      <c r="G57" s="646"/>
      <c r="H57" s="647"/>
      <c r="I57" s="673">
        <f t="shared" si="6"/>
        <v>0</v>
      </c>
      <c r="J57" s="647"/>
      <c r="K57" s="648">
        <f t="shared" si="7"/>
        <v>0</v>
      </c>
    </row>
    <row r="58" spans="1:11" ht="18" customHeight="1" x14ac:dyDescent="0.3">
      <c r="A58" s="639" t="s">
        <v>97</v>
      </c>
      <c r="B58" s="912"/>
      <c r="C58" s="913"/>
      <c r="D58" s="914"/>
      <c r="E58" s="742"/>
      <c r="F58" s="646"/>
      <c r="G58" s="646"/>
      <c r="H58" s="647"/>
      <c r="I58" s="673">
        <f t="shared" si="6"/>
        <v>0</v>
      </c>
      <c r="J58" s="647"/>
      <c r="K58" s="648">
        <f t="shared" si="7"/>
        <v>0</v>
      </c>
    </row>
    <row r="59" spans="1:11" ht="18" customHeight="1" x14ac:dyDescent="0.3">
      <c r="A59" s="639" t="s">
        <v>98</v>
      </c>
      <c r="B59" s="1455" t="s">
        <v>395</v>
      </c>
      <c r="C59" s="1456"/>
      <c r="D59" s="1457"/>
      <c r="E59" s="742"/>
      <c r="F59" s="646"/>
      <c r="G59" s="646"/>
      <c r="H59" s="647">
        <v>98000</v>
      </c>
      <c r="I59" s="673">
        <f t="shared" si="6"/>
        <v>53394.20489550785</v>
      </c>
      <c r="J59" s="647"/>
      <c r="K59" s="648">
        <f t="shared" si="7"/>
        <v>151394.20489550784</v>
      </c>
    </row>
    <row r="60" spans="1:11" ht="18" customHeight="1" x14ac:dyDescent="0.3">
      <c r="A60" s="639" t="s">
        <v>99</v>
      </c>
      <c r="B60" s="912"/>
      <c r="C60" s="913"/>
      <c r="D60" s="914"/>
      <c r="E60" s="742"/>
      <c r="F60" s="646"/>
      <c r="G60" s="646"/>
      <c r="H60" s="647"/>
      <c r="I60" s="673">
        <f t="shared" si="6"/>
        <v>0</v>
      </c>
      <c r="J60" s="647"/>
      <c r="K60" s="648">
        <f t="shared" si="7"/>
        <v>0</v>
      </c>
    </row>
    <row r="61" spans="1:11" ht="18" customHeight="1" x14ac:dyDescent="0.3">
      <c r="A61" s="639" t="s">
        <v>100</v>
      </c>
      <c r="B61" s="912"/>
      <c r="C61" s="913"/>
      <c r="D61" s="914"/>
      <c r="E61" s="742"/>
      <c r="F61" s="646"/>
      <c r="G61" s="646"/>
      <c r="H61" s="647"/>
      <c r="I61" s="673">
        <f t="shared" si="6"/>
        <v>0</v>
      </c>
      <c r="J61" s="647"/>
      <c r="K61" s="648">
        <f t="shared" si="7"/>
        <v>0</v>
      </c>
    </row>
    <row r="62" spans="1:11" ht="18" customHeight="1" x14ac:dyDescent="0.3">
      <c r="A62" s="639" t="s">
        <v>101</v>
      </c>
      <c r="B62" s="1354"/>
      <c r="C62" s="1355"/>
      <c r="D62" s="1356"/>
      <c r="E62" s="742"/>
      <c r="F62" s="646"/>
      <c r="G62" s="646"/>
      <c r="H62" s="647"/>
      <c r="I62" s="673">
        <f t="shared" si="6"/>
        <v>0</v>
      </c>
      <c r="J62" s="647"/>
      <c r="K62" s="648">
        <f t="shared" si="7"/>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8">SUM(F53:F62)</f>
        <v>0</v>
      </c>
      <c r="G64" s="650">
        <f t="shared" si="8"/>
        <v>0</v>
      </c>
      <c r="H64" s="648">
        <f t="shared" si="8"/>
        <v>2801823</v>
      </c>
      <c r="I64" s="648">
        <f t="shared" si="8"/>
        <v>1526541.9524790456</v>
      </c>
      <c r="J64" s="648">
        <f t="shared" si="8"/>
        <v>0</v>
      </c>
      <c r="K64" s="648">
        <f t="shared" si="8"/>
        <v>4328364.9524790458</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v>9844</v>
      </c>
      <c r="G68" s="674"/>
      <c r="H68" s="647">
        <v>418170</v>
      </c>
      <c r="I68" s="673">
        <f t="shared" ref="I68:I72" si="9">H68*F$114</f>
        <v>227835.25164443385</v>
      </c>
      <c r="J68" s="674"/>
      <c r="K68" s="648">
        <f>(H68+I68)-J68</f>
        <v>646005.25164443383</v>
      </c>
    </row>
    <row r="69" spans="1:11" ht="18" customHeight="1" x14ac:dyDescent="0.3">
      <c r="A69" s="639" t="s">
        <v>104</v>
      </c>
      <c r="B69" s="635" t="s">
        <v>53</v>
      </c>
      <c r="C69" s="742"/>
      <c r="D69" s="742"/>
      <c r="E69" s="742"/>
      <c r="F69" s="674"/>
      <c r="G69" s="674"/>
      <c r="H69" s="674"/>
      <c r="I69" s="673">
        <f t="shared" si="9"/>
        <v>0</v>
      </c>
      <c r="J69" s="674"/>
      <c r="K69" s="648">
        <f>(H69+I69)-J69</f>
        <v>0</v>
      </c>
    </row>
    <row r="70" spans="1:11" ht="18" customHeight="1" x14ac:dyDescent="0.3">
      <c r="A70" s="639" t="s">
        <v>178</v>
      </c>
      <c r="B70" s="912"/>
      <c r="C70" s="913"/>
      <c r="D70" s="914"/>
      <c r="E70" s="636"/>
      <c r="F70" s="658"/>
      <c r="G70" s="658"/>
      <c r="H70" s="659"/>
      <c r="I70" s="673">
        <f t="shared" si="9"/>
        <v>0</v>
      </c>
      <c r="J70" s="659"/>
      <c r="K70" s="648">
        <f>(H70+I70)-J70</f>
        <v>0</v>
      </c>
    </row>
    <row r="71" spans="1:11" ht="18" customHeight="1" x14ac:dyDescent="0.3">
      <c r="A71" s="639" t="s">
        <v>179</v>
      </c>
      <c r="B71" s="912"/>
      <c r="C71" s="913"/>
      <c r="D71" s="914"/>
      <c r="E71" s="636"/>
      <c r="F71" s="658"/>
      <c r="G71" s="658"/>
      <c r="H71" s="659"/>
      <c r="I71" s="673">
        <f t="shared" si="9"/>
        <v>0</v>
      </c>
      <c r="J71" s="659"/>
      <c r="K71" s="648">
        <f>(H71+I71)-J71</f>
        <v>0</v>
      </c>
    </row>
    <row r="72" spans="1:11" ht="18" customHeight="1" x14ac:dyDescent="0.3">
      <c r="A72" s="639" t="s">
        <v>180</v>
      </c>
      <c r="B72" s="930"/>
      <c r="C72" s="929"/>
      <c r="D72" s="657"/>
      <c r="E72" s="636"/>
      <c r="F72" s="646"/>
      <c r="G72" s="646"/>
      <c r="H72" s="647"/>
      <c r="I72" s="673">
        <f t="shared" si="9"/>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10">SUM(F68:F72)</f>
        <v>9844</v>
      </c>
      <c r="G74" s="653">
        <f t="shared" si="10"/>
        <v>0</v>
      </c>
      <c r="H74" s="653">
        <f t="shared" si="10"/>
        <v>418170</v>
      </c>
      <c r="I74" s="676">
        <f t="shared" si="10"/>
        <v>227835.25164443385</v>
      </c>
      <c r="J74" s="653">
        <f t="shared" si="10"/>
        <v>0</v>
      </c>
      <c r="K74" s="649">
        <f t="shared" si="10"/>
        <v>646005.25164443383</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v>5</v>
      </c>
      <c r="G77" s="646">
        <v>72</v>
      </c>
      <c r="H77" s="647">
        <v>8575</v>
      </c>
      <c r="I77" s="673">
        <f t="shared" ref="I77:I80" si="11">H77*F$114</f>
        <v>4671.9929283569363</v>
      </c>
      <c r="J77" s="647"/>
      <c r="K77" s="648">
        <f>(H77+I77)-J77</f>
        <v>13246.992928356936</v>
      </c>
    </row>
    <row r="78" spans="1:11" ht="18" customHeight="1" x14ac:dyDescent="0.3">
      <c r="A78" s="639" t="s">
        <v>108</v>
      </c>
      <c r="B78" s="635" t="s">
        <v>55</v>
      </c>
      <c r="C78" s="742"/>
      <c r="D78" s="742"/>
      <c r="E78" s="742"/>
      <c r="F78" s="646"/>
      <c r="G78" s="646"/>
      <c r="H78" s="647"/>
      <c r="I78" s="673">
        <f t="shared" si="11"/>
        <v>0</v>
      </c>
      <c r="J78" s="647"/>
      <c r="K78" s="648">
        <f>(H78+I78)-J78</f>
        <v>0</v>
      </c>
    </row>
    <row r="79" spans="1:11" ht="18" customHeight="1" x14ac:dyDescent="0.3">
      <c r="A79" s="639" t="s">
        <v>109</v>
      </c>
      <c r="B79" s="635" t="s">
        <v>13</v>
      </c>
      <c r="C79" s="742"/>
      <c r="D79" s="742"/>
      <c r="E79" s="742"/>
      <c r="F79" s="646">
        <v>1014</v>
      </c>
      <c r="G79" s="646">
        <v>868</v>
      </c>
      <c r="H79" s="647">
        <v>60630</v>
      </c>
      <c r="I79" s="673">
        <f t="shared" si="11"/>
        <v>33033.5779879045</v>
      </c>
      <c r="J79" s="647"/>
      <c r="K79" s="648">
        <f>(H79+I79)-J79</f>
        <v>93663.5779879045</v>
      </c>
    </row>
    <row r="80" spans="1:11" ht="18" customHeight="1" x14ac:dyDescent="0.3">
      <c r="A80" s="639" t="s">
        <v>110</v>
      </c>
      <c r="B80" s="635" t="s">
        <v>56</v>
      </c>
      <c r="C80" s="742"/>
      <c r="D80" s="742"/>
      <c r="E80" s="742"/>
      <c r="F80" s="646"/>
      <c r="G80" s="646"/>
      <c r="H80" s="647"/>
      <c r="I80" s="673">
        <f t="shared" si="11"/>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12">SUM(F77:F80)</f>
        <v>1019</v>
      </c>
      <c r="G82" s="653">
        <f t="shared" si="12"/>
        <v>940</v>
      </c>
      <c r="H82" s="649">
        <f t="shared" si="12"/>
        <v>69205</v>
      </c>
      <c r="I82" s="649">
        <f t="shared" si="12"/>
        <v>37705.570916261437</v>
      </c>
      <c r="J82" s="649">
        <f t="shared" si="12"/>
        <v>0</v>
      </c>
      <c r="K82" s="649">
        <f t="shared" si="12"/>
        <v>106910.57091626144</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13">H86*F$114</f>
        <v>0</v>
      </c>
      <c r="J86" s="647"/>
      <c r="K86" s="648">
        <f t="shared" ref="K86:K96" si="14">(H86+I86)-J86</f>
        <v>0</v>
      </c>
    </row>
    <row r="87" spans="1:11" ht="18" customHeight="1" x14ac:dyDescent="0.3">
      <c r="A87" s="639" t="s">
        <v>114</v>
      </c>
      <c r="B87" s="635" t="s">
        <v>14</v>
      </c>
      <c r="C87" s="742"/>
      <c r="D87" s="742"/>
      <c r="E87" s="742"/>
      <c r="F87" s="646">
        <v>9</v>
      </c>
      <c r="G87" s="646"/>
      <c r="H87" s="647">
        <v>852</v>
      </c>
      <c r="I87" s="673">
        <f t="shared" si="13"/>
        <v>464.20267929563965</v>
      </c>
      <c r="J87" s="647"/>
      <c r="K87" s="648">
        <f t="shared" si="14"/>
        <v>1316.2026792956397</v>
      </c>
    </row>
    <row r="88" spans="1:11" ht="18" customHeight="1" x14ac:dyDescent="0.3">
      <c r="A88" s="639" t="s">
        <v>115</v>
      </c>
      <c r="B88" s="635" t="s">
        <v>116</v>
      </c>
      <c r="C88" s="742"/>
      <c r="D88" s="742"/>
      <c r="E88" s="742"/>
      <c r="F88" s="646">
        <v>117</v>
      </c>
      <c r="G88" s="646">
        <v>161</v>
      </c>
      <c r="H88" s="647">
        <v>5145</v>
      </c>
      <c r="I88" s="673">
        <f t="shared" si="13"/>
        <v>2803.1957570141622</v>
      </c>
      <c r="J88" s="647"/>
      <c r="K88" s="648">
        <f t="shared" si="14"/>
        <v>7948.1957570141622</v>
      </c>
    </row>
    <row r="89" spans="1:11" ht="18" customHeight="1" x14ac:dyDescent="0.3">
      <c r="A89" s="639" t="s">
        <v>117</v>
      </c>
      <c r="B89" s="635" t="s">
        <v>58</v>
      </c>
      <c r="C89" s="742"/>
      <c r="D89" s="742"/>
      <c r="E89" s="742"/>
      <c r="F89" s="646">
        <v>112</v>
      </c>
      <c r="G89" s="646"/>
      <c r="H89" s="647">
        <v>8635</v>
      </c>
      <c r="I89" s="673">
        <f t="shared" si="13"/>
        <v>4704.6832578847989</v>
      </c>
      <c r="J89" s="647"/>
      <c r="K89" s="648">
        <f t="shared" si="14"/>
        <v>13339.683257884799</v>
      </c>
    </row>
    <row r="90" spans="1:11" ht="18" customHeight="1" x14ac:dyDescent="0.3">
      <c r="A90" s="639" t="s">
        <v>118</v>
      </c>
      <c r="B90" s="1359" t="s">
        <v>59</v>
      </c>
      <c r="C90" s="1359"/>
      <c r="D90" s="742"/>
      <c r="E90" s="742"/>
      <c r="F90" s="646">
        <v>75</v>
      </c>
      <c r="G90" s="646">
        <v>34</v>
      </c>
      <c r="H90" s="647">
        <v>7512</v>
      </c>
      <c r="I90" s="673">
        <f t="shared" si="13"/>
        <v>4092.8292568883157</v>
      </c>
      <c r="J90" s="647"/>
      <c r="K90" s="648">
        <f t="shared" si="14"/>
        <v>11604.829256888315</v>
      </c>
    </row>
    <row r="91" spans="1:11" ht="18" customHeight="1" x14ac:dyDescent="0.3">
      <c r="A91" s="639" t="s">
        <v>119</v>
      </c>
      <c r="B91" s="635" t="s">
        <v>60</v>
      </c>
      <c r="C91" s="742"/>
      <c r="D91" s="742"/>
      <c r="E91" s="742"/>
      <c r="F91" s="646">
        <v>3294</v>
      </c>
      <c r="G91" s="646">
        <v>161</v>
      </c>
      <c r="H91" s="647">
        <v>160392</v>
      </c>
      <c r="I91" s="673">
        <f t="shared" si="13"/>
        <v>87387.788893880555</v>
      </c>
      <c r="J91" s="647"/>
      <c r="K91" s="648">
        <f t="shared" si="14"/>
        <v>247779.78889388056</v>
      </c>
    </row>
    <row r="92" spans="1:11" ht="18" customHeight="1" x14ac:dyDescent="0.3">
      <c r="A92" s="639" t="s">
        <v>120</v>
      </c>
      <c r="B92" s="635" t="s">
        <v>121</v>
      </c>
      <c r="C92" s="742"/>
      <c r="D92" s="742"/>
      <c r="E92" s="742"/>
      <c r="F92" s="661"/>
      <c r="G92" s="661"/>
      <c r="H92" s="662"/>
      <c r="I92" s="673">
        <f t="shared" si="13"/>
        <v>0</v>
      </c>
      <c r="J92" s="662"/>
      <c r="K92" s="648">
        <f t="shared" si="14"/>
        <v>0</v>
      </c>
    </row>
    <row r="93" spans="1:11" ht="18" customHeight="1" x14ac:dyDescent="0.3">
      <c r="A93" s="639" t="s">
        <v>122</v>
      </c>
      <c r="B93" s="635" t="s">
        <v>123</v>
      </c>
      <c r="C93" s="742"/>
      <c r="D93" s="742"/>
      <c r="E93" s="742"/>
      <c r="F93" s="646">
        <v>47</v>
      </c>
      <c r="G93" s="646">
        <v>53</v>
      </c>
      <c r="H93" s="647">
        <v>2463</v>
      </c>
      <c r="I93" s="673">
        <f t="shared" si="13"/>
        <v>1341.9380271187329</v>
      </c>
      <c r="J93" s="647"/>
      <c r="K93" s="648">
        <f t="shared" si="14"/>
        <v>3804.9380271187329</v>
      </c>
    </row>
    <row r="94" spans="1:11" ht="18" customHeight="1" x14ac:dyDescent="0.3">
      <c r="A94" s="639" t="s">
        <v>124</v>
      </c>
      <c r="B94" s="1354"/>
      <c r="C94" s="1355"/>
      <c r="D94" s="1356"/>
      <c r="E94" s="742"/>
      <c r="F94" s="646"/>
      <c r="G94" s="646"/>
      <c r="H94" s="647"/>
      <c r="I94" s="673">
        <f t="shared" si="13"/>
        <v>0</v>
      </c>
      <c r="J94" s="647"/>
      <c r="K94" s="648">
        <f t="shared" si="14"/>
        <v>0</v>
      </c>
    </row>
    <row r="95" spans="1:11" ht="18" customHeight="1" x14ac:dyDescent="0.3">
      <c r="A95" s="639" t="s">
        <v>125</v>
      </c>
      <c r="B95" s="1354"/>
      <c r="C95" s="1355"/>
      <c r="D95" s="1356"/>
      <c r="E95" s="742"/>
      <c r="F95" s="646"/>
      <c r="G95" s="646"/>
      <c r="H95" s="647"/>
      <c r="I95" s="673">
        <f t="shared" si="13"/>
        <v>0</v>
      </c>
      <c r="J95" s="647"/>
      <c r="K95" s="648">
        <f t="shared" si="14"/>
        <v>0</v>
      </c>
    </row>
    <row r="96" spans="1:11" ht="18" customHeight="1" x14ac:dyDescent="0.3">
      <c r="A96" s="639" t="s">
        <v>126</v>
      </c>
      <c r="B96" s="1354"/>
      <c r="C96" s="1355"/>
      <c r="D96" s="1356"/>
      <c r="E96" s="742"/>
      <c r="F96" s="646"/>
      <c r="G96" s="646"/>
      <c r="H96" s="647"/>
      <c r="I96" s="673">
        <f t="shared" si="13"/>
        <v>0</v>
      </c>
      <c r="J96" s="647"/>
      <c r="K96" s="648">
        <f t="shared" si="14"/>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5">SUM(F86:F96)</f>
        <v>3654</v>
      </c>
      <c r="G98" s="650">
        <f t="shared" si="15"/>
        <v>409</v>
      </c>
      <c r="H98" s="650">
        <f t="shared" si="15"/>
        <v>184999</v>
      </c>
      <c r="I98" s="650">
        <f t="shared" si="15"/>
        <v>100794.63787208221</v>
      </c>
      <c r="J98" s="650">
        <f t="shared" si="15"/>
        <v>0</v>
      </c>
      <c r="K98" s="650">
        <f t="shared" si="15"/>
        <v>285793.63787208224</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2148</v>
      </c>
      <c r="G102" s="646"/>
      <c r="H102" s="647">
        <v>77873</v>
      </c>
      <c r="I102" s="673">
        <f>H102*F$114</f>
        <v>42428.233855386556</v>
      </c>
      <c r="J102" s="647"/>
      <c r="K102" s="648">
        <f>(H102+I102)-J102</f>
        <v>120301.23385538656</v>
      </c>
    </row>
    <row r="103" spans="1:11" ht="18" customHeight="1" x14ac:dyDescent="0.3">
      <c r="A103" s="639" t="s">
        <v>132</v>
      </c>
      <c r="B103" s="1357" t="s">
        <v>62</v>
      </c>
      <c r="C103" s="1357"/>
      <c r="D103" s="742"/>
      <c r="E103" s="742"/>
      <c r="F103" s="646"/>
      <c r="G103" s="646"/>
      <c r="H103" s="647"/>
      <c r="I103" s="673">
        <f>H103*F$114</f>
        <v>0</v>
      </c>
      <c r="J103" s="647"/>
      <c r="K103" s="648">
        <f>(H103+I103)-J103</f>
        <v>0</v>
      </c>
    </row>
    <row r="104" spans="1:11" ht="18" customHeight="1" x14ac:dyDescent="0.3">
      <c r="A104" s="639" t="s">
        <v>128</v>
      </c>
      <c r="B104" s="1354"/>
      <c r="C104" s="1355"/>
      <c r="D104" s="1356"/>
      <c r="E104" s="742"/>
      <c r="F104" s="646"/>
      <c r="G104" s="646"/>
      <c r="H104" s="647"/>
      <c r="I104" s="673">
        <f>H104*F$114</f>
        <v>0</v>
      </c>
      <c r="J104" s="647"/>
      <c r="K104" s="648">
        <f>(H104+I104)-J104</f>
        <v>0</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6">SUM(F102:F106)</f>
        <v>2148</v>
      </c>
      <c r="G108" s="650">
        <f t="shared" si="16"/>
        <v>0</v>
      </c>
      <c r="H108" s="648">
        <f t="shared" si="16"/>
        <v>77873</v>
      </c>
      <c r="I108" s="648">
        <f t="shared" si="16"/>
        <v>42428.233855386556</v>
      </c>
      <c r="J108" s="648">
        <f t="shared" si="16"/>
        <v>0</v>
      </c>
      <c r="K108" s="648">
        <f t="shared" si="16"/>
        <v>120301.23385538656</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3014000</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v>0.54483882546436579</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296834000</v>
      </c>
      <c r="G117" s="740"/>
      <c r="H117" s="740"/>
      <c r="I117" s="740"/>
      <c r="J117" s="740"/>
      <c r="K117" s="740"/>
    </row>
    <row r="118" spans="1:11" ht="18" customHeight="1" x14ac:dyDescent="0.3">
      <c r="A118" s="639" t="s">
        <v>173</v>
      </c>
      <c r="B118" s="742" t="s">
        <v>18</v>
      </c>
      <c r="C118" s="742"/>
      <c r="D118" s="742"/>
      <c r="E118" s="742"/>
      <c r="F118" s="647">
        <v>3937000</v>
      </c>
      <c r="G118" s="740"/>
      <c r="H118" s="740"/>
      <c r="I118" s="740"/>
      <c r="J118" s="740"/>
      <c r="K118" s="740"/>
    </row>
    <row r="119" spans="1:11" ht="18" customHeight="1" x14ac:dyDescent="0.3">
      <c r="A119" s="639" t="s">
        <v>174</v>
      </c>
      <c r="B119" s="636" t="s">
        <v>19</v>
      </c>
      <c r="C119" s="742"/>
      <c r="D119" s="742"/>
      <c r="E119" s="742"/>
      <c r="F119" s="649">
        <f>SUM(F117:F118)</f>
        <v>300771000</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284219000</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v>16552000</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7659000</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v>24211000</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v>462</v>
      </c>
      <c r="G131" s="646">
        <v>1195</v>
      </c>
      <c r="H131" s="647">
        <v>21192</v>
      </c>
      <c r="I131" s="673">
        <f t="shared" ref="I131:I135" si="17">H131*F$114</f>
        <v>11546.224389240841</v>
      </c>
      <c r="J131" s="647">
        <v>28</v>
      </c>
      <c r="K131" s="648">
        <f>(H131+I131)-J131</f>
        <v>32710.224389240841</v>
      </c>
    </row>
    <row r="132" spans="1:11" ht="18" customHeight="1" x14ac:dyDescent="0.3">
      <c r="A132" s="639" t="s">
        <v>159</v>
      </c>
      <c r="B132" s="742" t="s">
        <v>25</v>
      </c>
      <c r="C132" s="742"/>
      <c r="D132" s="742"/>
      <c r="E132" s="742"/>
      <c r="F132" s="646"/>
      <c r="G132" s="646"/>
      <c r="H132" s="647"/>
      <c r="I132" s="673">
        <f t="shared" si="17"/>
        <v>0</v>
      </c>
      <c r="J132" s="647"/>
      <c r="K132" s="648">
        <f>(H132+I132)-J132</f>
        <v>0</v>
      </c>
    </row>
    <row r="133" spans="1:11" ht="18" customHeight="1" x14ac:dyDescent="0.3">
      <c r="A133" s="639" t="s">
        <v>160</v>
      </c>
      <c r="B133" s="1351"/>
      <c r="C133" s="1352"/>
      <c r="D133" s="1353"/>
      <c r="E133" s="742"/>
      <c r="F133" s="646"/>
      <c r="G133" s="646"/>
      <c r="H133" s="647"/>
      <c r="I133" s="673">
        <f t="shared" si="17"/>
        <v>0</v>
      </c>
      <c r="J133" s="647"/>
      <c r="K133" s="648">
        <f>(H133+I133)-J133</f>
        <v>0</v>
      </c>
    </row>
    <row r="134" spans="1:11" ht="18" customHeight="1" x14ac:dyDescent="0.3">
      <c r="A134" s="639" t="s">
        <v>161</v>
      </c>
      <c r="B134" s="1351"/>
      <c r="C134" s="1352"/>
      <c r="D134" s="1353"/>
      <c r="E134" s="742"/>
      <c r="F134" s="646"/>
      <c r="G134" s="646"/>
      <c r="H134" s="647"/>
      <c r="I134" s="673">
        <f t="shared" si="17"/>
        <v>0</v>
      </c>
      <c r="J134" s="647"/>
      <c r="K134" s="648">
        <f>(H134+I134)-J134</f>
        <v>0</v>
      </c>
    </row>
    <row r="135" spans="1:11" ht="18" customHeight="1" x14ac:dyDescent="0.3">
      <c r="A135" s="639" t="s">
        <v>162</v>
      </c>
      <c r="B135" s="1351"/>
      <c r="C135" s="1352"/>
      <c r="D135" s="1353"/>
      <c r="E135" s="742"/>
      <c r="F135" s="646"/>
      <c r="G135" s="646"/>
      <c r="H135" s="647"/>
      <c r="I135" s="673">
        <f t="shared" si="17"/>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8">SUM(F131:F135)</f>
        <v>462</v>
      </c>
      <c r="G137" s="650">
        <f t="shared" si="18"/>
        <v>1195</v>
      </c>
      <c r="H137" s="648">
        <f t="shared" si="18"/>
        <v>21192</v>
      </c>
      <c r="I137" s="648">
        <f t="shared" si="18"/>
        <v>11546.224389240841</v>
      </c>
      <c r="J137" s="648">
        <f t="shared" si="18"/>
        <v>28</v>
      </c>
      <c r="K137" s="648">
        <f t="shared" si="18"/>
        <v>32710.224389240841</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9">F36</f>
        <v>14480</v>
      </c>
      <c r="G141" s="664">
        <f t="shared" si="19"/>
        <v>209363</v>
      </c>
      <c r="H141" s="664">
        <f t="shared" si="19"/>
        <v>1625558</v>
      </c>
      <c r="I141" s="664">
        <f t="shared" si="19"/>
        <v>885667.11144420353</v>
      </c>
      <c r="J141" s="664">
        <f t="shared" si="19"/>
        <v>47833</v>
      </c>
      <c r="K141" s="664">
        <f t="shared" si="19"/>
        <v>2463392.1114442036</v>
      </c>
    </row>
    <row r="142" spans="1:11" ht="18" customHeight="1" x14ac:dyDescent="0.3">
      <c r="A142" s="639" t="s">
        <v>142</v>
      </c>
      <c r="B142" s="636" t="s">
        <v>65</v>
      </c>
      <c r="C142" s="742"/>
      <c r="D142" s="742"/>
      <c r="E142" s="742"/>
      <c r="F142" s="664">
        <f t="shared" ref="F142:K142" si="20">F49</f>
        <v>10873</v>
      </c>
      <c r="G142" s="664">
        <f t="shared" si="20"/>
        <v>22</v>
      </c>
      <c r="H142" s="664">
        <f t="shared" si="20"/>
        <v>483385</v>
      </c>
      <c r="I142" s="664">
        <f t="shared" si="20"/>
        <v>263366.91564709245</v>
      </c>
      <c r="J142" s="664">
        <f t="shared" si="20"/>
        <v>0</v>
      </c>
      <c r="K142" s="664">
        <f t="shared" si="20"/>
        <v>746751.91564709251</v>
      </c>
    </row>
    <row r="143" spans="1:11" ht="18" customHeight="1" x14ac:dyDescent="0.3">
      <c r="A143" s="639" t="s">
        <v>144</v>
      </c>
      <c r="B143" s="636" t="s">
        <v>66</v>
      </c>
      <c r="C143" s="742"/>
      <c r="D143" s="742"/>
      <c r="E143" s="742"/>
      <c r="F143" s="664">
        <f t="shared" ref="F143:K143" si="21">F64</f>
        <v>0</v>
      </c>
      <c r="G143" s="664">
        <f t="shared" si="21"/>
        <v>0</v>
      </c>
      <c r="H143" s="664">
        <f t="shared" si="21"/>
        <v>2801823</v>
      </c>
      <c r="I143" s="664">
        <f t="shared" si="21"/>
        <v>1526541.9524790456</v>
      </c>
      <c r="J143" s="664">
        <f t="shared" si="21"/>
        <v>0</v>
      </c>
      <c r="K143" s="664">
        <f t="shared" si="21"/>
        <v>4328364.9524790458</v>
      </c>
    </row>
    <row r="144" spans="1:11" ht="18" customHeight="1" x14ac:dyDescent="0.3">
      <c r="A144" s="639" t="s">
        <v>146</v>
      </c>
      <c r="B144" s="636" t="s">
        <v>67</v>
      </c>
      <c r="C144" s="742"/>
      <c r="D144" s="742"/>
      <c r="E144" s="742"/>
      <c r="F144" s="664">
        <f t="shared" ref="F144:K144" si="22">F74</f>
        <v>9844</v>
      </c>
      <c r="G144" s="664">
        <f t="shared" si="22"/>
        <v>0</v>
      </c>
      <c r="H144" s="664">
        <f t="shared" si="22"/>
        <v>418170</v>
      </c>
      <c r="I144" s="664">
        <f t="shared" si="22"/>
        <v>227835.25164443385</v>
      </c>
      <c r="J144" s="664">
        <f t="shared" si="22"/>
        <v>0</v>
      </c>
      <c r="K144" s="664">
        <f t="shared" si="22"/>
        <v>646005.25164443383</v>
      </c>
    </row>
    <row r="145" spans="1:11" ht="18" customHeight="1" x14ac:dyDescent="0.3">
      <c r="A145" s="639" t="s">
        <v>148</v>
      </c>
      <c r="B145" s="636" t="s">
        <v>68</v>
      </c>
      <c r="C145" s="742"/>
      <c r="D145" s="742"/>
      <c r="E145" s="742"/>
      <c r="F145" s="664">
        <f t="shared" ref="F145:K145" si="23">F82</f>
        <v>1019</v>
      </c>
      <c r="G145" s="664">
        <f t="shared" si="23"/>
        <v>940</v>
      </c>
      <c r="H145" s="664">
        <f t="shared" si="23"/>
        <v>69205</v>
      </c>
      <c r="I145" s="664">
        <f t="shared" si="23"/>
        <v>37705.570916261437</v>
      </c>
      <c r="J145" s="664">
        <f t="shared" si="23"/>
        <v>0</v>
      </c>
      <c r="K145" s="664">
        <f t="shared" si="23"/>
        <v>106910.57091626144</v>
      </c>
    </row>
    <row r="146" spans="1:11" ht="18" customHeight="1" x14ac:dyDescent="0.3">
      <c r="A146" s="639" t="s">
        <v>150</v>
      </c>
      <c r="B146" s="636" t="s">
        <v>69</v>
      </c>
      <c r="C146" s="742"/>
      <c r="D146" s="742"/>
      <c r="E146" s="742"/>
      <c r="F146" s="664">
        <f t="shared" ref="F146:K146" si="24">F98</f>
        <v>3654</v>
      </c>
      <c r="G146" s="664">
        <f t="shared" si="24"/>
        <v>409</v>
      </c>
      <c r="H146" s="664">
        <f t="shared" si="24"/>
        <v>184999</v>
      </c>
      <c r="I146" s="664">
        <f t="shared" si="24"/>
        <v>100794.63787208221</v>
      </c>
      <c r="J146" s="664">
        <f t="shared" si="24"/>
        <v>0</v>
      </c>
      <c r="K146" s="664">
        <f t="shared" si="24"/>
        <v>285793.63787208224</v>
      </c>
    </row>
    <row r="147" spans="1:11" ht="18" customHeight="1" x14ac:dyDescent="0.3">
      <c r="A147" s="639" t="s">
        <v>153</v>
      </c>
      <c r="B147" s="636" t="s">
        <v>61</v>
      </c>
      <c r="C147" s="742"/>
      <c r="D147" s="742"/>
      <c r="E147" s="742"/>
      <c r="F147" s="650">
        <f t="shared" ref="F147:K147" si="25">F108</f>
        <v>2148</v>
      </c>
      <c r="G147" s="650">
        <f t="shared" si="25"/>
        <v>0</v>
      </c>
      <c r="H147" s="650">
        <f t="shared" si="25"/>
        <v>77873</v>
      </c>
      <c r="I147" s="650">
        <f t="shared" si="25"/>
        <v>42428.233855386556</v>
      </c>
      <c r="J147" s="650">
        <f t="shared" si="25"/>
        <v>0</v>
      </c>
      <c r="K147" s="650">
        <f t="shared" si="25"/>
        <v>120301.23385538656</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3014000</v>
      </c>
    </row>
    <row r="149" spans="1:11" ht="18" customHeight="1" x14ac:dyDescent="0.3">
      <c r="A149" s="639" t="s">
        <v>163</v>
      </c>
      <c r="B149" s="636" t="s">
        <v>71</v>
      </c>
      <c r="C149" s="742"/>
      <c r="D149" s="742"/>
      <c r="E149" s="742"/>
      <c r="F149" s="650">
        <f t="shared" ref="F149:K149" si="26">F137</f>
        <v>462</v>
      </c>
      <c r="G149" s="650">
        <f t="shared" si="26"/>
        <v>1195</v>
      </c>
      <c r="H149" s="650">
        <f t="shared" si="26"/>
        <v>21192</v>
      </c>
      <c r="I149" s="650">
        <f t="shared" si="26"/>
        <v>11546.224389240841</v>
      </c>
      <c r="J149" s="650">
        <f t="shared" si="26"/>
        <v>28</v>
      </c>
      <c r="K149" s="650">
        <f t="shared" si="26"/>
        <v>32710.224389240841</v>
      </c>
    </row>
    <row r="150" spans="1:11" ht="18" customHeight="1" x14ac:dyDescent="0.3">
      <c r="A150" s="639" t="s">
        <v>185</v>
      </c>
      <c r="B150" s="636" t="s">
        <v>186</v>
      </c>
      <c r="C150" s="742"/>
      <c r="D150" s="742"/>
      <c r="E150" s="742"/>
      <c r="F150" s="665" t="s">
        <v>73</v>
      </c>
      <c r="G150" s="665" t="s">
        <v>73</v>
      </c>
      <c r="H150" s="650">
        <f>H18</f>
        <v>7401636</v>
      </c>
      <c r="I150" s="650">
        <f>I18</f>
        <v>0</v>
      </c>
      <c r="J150" s="650">
        <f>J18</f>
        <v>6255843</v>
      </c>
      <c r="K150" s="650">
        <f>K18</f>
        <v>1145793</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7">SUM(F141:F150)</f>
        <v>42480</v>
      </c>
      <c r="G152" s="672">
        <f t="shared" si="27"/>
        <v>211929</v>
      </c>
      <c r="H152" s="672">
        <f t="shared" si="27"/>
        <v>13083841</v>
      </c>
      <c r="I152" s="672">
        <f t="shared" si="27"/>
        <v>3095885.8982477463</v>
      </c>
      <c r="J152" s="672">
        <f t="shared" si="27"/>
        <v>6303704</v>
      </c>
      <c r="K152" s="672">
        <f t="shared" si="27"/>
        <v>12890022.898247747</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834"/>
      <c r="F154" s="687">
        <f>K152/F121</f>
        <v>4.5352432097248062E-2</v>
      </c>
      <c r="G154" s="742"/>
      <c r="H154" s="742"/>
      <c r="I154" s="742"/>
      <c r="J154" s="742"/>
      <c r="K154" s="742"/>
    </row>
    <row r="155" spans="1:11" ht="18" customHeight="1" x14ac:dyDescent="0.3">
      <c r="A155" s="639" t="s">
        <v>169</v>
      </c>
      <c r="B155" s="636" t="s">
        <v>72</v>
      </c>
      <c r="C155" s="742"/>
      <c r="D155" s="742"/>
      <c r="E155" s="834"/>
      <c r="F155" s="687">
        <f>K152/F127</f>
        <v>0.53240357268381089</v>
      </c>
      <c r="G155" s="636"/>
      <c r="H155" s="742"/>
      <c r="I155" s="742"/>
      <c r="J155" s="742"/>
      <c r="K155" s="742"/>
    </row>
    <row r="156" spans="1:11" ht="18" customHeight="1" x14ac:dyDescent="0.3">
      <c r="A156" s="633"/>
      <c r="B156" s="487"/>
      <c r="C156" s="487"/>
      <c r="D156" s="487"/>
      <c r="E156" s="487"/>
      <c r="F156" s="487"/>
      <c r="G156" s="488"/>
      <c r="H156" s="487"/>
      <c r="I156" s="487"/>
      <c r="J156" s="487"/>
      <c r="K156" s="487"/>
    </row>
  </sheetData>
  <sheetProtection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K156"/>
  <sheetViews>
    <sheetView showGridLines="0" zoomScale="85" zoomScaleNormal="85" zoomScaleSheetLayoutView="100" workbookViewId="0">
      <selection activeCell="B2" sqref="B2"/>
    </sheetView>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86" t="s">
        <v>832</v>
      </c>
      <c r="D5" s="1387"/>
      <c r="E5" s="1387"/>
      <c r="F5" s="1387"/>
      <c r="G5" s="1388"/>
      <c r="H5" s="742"/>
      <c r="I5" s="742"/>
      <c r="J5" s="742"/>
      <c r="K5" s="742"/>
    </row>
    <row r="6" spans="1:11" ht="18" customHeight="1" x14ac:dyDescent="0.3">
      <c r="A6" s="633"/>
      <c r="B6" s="733" t="s">
        <v>3</v>
      </c>
      <c r="C6" s="1452" t="s">
        <v>332</v>
      </c>
      <c r="D6" s="1453"/>
      <c r="E6" s="1453"/>
      <c r="F6" s="1453"/>
      <c r="G6" s="1454"/>
      <c r="H6" s="742"/>
      <c r="I6" s="742"/>
      <c r="J6" s="742"/>
      <c r="K6" s="742"/>
    </row>
    <row r="7" spans="1:11" ht="18" customHeight="1" x14ac:dyDescent="0.3">
      <c r="A7" s="633"/>
      <c r="B7" s="733" t="s">
        <v>4</v>
      </c>
      <c r="C7" s="1368">
        <v>1629</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86" t="s">
        <v>833</v>
      </c>
      <c r="D9" s="1387"/>
      <c r="E9" s="1387"/>
      <c r="F9" s="1387"/>
      <c r="G9" s="1388"/>
      <c r="H9" s="742"/>
      <c r="I9" s="742"/>
      <c r="J9" s="742"/>
      <c r="K9" s="742"/>
    </row>
    <row r="10" spans="1:11" ht="18" customHeight="1" x14ac:dyDescent="0.3">
      <c r="A10" s="633"/>
      <c r="B10" s="733" t="s">
        <v>2</v>
      </c>
      <c r="C10" s="1389" t="s">
        <v>333</v>
      </c>
      <c r="D10" s="1390"/>
      <c r="E10" s="1390"/>
      <c r="F10" s="1390"/>
      <c r="G10" s="1391"/>
      <c r="H10" s="742"/>
      <c r="I10" s="742"/>
      <c r="J10" s="742"/>
      <c r="K10" s="742"/>
    </row>
    <row r="11" spans="1:11" ht="18" customHeight="1" x14ac:dyDescent="0.3">
      <c r="A11" s="633"/>
      <c r="B11" s="733" t="s">
        <v>32</v>
      </c>
      <c r="C11" s="1386" t="s">
        <v>834</v>
      </c>
      <c r="D11" s="1387"/>
      <c r="E11" s="1387"/>
      <c r="F11" s="1387"/>
      <c r="G11" s="1387"/>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5106139</v>
      </c>
      <c r="I18" s="673">
        <v>0</v>
      </c>
      <c r="J18" s="647">
        <v>4315695</v>
      </c>
      <c r="K18" s="648">
        <f>(H18+I18)-J18</f>
        <v>790444</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629</v>
      </c>
      <c r="G21" s="646">
        <v>2795</v>
      </c>
      <c r="H21" s="647">
        <v>58070</v>
      </c>
      <c r="I21" s="673">
        <f t="shared" ref="I21:I34" si="0">H21*F$114</f>
        <v>36003.4</v>
      </c>
      <c r="J21" s="647"/>
      <c r="K21" s="648">
        <f t="shared" ref="K21:K34" si="1">(H21+I21)-J21</f>
        <v>94073.4</v>
      </c>
    </row>
    <row r="22" spans="1:11" ht="18" customHeight="1" x14ac:dyDescent="0.3">
      <c r="A22" s="639" t="s">
        <v>76</v>
      </c>
      <c r="B22" s="742" t="s">
        <v>6</v>
      </c>
      <c r="C22" s="742"/>
      <c r="D22" s="742"/>
      <c r="E22" s="742"/>
      <c r="F22" s="646">
        <v>386</v>
      </c>
      <c r="G22" s="646">
        <v>1526</v>
      </c>
      <c r="H22" s="647">
        <v>36191</v>
      </c>
      <c r="I22" s="673">
        <f t="shared" si="0"/>
        <v>22438.42</v>
      </c>
      <c r="J22" s="647"/>
      <c r="K22" s="648">
        <f t="shared" si="1"/>
        <v>58629.42</v>
      </c>
    </row>
    <row r="23" spans="1:11" ht="18" customHeight="1" x14ac:dyDescent="0.3">
      <c r="A23" s="639" t="s">
        <v>77</v>
      </c>
      <c r="B23" s="742" t="s">
        <v>43</v>
      </c>
      <c r="C23" s="742"/>
      <c r="D23" s="742"/>
      <c r="E23" s="742"/>
      <c r="F23" s="646"/>
      <c r="G23" s="646"/>
      <c r="H23" s="647"/>
      <c r="I23" s="673">
        <f t="shared" si="0"/>
        <v>0</v>
      </c>
      <c r="J23" s="647"/>
      <c r="K23" s="648">
        <f t="shared" si="1"/>
        <v>0</v>
      </c>
    </row>
    <row r="24" spans="1:11" ht="18" customHeight="1" x14ac:dyDescent="0.3">
      <c r="A24" s="639" t="s">
        <v>78</v>
      </c>
      <c r="B24" s="742" t="s">
        <v>44</v>
      </c>
      <c r="C24" s="742"/>
      <c r="D24" s="742"/>
      <c r="E24" s="742"/>
      <c r="F24" s="646"/>
      <c r="G24" s="646"/>
      <c r="H24" s="647"/>
      <c r="I24" s="673">
        <f t="shared" si="0"/>
        <v>0</v>
      </c>
      <c r="J24" s="647"/>
      <c r="K24" s="648">
        <f t="shared" si="1"/>
        <v>0</v>
      </c>
    </row>
    <row r="25" spans="1:11" ht="18" customHeight="1" x14ac:dyDescent="0.3">
      <c r="A25" s="639" t="s">
        <v>79</v>
      </c>
      <c r="B25" s="742" t="s">
        <v>5</v>
      </c>
      <c r="C25" s="742"/>
      <c r="D25" s="742"/>
      <c r="E25" s="742"/>
      <c r="F25" s="646">
        <v>4160</v>
      </c>
      <c r="G25" s="646">
        <v>2142</v>
      </c>
      <c r="H25" s="647">
        <v>1146386.67</v>
      </c>
      <c r="I25" s="673">
        <f>H25*F$114</f>
        <v>710759.73540000001</v>
      </c>
      <c r="J25" s="647">
        <v>650236.84</v>
      </c>
      <c r="K25" s="648">
        <f t="shared" si="1"/>
        <v>1206909.5654000002</v>
      </c>
    </row>
    <row r="26" spans="1:11" ht="18" customHeight="1" x14ac:dyDescent="0.3">
      <c r="A26" s="639" t="s">
        <v>80</v>
      </c>
      <c r="B26" s="742" t="s">
        <v>45</v>
      </c>
      <c r="C26" s="742"/>
      <c r="D26" s="742"/>
      <c r="E26" s="742"/>
      <c r="F26" s="646"/>
      <c r="G26" s="646"/>
      <c r="H26" s="647"/>
      <c r="I26" s="673">
        <f t="shared" si="0"/>
        <v>0</v>
      </c>
      <c r="J26" s="647"/>
      <c r="K26" s="648">
        <f t="shared" si="1"/>
        <v>0</v>
      </c>
    </row>
    <row r="27" spans="1:11" ht="18" customHeight="1" x14ac:dyDescent="0.3">
      <c r="A27" s="639" t="s">
        <v>81</v>
      </c>
      <c r="B27" s="742" t="s">
        <v>46</v>
      </c>
      <c r="C27" s="742"/>
      <c r="D27" s="742"/>
      <c r="E27" s="742"/>
      <c r="F27" s="646"/>
      <c r="G27" s="646"/>
      <c r="H27" s="647"/>
      <c r="I27" s="673">
        <f t="shared" si="0"/>
        <v>0</v>
      </c>
      <c r="J27" s="647"/>
      <c r="K27" s="648">
        <f t="shared" si="1"/>
        <v>0</v>
      </c>
    </row>
    <row r="28" spans="1:11" ht="18" customHeight="1" x14ac:dyDescent="0.3">
      <c r="A28" s="639" t="s">
        <v>82</v>
      </c>
      <c r="B28" s="742" t="s">
        <v>47</v>
      </c>
      <c r="C28" s="742"/>
      <c r="D28" s="742"/>
      <c r="E28" s="742"/>
      <c r="F28" s="646">
        <v>4230</v>
      </c>
      <c r="G28" s="646">
        <v>3265</v>
      </c>
      <c r="H28" s="647"/>
      <c r="I28" s="673">
        <v>189903</v>
      </c>
      <c r="J28" s="647">
        <v>189903</v>
      </c>
      <c r="K28" s="648">
        <f t="shared" si="1"/>
        <v>0</v>
      </c>
    </row>
    <row r="29" spans="1:11" ht="18" customHeight="1" x14ac:dyDescent="0.3">
      <c r="A29" s="639" t="s">
        <v>83</v>
      </c>
      <c r="B29" s="742" t="s">
        <v>48</v>
      </c>
      <c r="C29" s="742"/>
      <c r="D29" s="742"/>
      <c r="E29" s="742"/>
      <c r="F29" s="646"/>
      <c r="G29" s="646"/>
      <c r="H29" s="647"/>
      <c r="I29" s="673">
        <f t="shared" si="0"/>
        <v>0</v>
      </c>
      <c r="J29" s="647"/>
      <c r="K29" s="648">
        <f t="shared" si="1"/>
        <v>0</v>
      </c>
    </row>
    <row r="30" spans="1:11" ht="18" customHeight="1" x14ac:dyDescent="0.3">
      <c r="A30" s="639" t="s">
        <v>84</v>
      </c>
      <c r="B30" s="1351"/>
      <c r="C30" s="1352"/>
      <c r="D30" s="1353"/>
      <c r="E30" s="742"/>
      <c r="F30" s="646"/>
      <c r="G30" s="646"/>
      <c r="H30" s="647"/>
      <c r="I30" s="673">
        <f t="shared" si="0"/>
        <v>0</v>
      </c>
      <c r="J30" s="647"/>
      <c r="K30" s="648">
        <f t="shared" si="1"/>
        <v>0</v>
      </c>
    </row>
    <row r="31" spans="1:11" ht="18" customHeight="1" x14ac:dyDescent="0.3">
      <c r="A31" s="639" t="s">
        <v>133</v>
      </c>
      <c r="B31" s="1351"/>
      <c r="C31" s="1352"/>
      <c r="D31" s="1353"/>
      <c r="E31" s="742"/>
      <c r="F31" s="646"/>
      <c r="G31" s="646"/>
      <c r="H31" s="647"/>
      <c r="I31" s="673">
        <f t="shared" si="0"/>
        <v>0</v>
      </c>
      <c r="J31" s="647"/>
      <c r="K31" s="648">
        <f t="shared" si="1"/>
        <v>0</v>
      </c>
    </row>
    <row r="32" spans="1:11" ht="18" customHeight="1" x14ac:dyDescent="0.3">
      <c r="A32" s="639" t="s">
        <v>134</v>
      </c>
      <c r="B32" s="909"/>
      <c r="C32" s="910"/>
      <c r="D32" s="911"/>
      <c r="E32" s="742"/>
      <c r="F32" s="646"/>
      <c r="G32" s="675"/>
      <c r="H32" s="647"/>
      <c r="I32" s="673">
        <f t="shared" si="0"/>
        <v>0</v>
      </c>
      <c r="J32" s="647"/>
      <c r="K32" s="648">
        <f t="shared" si="1"/>
        <v>0</v>
      </c>
    </row>
    <row r="33" spans="1:11" ht="18" customHeight="1" x14ac:dyDescent="0.3">
      <c r="A33" s="639" t="s">
        <v>135</v>
      </c>
      <c r="B33" s="909"/>
      <c r="C33" s="910"/>
      <c r="D33" s="911"/>
      <c r="E33" s="742"/>
      <c r="F33" s="646"/>
      <c r="G33" s="675"/>
      <c r="H33" s="647"/>
      <c r="I33" s="673">
        <f t="shared" si="0"/>
        <v>0</v>
      </c>
      <c r="J33" s="647"/>
      <c r="K33" s="648">
        <f t="shared" si="1"/>
        <v>0</v>
      </c>
    </row>
    <row r="34" spans="1:11" ht="18" customHeight="1" x14ac:dyDescent="0.3">
      <c r="A34" s="639" t="s">
        <v>136</v>
      </c>
      <c r="B34" s="1351"/>
      <c r="C34" s="1352"/>
      <c r="D34" s="1353"/>
      <c r="E34" s="742"/>
      <c r="F34" s="646"/>
      <c r="G34" s="675"/>
      <c r="H34" s="647"/>
      <c r="I34" s="673">
        <f t="shared" si="0"/>
        <v>0</v>
      </c>
      <c r="J34" s="647"/>
      <c r="K34" s="648">
        <f t="shared" si="1"/>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9405</v>
      </c>
      <c r="G36" s="650">
        <f t="shared" si="2"/>
        <v>9728</v>
      </c>
      <c r="H36" s="650">
        <f t="shared" si="2"/>
        <v>1240647.67</v>
      </c>
      <c r="I36" s="648">
        <f t="shared" si="2"/>
        <v>959104.55539999995</v>
      </c>
      <c r="J36" s="648">
        <f t="shared" si="2"/>
        <v>840139.84</v>
      </c>
      <c r="K36" s="648">
        <f t="shared" si="2"/>
        <v>1359612.3854000003</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c r="I40" s="673">
        <v>0</v>
      </c>
      <c r="J40" s="647"/>
      <c r="K40" s="648">
        <f t="shared" ref="K40:K47" si="3">(H40+I40)-J40</f>
        <v>0</v>
      </c>
    </row>
    <row r="41" spans="1:11" ht="18" customHeight="1" x14ac:dyDescent="0.3">
      <c r="A41" s="639" t="s">
        <v>88</v>
      </c>
      <c r="B41" s="1359" t="s">
        <v>50</v>
      </c>
      <c r="C41" s="1359"/>
      <c r="D41" s="742"/>
      <c r="E41" s="742"/>
      <c r="F41" s="646">
        <v>24562</v>
      </c>
      <c r="G41" s="646">
        <v>272</v>
      </c>
      <c r="H41" s="493">
        <v>982480</v>
      </c>
      <c r="I41" s="673">
        <v>0</v>
      </c>
      <c r="J41" s="647"/>
      <c r="K41" s="648">
        <f t="shared" si="3"/>
        <v>982480</v>
      </c>
    </row>
    <row r="42" spans="1:11" ht="18" customHeight="1" x14ac:dyDescent="0.3">
      <c r="A42" s="639" t="s">
        <v>89</v>
      </c>
      <c r="B42" s="635" t="s">
        <v>11</v>
      </c>
      <c r="C42" s="742"/>
      <c r="D42" s="742"/>
      <c r="E42" s="742"/>
      <c r="F42" s="646">
        <v>12988</v>
      </c>
      <c r="G42" s="646">
        <v>940</v>
      </c>
      <c r="H42" s="647">
        <v>509334</v>
      </c>
      <c r="I42" s="673">
        <v>0</v>
      </c>
      <c r="J42" s="647"/>
      <c r="K42" s="648">
        <f t="shared" si="3"/>
        <v>509334</v>
      </c>
    </row>
    <row r="43" spans="1:11" ht="18" customHeight="1" x14ac:dyDescent="0.3">
      <c r="A43" s="639" t="s">
        <v>90</v>
      </c>
      <c r="B43" s="670" t="s">
        <v>10</v>
      </c>
      <c r="C43" s="642"/>
      <c r="D43" s="642"/>
      <c r="E43" s="742"/>
      <c r="F43" s="646"/>
      <c r="G43" s="646"/>
      <c r="H43" s="647"/>
      <c r="I43" s="673">
        <v>0</v>
      </c>
      <c r="J43" s="647"/>
      <c r="K43" s="648">
        <f t="shared" si="3"/>
        <v>0</v>
      </c>
    </row>
    <row r="44" spans="1:11" ht="18" customHeight="1" x14ac:dyDescent="0.3">
      <c r="A44" s="639" t="s">
        <v>91</v>
      </c>
      <c r="B44" s="1351"/>
      <c r="C44" s="1352"/>
      <c r="D44" s="1353"/>
      <c r="E44" s="742"/>
      <c r="F44" s="677"/>
      <c r="G44" s="677"/>
      <c r="H44" s="67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37550</v>
      </c>
      <c r="G49" s="654">
        <f t="shared" si="4"/>
        <v>1212</v>
      </c>
      <c r="H49" s="648">
        <f t="shared" si="4"/>
        <v>1491814</v>
      </c>
      <c r="I49" s="648">
        <f t="shared" si="4"/>
        <v>0</v>
      </c>
      <c r="J49" s="648">
        <f t="shared" si="4"/>
        <v>0</v>
      </c>
      <c r="K49" s="648">
        <f t="shared" si="4"/>
        <v>1491814</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c r="C53" s="1355"/>
      <c r="D53" s="1356"/>
      <c r="E53" s="742"/>
      <c r="F53" s="646"/>
      <c r="G53" s="646"/>
      <c r="H53" s="647"/>
      <c r="I53" s="673">
        <v>0</v>
      </c>
      <c r="J53" s="647"/>
      <c r="K53" s="648">
        <f t="shared" ref="K53:K62" si="5">(H53+I53)-J53</f>
        <v>0</v>
      </c>
    </row>
    <row r="54" spans="1:11" ht="18" customHeight="1" x14ac:dyDescent="0.3">
      <c r="A54" s="639" t="s">
        <v>93</v>
      </c>
      <c r="B54" s="912"/>
      <c r="C54" s="913"/>
      <c r="D54" s="914"/>
      <c r="E54" s="742"/>
      <c r="F54" s="646"/>
      <c r="G54" s="646"/>
      <c r="H54" s="647"/>
      <c r="I54" s="673">
        <v>0</v>
      </c>
      <c r="J54" s="647"/>
      <c r="K54" s="648">
        <f t="shared" si="5"/>
        <v>0</v>
      </c>
    </row>
    <row r="55" spans="1:11" ht="18" customHeight="1" x14ac:dyDescent="0.3">
      <c r="A55" s="639" t="s">
        <v>94</v>
      </c>
      <c r="B55" s="1354"/>
      <c r="C55" s="1355"/>
      <c r="D55" s="1356"/>
      <c r="E55" s="742"/>
      <c r="F55" s="646"/>
      <c r="G55" s="646"/>
      <c r="H55" s="647"/>
      <c r="I55" s="673">
        <v>0</v>
      </c>
      <c r="J55" s="647"/>
      <c r="K55" s="648">
        <f t="shared" si="5"/>
        <v>0</v>
      </c>
    </row>
    <row r="56" spans="1:11" ht="18" customHeight="1" x14ac:dyDescent="0.3">
      <c r="A56" s="639" t="s">
        <v>95</v>
      </c>
      <c r="B56" s="1354"/>
      <c r="C56" s="1355"/>
      <c r="D56" s="1356"/>
      <c r="E56" s="742"/>
      <c r="F56" s="646"/>
      <c r="G56" s="646"/>
      <c r="H56" s="647"/>
      <c r="I56" s="673">
        <v>0</v>
      </c>
      <c r="J56" s="647"/>
      <c r="K56" s="648">
        <f t="shared" si="5"/>
        <v>0</v>
      </c>
    </row>
    <row r="57" spans="1:11" ht="18" customHeight="1" x14ac:dyDescent="0.3">
      <c r="A57" s="639" t="s">
        <v>96</v>
      </c>
      <c r="B57" s="1354"/>
      <c r="C57" s="1355"/>
      <c r="D57" s="1356"/>
      <c r="E57" s="742"/>
      <c r="F57" s="646"/>
      <c r="G57" s="646"/>
      <c r="H57" s="647"/>
      <c r="I57" s="673">
        <v>0</v>
      </c>
      <c r="J57" s="647"/>
      <c r="K57" s="648">
        <f t="shared" si="5"/>
        <v>0</v>
      </c>
    </row>
    <row r="58" spans="1:11" ht="18" customHeight="1" x14ac:dyDescent="0.3">
      <c r="A58" s="639" t="s">
        <v>97</v>
      </c>
      <c r="B58" s="912"/>
      <c r="C58" s="913"/>
      <c r="D58" s="914"/>
      <c r="E58" s="742"/>
      <c r="F58" s="646"/>
      <c r="G58" s="646"/>
      <c r="H58" s="647"/>
      <c r="I58" s="673">
        <v>0</v>
      </c>
      <c r="J58" s="647"/>
      <c r="K58" s="648">
        <f t="shared" si="5"/>
        <v>0</v>
      </c>
    </row>
    <row r="59" spans="1:11" ht="18" customHeight="1" x14ac:dyDescent="0.3">
      <c r="A59" s="639" t="s">
        <v>98</v>
      </c>
      <c r="B59" s="1354"/>
      <c r="C59" s="1355"/>
      <c r="D59" s="1356"/>
      <c r="E59" s="742"/>
      <c r="F59" s="646"/>
      <c r="G59" s="646"/>
      <c r="H59" s="647"/>
      <c r="I59" s="673">
        <v>0</v>
      </c>
      <c r="J59" s="647"/>
      <c r="K59" s="648">
        <f t="shared" si="5"/>
        <v>0</v>
      </c>
    </row>
    <row r="60" spans="1:11" ht="18" customHeight="1" x14ac:dyDescent="0.3">
      <c r="A60" s="639" t="s">
        <v>99</v>
      </c>
      <c r="B60" s="912"/>
      <c r="C60" s="913"/>
      <c r="D60" s="914"/>
      <c r="E60" s="742"/>
      <c r="F60" s="646"/>
      <c r="G60" s="646"/>
      <c r="H60" s="647"/>
      <c r="I60" s="673">
        <v>0</v>
      </c>
      <c r="J60" s="647"/>
      <c r="K60" s="648">
        <f t="shared" si="5"/>
        <v>0</v>
      </c>
    </row>
    <row r="61" spans="1:11" ht="18" customHeight="1" x14ac:dyDescent="0.3">
      <c r="A61" s="639" t="s">
        <v>100</v>
      </c>
      <c r="B61" s="912"/>
      <c r="C61" s="913"/>
      <c r="D61" s="914"/>
      <c r="E61" s="742"/>
      <c r="F61" s="646"/>
      <c r="G61" s="646"/>
      <c r="H61" s="647"/>
      <c r="I61" s="673">
        <v>0</v>
      </c>
      <c r="J61" s="647"/>
      <c r="K61" s="648">
        <f t="shared" si="5"/>
        <v>0</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0</v>
      </c>
      <c r="G64" s="650">
        <f t="shared" si="6"/>
        <v>0</v>
      </c>
      <c r="H64" s="648">
        <f t="shared" si="6"/>
        <v>0</v>
      </c>
      <c r="I64" s="648">
        <f t="shared" si="6"/>
        <v>0</v>
      </c>
      <c r="J64" s="648">
        <f t="shared" si="6"/>
        <v>0</v>
      </c>
      <c r="K64" s="648">
        <f t="shared" si="6"/>
        <v>0</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912"/>
      <c r="C70" s="913"/>
      <c r="D70" s="914"/>
      <c r="E70" s="636"/>
      <c r="F70" s="658"/>
      <c r="G70" s="658"/>
      <c r="H70" s="659"/>
      <c r="I70" s="673">
        <v>0</v>
      </c>
      <c r="J70" s="659"/>
      <c r="K70" s="648">
        <f>(H70+I70)-J70</f>
        <v>0</v>
      </c>
    </row>
    <row r="71" spans="1:11" ht="18" customHeight="1" x14ac:dyDescent="0.3">
      <c r="A71" s="639" t="s">
        <v>179</v>
      </c>
      <c r="B71" s="912"/>
      <c r="C71" s="913"/>
      <c r="D71" s="914"/>
      <c r="E71" s="636"/>
      <c r="F71" s="658"/>
      <c r="G71" s="658"/>
      <c r="H71" s="659"/>
      <c r="I71" s="673">
        <v>0</v>
      </c>
      <c r="J71" s="659"/>
      <c r="K71" s="648">
        <f>(H71+I71)-J71</f>
        <v>0</v>
      </c>
    </row>
    <row r="72" spans="1:11" ht="18" customHeight="1" x14ac:dyDescent="0.3">
      <c r="A72" s="639" t="s">
        <v>180</v>
      </c>
      <c r="B72" s="930"/>
      <c r="C72" s="929"/>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v>23384</v>
      </c>
      <c r="I77" s="673">
        <v>0</v>
      </c>
      <c r="J77" s="647"/>
      <c r="K77" s="648">
        <f>(H77+I77)-J77</f>
        <v>23384</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c r="G79" s="646"/>
      <c r="H79" s="647">
        <v>14007</v>
      </c>
      <c r="I79" s="673">
        <v>0</v>
      </c>
      <c r="J79" s="647"/>
      <c r="K79" s="648">
        <f>(H79+I79)-J79</f>
        <v>14007</v>
      </c>
    </row>
    <row r="80" spans="1:11" ht="18" customHeight="1" x14ac:dyDescent="0.3">
      <c r="A80" s="639" t="s">
        <v>110</v>
      </c>
      <c r="B80" s="635" t="s">
        <v>56</v>
      </c>
      <c r="C80" s="742"/>
      <c r="D80" s="742"/>
      <c r="E80" s="742"/>
      <c r="F80" s="646"/>
      <c r="G80" s="646"/>
      <c r="H80" s="647">
        <v>241463</v>
      </c>
      <c r="I80" s="673">
        <v>0</v>
      </c>
      <c r="J80" s="647"/>
      <c r="K80" s="648">
        <f>(H80+I80)-J80</f>
        <v>241463</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0</v>
      </c>
      <c r="G82" s="653">
        <f t="shared" si="8"/>
        <v>0</v>
      </c>
      <c r="H82" s="649">
        <f t="shared" si="8"/>
        <v>278854</v>
      </c>
      <c r="I82" s="649">
        <f t="shared" si="8"/>
        <v>0</v>
      </c>
      <c r="J82" s="649">
        <f t="shared" si="8"/>
        <v>0</v>
      </c>
      <c r="K82" s="649">
        <f t="shared" si="8"/>
        <v>278854</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639" t="s">
        <v>114</v>
      </c>
      <c r="B87" s="635" t="s">
        <v>14</v>
      </c>
      <c r="C87" s="742"/>
      <c r="D87" s="742"/>
      <c r="E87" s="742"/>
      <c r="F87" s="646">
        <v>102</v>
      </c>
      <c r="G87" s="646">
        <v>609</v>
      </c>
      <c r="H87" s="647">
        <v>42537</v>
      </c>
      <c r="I87" s="673">
        <f t="shared" si="9"/>
        <v>26372.94</v>
      </c>
      <c r="J87" s="647"/>
      <c r="K87" s="648">
        <f t="shared" si="10"/>
        <v>68909.94</v>
      </c>
    </row>
    <row r="88" spans="1:11" ht="18" customHeight="1" x14ac:dyDescent="0.3">
      <c r="A88" s="639" t="s">
        <v>115</v>
      </c>
      <c r="B88" s="635" t="s">
        <v>116</v>
      </c>
      <c r="C88" s="742"/>
      <c r="D88" s="742"/>
      <c r="E88" s="742"/>
      <c r="F88" s="646">
        <v>12200</v>
      </c>
      <c r="G88" s="646">
        <v>3785</v>
      </c>
      <c r="H88" s="647">
        <v>462760</v>
      </c>
      <c r="I88" s="673">
        <f t="shared" si="9"/>
        <v>286911.2</v>
      </c>
      <c r="J88" s="647"/>
      <c r="K88" s="648">
        <f t="shared" si="10"/>
        <v>749671.2</v>
      </c>
    </row>
    <row r="89" spans="1:11" ht="18" customHeight="1" x14ac:dyDescent="0.3">
      <c r="A89" s="639" t="s">
        <v>117</v>
      </c>
      <c r="B89" s="635" t="s">
        <v>58</v>
      </c>
      <c r="C89" s="742"/>
      <c r="D89" s="742"/>
      <c r="E89" s="742"/>
      <c r="F89" s="646"/>
      <c r="G89" s="646"/>
      <c r="H89" s="647"/>
      <c r="I89" s="673">
        <f t="shared" si="9"/>
        <v>0</v>
      </c>
      <c r="J89" s="647"/>
      <c r="K89" s="648">
        <f t="shared" si="10"/>
        <v>0</v>
      </c>
    </row>
    <row r="90" spans="1:11" ht="18" customHeight="1" x14ac:dyDescent="0.3">
      <c r="A90" s="639" t="s">
        <v>118</v>
      </c>
      <c r="B90" s="1359" t="s">
        <v>59</v>
      </c>
      <c r="C90" s="1359"/>
      <c r="D90" s="742"/>
      <c r="E90" s="742"/>
      <c r="F90" s="646"/>
      <c r="G90" s="646"/>
      <c r="H90" s="647"/>
      <c r="I90" s="673">
        <f t="shared" si="9"/>
        <v>0</v>
      </c>
      <c r="J90" s="647"/>
      <c r="K90" s="648">
        <f t="shared" si="10"/>
        <v>0</v>
      </c>
    </row>
    <row r="91" spans="1:11" ht="18" customHeight="1" x14ac:dyDescent="0.3">
      <c r="A91" s="639" t="s">
        <v>119</v>
      </c>
      <c r="B91" s="635" t="s">
        <v>60</v>
      </c>
      <c r="C91" s="742"/>
      <c r="D91" s="742"/>
      <c r="E91" s="742"/>
      <c r="F91" s="646"/>
      <c r="G91" s="646"/>
      <c r="H91" s="647"/>
      <c r="I91" s="673">
        <f t="shared" si="9"/>
        <v>0</v>
      </c>
      <c r="J91" s="647"/>
      <c r="K91" s="648">
        <f t="shared" si="10"/>
        <v>0</v>
      </c>
    </row>
    <row r="92" spans="1:11" ht="18" customHeight="1" x14ac:dyDescent="0.3">
      <c r="A92" s="639" t="s">
        <v>120</v>
      </c>
      <c r="B92" s="635" t="s">
        <v>121</v>
      </c>
      <c r="C92" s="742"/>
      <c r="D92" s="742"/>
      <c r="E92" s="742"/>
      <c r="F92" s="661">
        <v>208</v>
      </c>
      <c r="G92" s="661">
        <v>125</v>
      </c>
      <c r="H92" s="662">
        <v>56200</v>
      </c>
      <c r="I92" s="673">
        <f t="shared" si="9"/>
        <v>34844</v>
      </c>
      <c r="J92" s="662"/>
      <c r="K92" s="648">
        <f t="shared" si="10"/>
        <v>91044</v>
      </c>
    </row>
    <row r="93" spans="1:11" ht="18" customHeight="1" x14ac:dyDescent="0.3">
      <c r="A93" s="639" t="s">
        <v>122</v>
      </c>
      <c r="B93" s="635" t="s">
        <v>123</v>
      </c>
      <c r="C93" s="742"/>
      <c r="D93" s="742"/>
      <c r="E93" s="742"/>
      <c r="F93" s="646"/>
      <c r="G93" s="646"/>
      <c r="H93" s="647"/>
      <c r="I93" s="673">
        <f t="shared" si="9"/>
        <v>0</v>
      </c>
      <c r="J93" s="647"/>
      <c r="K93" s="648">
        <f t="shared" si="10"/>
        <v>0</v>
      </c>
    </row>
    <row r="94" spans="1:11" ht="18" customHeight="1" x14ac:dyDescent="0.3">
      <c r="A94" s="639" t="s">
        <v>124</v>
      </c>
      <c r="B94" s="1354" t="s">
        <v>835</v>
      </c>
      <c r="C94" s="1355"/>
      <c r="D94" s="1356"/>
      <c r="E94" s="742"/>
      <c r="F94" s="646">
        <v>1840</v>
      </c>
      <c r="G94" s="646">
        <v>60000</v>
      </c>
      <c r="H94" s="647">
        <v>82856</v>
      </c>
      <c r="I94" s="673">
        <f t="shared" si="9"/>
        <v>51370.720000000001</v>
      </c>
      <c r="J94" s="647"/>
      <c r="K94" s="648">
        <f t="shared" si="10"/>
        <v>134226.72</v>
      </c>
    </row>
    <row r="95" spans="1:11" ht="18" customHeight="1" x14ac:dyDescent="0.3">
      <c r="A95" s="639" t="s">
        <v>125</v>
      </c>
      <c r="B95" s="1354"/>
      <c r="C95" s="1355"/>
      <c r="D95" s="1356"/>
      <c r="E95" s="742"/>
      <c r="F95" s="646"/>
      <c r="G95" s="646"/>
      <c r="H95" s="647"/>
      <c r="I95" s="673">
        <f t="shared" si="9"/>
        <v>0</v>
      </c>
      <c r="J95" s="647"/>
      <c r="K95" s="648">
        <f t="shared" si="10"/>
        <v>0</v>
      </c>
    </row>
    <row r="96" spans="1:11" ht="18" customHeight="1" x14ac:dyDescent="0.3">
      <c r="A96" s="639" t="s">
        <v>126</v>
      </c>
      <c r="B96" s="1354"/>
      <c r="C96" s="1355"/>
      <c r="D96" s="1356"/>
      <c r="E96" s="742"/>
      <c r="F96" s="646"/>
      <c r="G96" s="646"/>
      <c r="H96" s="647"/>
      <c r="I96" s="673">
        <f t="shared" si="9"/>
        <v>0</v>
      </c>
      <c r="J96" s="647"/>
      <c r="K96" s="648">
        <f t="shared" si="10"/>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14350</v>
      </c>
      <c r="G98" s="650">
        <f t="shared" si="11"/>
        <v>64519</v>
      </c>
      <c r="H98" s="650">
        <f t="shared" si="11"/>
        <v>644353</v>
      </c>
      <c r="I98" s="650">
        <f t="shared" si="11"/>
        <v>399498.86</v>
      </c>
      <c r="J98" s="650">
        <f t="shared" si="11"/>
        <v>0</v>
      </c>
      <c r="K98" s="650">
        <f t="shared" si="11"/>
        <v>1043851.8599999999</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220</v>
      </c>
      <c r="G102" s="646"/>
      <c r="H102" s="647">
        <v>46580</v>
      </c>
      <c r="I102" s="673">
        <f>H102*F$114</f>
        <v>28879.599999999999</v>
      </c>
      <c r="J102" s="647"/>
      <c r="K102" s="648">
        <f>(H102+I102)-J102</f>
        <v>75459.600000000006</v>
      </c>
    </row>
    <row r="103" spans="1:11" ht="18" customHeight="1" x14ac:dyDescent="0.3">
      <c r="A103" s="639" t="s">
        <v>132</v>
      </c>
      <c r="B103" s="1357" t="s">
        <v>62</v>
      </c>
      <c r="C103" s="1357"/>
      <c r="D103" s="742"/>
      <c r="E103" s="742"/>
      <c r="F103" s="646">
        <v>12</v>
      </c>
      <c r="G103" s="646"/>
      <c r="H103" s="647">
        <v>480</v>
      </c>
      <c r="I103" s="673">
        <f>H103*F$114</f>
        <v>297.60000000000002</v>
      </c>
      <c r="J103" s="647"/>
      <c r="K103" s="648">
        <f>(H103+I103)-J103</f>
        <v>777.6</v>
      </c>
    </row>
    <row r="104" spans="1:11" ht="18" customHeight="1" x14ac:dyDescent="0.3">
      <c r="A104" s="639" t="s">
        <v>128</v>
      </c>
      <c r="B104" s="1354" t="s">
        <v>836</v>
      </c>
      <c r="C104" s="1355"/>
      <c r="D104" s="1356"/>
      <c r="E104" s="742"/>
      <c r="F104" s="646">
        <v>12</v>
      </c>
      <c r="G104" s="646"/>
      <c r="H104" s="647">
        <v>20490</v>
      </c>
      <c r="I104" s="673">
        <f>H104*F$114</f>
        <v>12703.8</v>
      </c>
      <c r="J104" s="647"/>
      <c r="K104" s="648">
        <f>(H104+I104)-J104</f>
        <v>33193.800000000003</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244</v>
      </c>
      <c r="G108" s="650">
        <f t="shared" si="12"/>
        <v>0</v>
      </c>
      <c r="H108" s="648">
        <f t="shared" si="12"/>
        <v>67550</v>
      </c>
      <c r="I108" s="648">
        <f t="shared" si="12"/>
        <v>41881</v>
      </c>
      <c r="J108" s="648">
        <f t="shared" si="12"/>
        <v>0</v>
      </c>
      <c r="K108" s="648">
        <f t="shared" si="12"/>
        <v>109431.00000000001</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493">
        <v>6756740</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v>0.62</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199714675</v>
      </c>
      <c r="G117" s="740"/>
      <c r="H117" s="740"/>
      <c r="I117" s="740"/>
      <c r="J117" s="740"/>
      <c r="K117" s="740"/>
    </row>
    <row r="118" spans="1:11" ht="18" customHeight="1" x14ac:dyDescent="0.3">
      <c r="A118" s="639" t="s">
        <v>173</v>
      </c>
      <c r="B118" s="742" t="s">
        <v>18</v>
      </c>
      <c r="C118" s="742"/>
      <c r="D118" s="742"/>
      <c r="E118" s="742"/>
      <c r="F118" s="647">
        <v>5783460</v>
      </c>
      <c r="G118" s="740"/>
      <c r="H118" s="740"/>
      <c r="I118" s="740"/>
      <c r="J118" s="740"/>
      <c r="K118" s="740"/>
    </row>
    <row r="119" spans="1:11" ht="18" customHeight="1" x14ac:dyDescent="0.3">
      <c r="A119" s="639" t="s">
        <v>174</v>
      </c>
      <c r="B119" s="636" t="s">
        <v>19</v>
      </c>
      <c r="C119" s="742"/>
      <c r="D119" s="742"/>
      <c r="E119" s="742"/>
      <c r="F119" s="649">
        <f>SUM(F117:F118)</f>
        <v>205498135</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193854072</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v>11644063</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-10967744</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v>676319</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v>189903</v>
      </c>
      <c r="I131" s="673">
        <v>0</v>
      </c>
      <c r="J131" s="647"/>
      <c r="K131" s="648">
        <f>(H131+I131)-J131</f>
        <v>189903</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189903</v>
      </c>
      <c r="I137" s="648">
        <f t="shared" si="13"/>
        <v>0</v>
      </c>
      <c r="J137" s="648">
        <f t="shared" si="13"/>
        <v>0</v>
      </c>
      <c r="K137" s="648">
        <f t="shared" si="13"/>
        <v>189903</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9405</v>
      </c>
      <c r="G141" s="664">
        <f t="shared" si="14"/>
        <v>9728</v>
      </c>
      <c r="H141" s="664">
        <f t="shared" si="14"/>
        <v>1240647.67</v>
      </c>
      <c r="I141" s="664">
        <f t="shared" si="14"/>
        <v>959104.55539999995</v>
      </c>
      <c r="J141" s="664">
        <f t="shared" si="14"/>
        <v>840139.84</v>
      </c>
      <c r="K141" s="664">
        <f t="shared" si="14"/>
        <v>1359612.3854000003</v>
      </c>
    </row>
    <row r="142" spans="1:11" ht="18" customHeight="1" x14ac:dyDescent="0.3">
      <c r="A142" s="639" t="s">
        <v>142</v>
      </c>
      <c r="B142" s="636" t="s">
        <v>65</v>
      </c>
      <c r="C142" s="742"/>
      <c r="D142" s="742"/>
      <c r="E142" s="742"/>
      <c r="F142" s="664">
        <f t="shared" ref="F142:K142" si="15">F49</f>
        <v>37550</v>
      </c>
      <c r="G142" s="664">
        <f t="shared" si="15"/>
        <v>1212</v>
      </c>
      <c r="H142" s="664">
        <f t="shared" si="15"/>
        <v>1491814</v>
      </c>
      <c r="I142" s="664">
        <f t="shared" si="15"/>
        <v>0</v>
      </c>
      <c r="J142" s="664">
        <f t="shared" si="15"/>
        <v>0</v>
      </c>
      <c r="K142" s="664">
        <f t="shared" si="15"/>
        <v>1491814</v>
      </c>
    </row>
    <row r="143" spans="1:11" ht="18" customHeight="1" x14ac:dyDescent="0.3">
      <c r="A143" s="639" t="s">
        <v>144</v>
      </c>
      <c r="B143" s="636" t="s">
        <v>66</v>
      </c>
      <c r="C143" s="742"/>
      <c r="D143" s="742"/>
      <c r="E143" s="742"/>
      <c r="F143" s="664">
        <f t="shared" ref="F143:K143" si="16">F64</f>
        <v>0</v>
      </c>
      <c r="G143" s="664">
        <f t="shared" si="16"/>
        <v>0</v>
      </c>
      <c r="H143" s="664">
        <f t="shared" si="16"/>
        <v>0</v>
      </c>
      <c r="I143" s="664">
        <f t="shared" si="16"/>
        <v>0</v>
      </c>
      <c r="J143" s="664">
        <f t="shared" si="16"/>
        <v>0</v>
      </c>
      <c r="K143" s="664">
        <f t="shared" si="16"/>
        <v>0</v>
      </c>
    </row>
    <row r="144" spans="1:11" ht="18" customHeight="1" x14ac:dyDescent="0.3">
      <c r="A144" s="639"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639" t="s">
        <v>148</v>
      </c>
      <c r="B145" s="636" t="s">
        <v>68</v>
      </c>
      <c r="C145" s="742"/>
      <c r="D145" s="742"/>
      <c r="E145" s="742"/>
      <c r="F145" s="664">
        <f t="shared" ref="F145:K145" si="18">F82</f>
        <v>0</v>
      </c>
      <c r="G145" s="664">
        <f t="shared" si="18"/>
        <v>0</v>
      </c>
      <c r="H145" s="664">
        <f t="shared" si="18"/>
        <v>278854</v>
      </c>
      <c r="I145" s="664">
        <f t="shared" si="18"/>
        <v>0</v>
      </c>
      <c r="J145" s="664">
        <f t="shared" si="18"/>
        <v>0</v>
      </c>
      <c r="K145" s="664">
        <f t="shared" si="18"/>
        <v>278854</v>
      </c>
    </row>
    <row r="146" spans="1:11" ht="18" customHeight="1" x14ac:dyDescent="0.3">
      <c r="A146" s="639" t="s">
        <v>150</v>
      </c>
      <c r="B146" s="636" t="s">
        <v>69</v>
      </c>
      <c r="C146" s="742"/>
      <c r="D146" s="742"/>
      <c r="E146" s="742"/>
      <c r="F146" s="664">
        <f t="shared" ref="F146:K146" si="19">F98</f>
        <v>14350</v>
      </c>
      <c r="G146" s="664">
        <f t="shared" si="19"/>
        <v>64519</v>
      </c>
      <c r="H146" s="664">
        <f t="shared" si="19"/>
        <v>644353</v>
      </c>
      <c r="I146" s="664">
        <f t="shared" si="19"/>
        <v>399498.86</v>
      </c>
      <c r="J146" s="664">
        <f t="shared" si="19"/>
        <v>0</v>
      </c>
      <c r="K146" s="664">
        <f t="shared" si="19"/>
        <v>1043851.8599999999</v>
      </c>
    </row>
    <row r="147" spans="1:11" ht="18" customHeight="1" x14ac:dyDescent="0.3">
      <c r="A147" s="639" t="s">
        <v>153</v>
      </c>
      <c r="B147" s="636" t="s">
        <v>61</v>
      </c>
      <c r="C147" s="742"/>
      <c r="D147" s="742"/>
      <c r="E147" s="742"/>
      <c r="F147" s="650">
        <f t="shared" ref="F147:K147" si="20">F108</f>
        <v>244</v>
      </c>
      <c r="G147" s="650">
        <f t="shared" si="20"/>
        <v>0</v>
      </c>
      <c r="H147" s="650">
        <f t="shared" si="20"/>
        <v>67550</v>
      </c>
      <c r="I147" s="650">
        <f t="shared" si="20"/>
        <v>41881</v>
      </c>
      <c r="J147" s="650">
        <f t="shared" si="20"/>
        <v>0</v>
      </c>
      <c r="K147" s="650">
        <f t="shared" si="20"/>
        <v>109431.00000000001</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6756740</v>
      </c>
    </row>
    <row r="149" spans="1:11" ht="18" customHeight="1" x14ac:dyDescent="0.3">
      <c r="A149" s="639" t="s">
        <v>163</v>
      </c>
      <c r="B149" s="636" t="s">
        <v>71</v>
      </c>
      <c r="C149" s="742"/>
      <c r="D149" s="742"/>
      <c r="E149" s="742"/>
      <c r="F149" s="650">
        <f t="shared" ref="F149:K149" si="21">F137</f>
        <v>0</v>
      </c>
      <c r="G149" s="650">
        <f t="shared" si="21"/>
        <v>0</v>
      </c>
      <c r="H149" s="650">
        <f t="shared" si="21"/>
        <v>189903</v>
      </c>
      <c r="I149" s="650">
        <f t="shared" si="21"/>
        <v>0</v>
      </c>
      <c r="J149" s="650">
        <f t="shared" si="21"/>
        <v>0</v>
      </c>
      <c r="K149" s="650">
        <f t="shared" si="21"/>
        <v>189903</v>
      </c>
    </row>
    <row r="150" spans="1:11" ht="18" customHeight="1" x14ac:dyDescent="0.3">
      <c r="A150" s="639" t="s">
        <v>185</v>
      </c>
      <c r="B150" s="636" t="s">
        <v>186</v>
      </c>
      <c r="C150" s="742"/>
      <c r="D150" s="742"/>
      <c r="E150" s="742"/>
      <c r="F150" s="665" t="s">
        <v>73</v>
      </c>
      <c r="G150" s="665" t="s">
        <v>73</v>
      </c>
      <c r="H150" s="650">
        <f>H18</f>
        <v>5106139</v>
      </c>
      <c r="I150" s="650">
        <f>I18</f>
        <v>0</v>
      </c>
      <c r="J150" s="650">
        <f>J18</f>
        <v>4315695</v>
      </c>
      <c r="K150" s="650">
        <f>K18</f>
        <v>790444</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61549</v>
      </c>
      <c r="G152" s="672">
        <f t="shared" si="22"/>
        <v>75459</v>
      </c>
      <c r="H152" s="672">
        <f t="shared" si="22"/>
        <v>9019260.6699999999</v>
      </c>
      <c r="I152" s="672">
        <f t="shared" si="22"/>
        <v>1400484.4153999998</v>
      </c>
      <c r="J152" s="672">
        <f t="shared" si="22"/>
        <v>5155834.84</v>
      </c>
      <c r="K152" s="672">
        <f t="shared" si="22"/>
        <v>12020650.2454</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6.2008758038366099E-2</v>
      </c>
      <c r="G154" s="742"/>
      <c r="H154" s="742"/>
      <c r="I154" s="742"/>
      <c r="J154" s="742"/>
      <c r="K154" s="742"/>
    </row>
    <row r="155" spans="1:11" ht="18" customHeight="1" x14ac:dyDescent="0.3">
      <c r="A155" s="639" t="s">
        <v>169</v>
      </c>
      <c r="B155" s="636" t="s">
        <v>72</v>
      </c>
      <c r="C155" s="742"/>
      <c r="D155" s="742"/>
      <c r="E155" s="742"/>
      <c r="F155" s="687">
        <f>K152/F127</f>
        <v>17.773639725336714</v>
      </c>
      <c r="G155" s="636"/>
      <c r="H155" s="742"/>
      <c r="I155" s="742"/>
      <c r="J155" s="742"/>
      <c r="K155" s="742"/>
    </row>
    <row r="156" spans="1:11" ht="18" customHeight="1" x14ac:dyDescent="0.3">
      <c r="A156" s="633"/>
      <c r="B156" s="489"/>
      <c r="C156" s="489"/>
      <c r="D156" s="489"/>
      <c r="E156" s="489"/>
      <c r="F156" s="489"/>
      <c r="G156" s="490"/>
      <c r="H156" s="489"/>
      <c r="I156" s="489"/>
      <c r="J156" s="489"/>
      <c r="K156" s="489"/>
    </row>
  </sheetData>
  <sheetProtection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K156"/>
  <sheetViews>
    <sheetView showGridLines="0" zoomScale="85" zoomScaleNormal="85" zoomScaleSheetLayoutView="80" workbookViewId="0"/>
  </sheetViews>
  <sheetFormatPr defaultRowHeight="18" customHeight="1" x14ac:dyDescent="0.25"/>
  <cols>
    <col min="1" max="1" width="8.26953125" style="633" customWidth="1"/>
    <col min="2" max="2" width="55.453125" bestFit="1" customWidth="1"/>
    <col min="3" max="3" width="9.54296875" customWidth="1"/>
    <col min="5" max="5" width="12.453125" customWidth="1"/>
    <col min="6" max="6" width="18.54296875" customWidth="1"/>
    <col min="7" max="7" width="23.54296875" customWidth="1"/>
    <col min="8" max="8" width="17.26953125" customWidth="1"/>
    <col min="9" max="9" width="21.26953125" customWidth="1"/>
    <col min="10" max="10" width="19.7265625" customWidth="1"/>
    <col min="11" max="11" width="17.54296875" customWidth="1"/>
  </cols>
  <sheetData>
    <row r="1" spans="1:11" ht="18" customHeight="1" x14ac:dyDescent="0.3">
      <c r="B1" s="742"/>
      <c r="C1" s="888"/>
      <c r="D1" s="889"/>
      <c r="E1" s="888"/>
      <c r="F1" s="888"/>
      <c r="G1" s="888"/>
      <c r="H1" s="888"/>
      <c r="I1" s="888"/>
      <c r="J1" s="888"/>
      <c r="K1" s="888"/>
    </row>
    <row r="2" spans="1:11" ht="18" customHeight="1" x14ac:dyDescent="0.35">
      <c r="B2" s="742"/>
      <c r="C2" s="742"/>
      <c r="D2" s="1360" t="s">
        <v>700</v>
      </c>
      <c r="E2" s="1360"/>
      <c r="F2" s="1360"/>
      <c r="G2" s="1360"/>
      <c r="H2" s="1360"/>
      <c r="I2" s="742"/>
      <c r="J2" s="742"/>
      <c r="K2" s="742"/>
    </row>
    <row r="3" spans="1:11" ht="18" customHeight="1" x14ac:dyDescent="0.3">
      <c r="B3" s="636" t="s">
        <v>0</v>
      </c>
      <c r="C3" s="742"/>
      <c r="D3" s="742"/>
      <c r="E3" s="742"/>
      <c r="F3" s="742"/>
      <c r="G3" s="742"/>
      <c r="H3" s="742"/>
      <c r="I3" s="742"/>
      <c r="J3" s="742"/>
      <c r="K3" s="742"/>
    </row>
    <row r="4" spans="1:11" ht="18" customHeight="1" x14ac:dyDescent="0.25">
      <c r="B4" s="742"/>
      <c r="C4" s="742"/>
      <c r="D4" s="742"/>
      <c r="E4" s="742"/>
      <c r="F4" s="742"/>
      <c r="G4" s="742"/>
      <c r="H4" s="742"/>
      <c r="I4" s="742"/>
      <c r="J4" s="742"/>
      <c r="K4" s="742"/>
    </row>
    <row r="5" spans="1:11" ht="18" customHeight="1" x14ac:dyDescent="0.3">
      <c r="B5" s="733" t="s">
        <v>40</v>
      </c>
      <c r="C5" s="1361" t="s">
        <v>376</v>
      </c>
      <c r="D5" s="1362"/>
      <c r="E5" s="1362"/>
      <c r="F5" s="1362"/>
      <c r="G5" s="1364"/>
      <c r="H5" s="742"/>
      <c r="I5" s="742"/>
      <c r="J5" s="742"/>
      <c r="K5" s="742"/>
    </row>
    <row r="6" spans="1:11" ht="18" customHeight="1" x14ac:dyDescent="0.3">
      <c r="B6" s="733" t="s">
        <v>3</v>
      </c>
      <c r="C6" s="1377" t="s">
        <v>414</v>
      </c>
      <c r="D6" s="1378"/>
      <c r="E6" s="1378"/>
      <c r="F6" s="1378"/>
      <c r="G6" s="1379"/>
      <c r="H6" s="742"/>
      <c r="I6" s="742"/>
      <c r="J6" s="742"/>
      <c r="K6" s="742"/>
    </row>
    <row r="7" spans="1:11" ht="18" customHeight="1" x14ac:dyDescent="0.3">
      <c r="B7" s="733" t="s">
        <v>4</v>
      </c>
      <c r="C7" s="1368"/>
      <c r="D7" s="1369"/>
      <c r="E7" s="1369"/>
      <c r="F7" s="1369"/>
      <c r="G7" s="1370"/>
      <c r="H7" s="742"/>
      <c r="I7" s="742"/>
      <c r="J7" s="742"/>
      <c r="K7" s="742"/>
    </row>
    <row r="8" spans="1:11" ht="18" customHeight="1" x14ac:dyDescent="0.25">
      <c r="B8" s="742"/>
      <c r="C8" s="742"/>
      <c r="D8" s="742"/>
      <c r="E8" s="742"/>
      <c r="F8" s="742"/>
      <c r="G8" s="742"/>
      <c r="H8" s="742"/>
      <c r="I8" s="742"/>
      <c r="J8" s="742"/>
      <c r="K8" s="742"/>
    </row>
    <row r="9" spans="1:11" ht="18" customHeight="1" x14ac:dyDescent="0.3">
      <c r="B9" s="733" t="s">
        <v>1</v>
      </c>
      <c r="C9" s="1361" t="s">
        <v>572</v>
      </c>
      <c r="D9" s="1362"/>
      <c r="E9" s="1362"/>
      <c r="F9" s="1362"/>
      <c r="G9" s="1364"/>
      <c r="H9" s="742"/>
      <c r="I9" s="742"/>
      <c r="J9" s="742"/>
      <c r="K9" s="742"/>
    </row>
    <row r="10" spans="1:11" ht="18" customHeight="1" x14ac:dyDescent="0.3">
      <c r="B10" s="733" t="s">
        <v>2</v>
      </c>
      <c r="C10" s="1371" t="s">
        <v>708</v>
      </c>
      <c r="D10" s="1372"/>
      <c r="E10" s="1372"/>
      <c r="F10" s="1372"/>
      <c r="G10" s="1373"/>
      <c r="H10" s="742"/>
      <c r="I10" s="742"/>
      <c r="J10" s="742"/>
      <c r="K10" s="742"/>
    </row>
    <row r="11" spans="1:11" ht="18" customHeight="1" x14ac:dyDescent="0.3">
      <c r="B11" s="733" t="s">
        <v>32</v>
      </c>
      <c r="C11" s="1361" t="s">
        <v>377</v>
      </c>
      <c r="D11" s="1362"/>
      <c r="E11" s="1362"/>
      <c r="F11" s="1362"/>
      <c r="G11" s="1362"/>
      <c r="H11" s="742"/>
      <c r="I11" s="742"/>
      <c r="J11" s="742"/>
      <c r="K11" s="742"/>
    </row>
    <row r="12" spans="1:11" ht="18" customHeight="1" x14ac:dyDescent="0.3">
      <c r="B12" s="733"/>
      <c r="C12" s="733"/>
      <c r="D12" s="733"/>
      <c r="E12" s="733"/>
      <c r="F12" s="733"/>
      <c r="G12" s="733"/>
      <c r="H12" s="742"/>
      <c r="I12" s="742"/>
      <c r="J12" s="742"/>
      <c r="K12" s="742"/>
    </row>
    <row r="13" spans="1:11" ht="24.65" customHeight="1" x14ac:dyDescent="0.25">
      <c r="B13" s="1363"/>
      <c r="C13" s="1363"/>
      <c r="D13" s="1363"/>
      <c r="E13" s="1363"/>
      <c r="F13" s="1363"/>
      <c r="G13" s="1363"/>
      <c r="H13" s="1363"/>
      <c r="I13" s="888"/>
      <c r="J13" s="742"/>
      <c r="K13" s="742"/>
    </row>
    <row r="14" spans="1:11" ht="18" customHeight="1" x14ac:dyDescent="0.3">
      <c r="B14" s="640"/>
      <c r="C14" s="742"/>
      <c r="D14" s="742"/>
      <c r="E14" s="742"/>
      <c r="F14" s="742"/>
      <c r="G14" s="742"/>
      <c r="H14" s="742"/>
      <c r="I14" s="742"/>
      <c r="J14" s="742"/>
      <c r="K14" s="742"/>
    </row>
    <row r="15" spans="1:11" ht="18" customHeight="1" x14ac:dyDescent="0.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2381881</v>
      </c>
      <c r="I18" s="673">
        <v>0</v>
      </c>
      <c r="J18" s="647">
        <v>2013159</v>
      </c>
      <c r="K18" s="648">
        <f>(H18+I18)-J18</f>
        <v>368722</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20</v>
      </c>
      <c r="G21" s="646">
        <v>500</v>
      </c>
      <c r="H21" s="647"/>
      <c r="I21" s="673">
        <f t="shared" ref="I21:I34" si="0">H21*F$114</f>
        <v>0</v>
      </c>
      <c r="J21" s="647"/>
      <c r="K21" s="648">
        <f t="shared" ref="K21:K34" si="1">(H21+I21)-J21</f>
        <v>0</v>
      </c>
    </row>
    <row r="22" spans="1:11" ht="18" customHeight="1" x14ac:dyDescent="0.3">
      <c r="A22" s="639" t="s">
        <v>76</v>
      </c>
      <c r="B22" s="742" t="s">
        <v>6</v>
      </c>
      <c r="C22" s="742"/>
      <c r="D22" s="742"/>
      <c r="E22" s="742"/>
      <c r="F22" s="646">
        <v>432</v>
      </c>
      <c r="G22" s="646">
        <v>6480</v>
      </c>
      <c r="H22" s="647"/>
      <c r="I22" s="673">
        <f t="shared" si="0"/>
        <v>0</v>
      </c>
      <c r="J22" s="647"/>
      <c r="K22" s="648">
        <f t="shared" si="1"/>
        <v>0</v>
      </c>
    </row>
    <row r="23" spans="1:11" ht="18" customHeight="1" x14ac:dyDescent="0.3">
      <c r="A23" s="639" t="s">
        <v>77</v>
      </c>
      <c r="B23" s="742" t="s">
        <v>43</v>
      </c>
      <c r="C23" s="742"/>
      <c r="D23" s="742"/>
      <c r="E23" s="742"/>
      <c r="F23" s="646"/>
      <c r="G23" s="646"/>
      <c r="H23" s="647"/>
      <c r="I23" s="673">
        <f t="shared" si="0"/>
        <v>0</v>
      </c>
      <c r="J23" s="647"/>
      <c r="K23" s="648">
        <f t="shared" si="1"/>
        <v>0</v>
      </c>
    </row>
    <row r="24" spans="1:11" ht="18" customHeight="1" x14ac:dyDescent="0.3">
      <c r="A24" s="639" t="s">
        <v>78</v>
      </c>
      <c r="B24" s="742" t="s">
        <v>44</v>
      </c>
      <c r="C24" s="742"/>
      <c r="D24" s="742"/>
      <c r="E24" s="742"/>
      <c r="F24" s="646"/>
      <c r="G24" s="646"/>
      <c r="H24" s="647"/>
      <c r="I24" s="673">
        <f t="shared" si="0"/>
        <v>0</v>
      </c>
      <c r="J24" s="647"/>
      <c r="K24" s="648">
        <f t="shared" si="1"/>
        <v>0</v>
      </c>
    </row>
    <row r="25" spans="1:11" ht="18" customHeight="1" x14ac:dyDescent="0.3">
      <c r="A25" s="639" t="s">
        <v>79</v>
      </c>
      <c r="B25" s="742" t="s">
        <v>5</v>
      </c>
      <c r="C25" s="742"/>
      <c r="D25" s="742"/>
      <c r="E25" s="742"/>
      <c r="F25" s="646">
        <v>128</v>
      </c>
      <c r="G25" s="646">
        <v>920</v>
      </c>
      <c r="H25" s="647">
        <v>3362.7</v>
      </c>
      <c r="I25" s="673">
        <f t="shared" si="0"/>
        <v>2917.4421392497297</v>
      </c>
      <c r="J25" s="647"/>
      <c r="K25" s="648">
        <f t="shared" si="1"/>
        <v>6280.1421392497296</v>
      </c>
    </row>
    <row r="26" spans="1:11" ht="18" customHeight="1" x14ac:dyDescent="0.3">
      <c r="A26" s="639" t="s">
        <v>80</v>
      </c>
      <c r="B26" s="742" t="s">
        <v>45</v>
      </c>
      <c r="C26" s="742"/>
      <c r="D26" s="742"/>
      <c r="E26" s="742"/>
      <c r="F26" s="646">
        <v>12</v>
      </c>
      <c r="G26" s="646">
        <v>20</v>
      </c>
      <c r="H26" s="647">
        <v>477</v>
      </c>
      <c r="I26" s="673">
        <f t="shared" si="0"/>
        <v>413.84003937970118</v>
      </c>
      <c r="J26" s="647"/>
      <c r="K26" s="648">
        <f t="shared" si="1"/>
        <v>890.84003937970124</v>
      </c>
    </row>
    <row r="27" spans="1:11" ht="18" customHeight="1" x14ac:dyDescent="0.3">
      <c r="A27" s="639" t="s">
        <v>81</v>
      </c>
      <c r="B27" s="742" t="s">
        <v>46</v>
      </c>
      <c r="C27" s="742"/>
      <c r="D27" s="742"/>
      <c r="E27" s="742"/>
      <c r="F27" s="646"/>
      <c r="G27" s="646"/>
      <c r="H27" s="647"/>
      <c r="I27" s="673">
        <f t="shared" si="0"/>
        <v>0</v>
      </c>
      <c r="J27" s="647"/>
      <c r="K27" s="648">
        <f t="shared" si="1"/>
        <v>0</v>
      </c>
    </row>
    <row r="28" spans="1:11" ht="18" customHeight="1" x14ac:dyDescent="0.3">
      <c r="A28" s="639" t="s">
        <v>82</v>
      </c>
      <c r="B28" s="742" t="s">
        <v>47</v>
      </c>
      <c r="C28" s="742"/>
      <c r="D28" s="742"/>
      <c r="E28" s="742"/>
      <c r="F28" s="646"/>
      <c r="G28" s="646"/>
      <c r="H28" s="647"/>
      <c r="I28" s="673">
        <f t="shared" si="0"/>
        <v>0</v>
      </c>
      <c r="J28" s="647"/>
      <c r="K28" s="648">
        <f t="shared" si="1"/>
        <v>0</v>
      </c>
    </row>
    <row r="29" spans="1:11" ht="18" customHeight="1" x14ac:dyDescent="0.3">
      <c r="A29" s="639" t="s">
        <v>83</v>
      </c>
      <c r="B29" s="742" t="s">
        <v>48</v>
      </c>
      <c r="C29" s="742"/>
      <c r="D29" s="742"/>
      <c r="E29" s="742"/>
      <c r="F29" s="646"/>
      <c r="G29" s="646"/>
      <c r="H29" s="647">
        <f>+'[12]A30 Healthcare Support'!$G$20</f>
        <v>231115.5867065347</v>
      </c>
      <c r="I29" s="673">
        <f t="shared" si="0"/>
        <v>200513.38260774646</v>
      </c>
      <c r="J29" s="647"/>
      <c r="K29" s="648">
        <f t="shared" si="1"/>
        <v>431628.96931428113</v>
      </c>
    </row>
    <row r="30" spans="1:11" ht="18" customHeight="1" x14ac:dyDescent="0.3">
      <c r="A30" s="639" t="s">
        <v>84</v>
      </c>
      <c r="B30" s="1351"/>
      <c r="C30" s="1352"/>
      <c r="D30" s="1353"/>
      <c r="E30" s="742"/>
      <c r="F30" s="646"/>
      <c r="G30" s="646"/>
      <c r="H30" s="647"/>
      <c r="I30" s="673">
        <f t="shared" si="0"/>
        <v>0</v>
      </c>
      <c r="J30" s="647"/>
      <c r="K30" s="648">
        <f t="shared" si="1"/>
        <v>0</v>
      </c>
    </row>
    <row r="31" spans="1:11" ht="18" customHeight="1" x14ac:dyDescent="0.3">
      <c r="A31" s="639" t="s">
        <v>133</v>
      </c>
      <c r="B31" s="1351"/>
      <c r="C31" s="1352"/>
      <c r="D31" s="1353"/>
      <c r="E31" s="742"/>
      <c r="F31" s="646"/>
      <c r="G31" s="646"/>
      <c r="H31" s="647"/>
      <c r="I31" s="673">
        <f t="shared" si="0"/>
        <v>0</v>
      </c>
      <c r="J31" s="647"/>
      <c r="K31" s="648">
        <f t="shared" si="1"/>
        <v>0</v>
      </c>
    </row>
    <row r="32" spans="1:11" ht="18" customHeight="1" x14ac:dyDescent="0.3">
      <c r="A32" s="639" t="s">
        <v>134</v>
      </c>
      <c r="B32" s="909"/>
      <c r="C32" s="910"/>
      <c r="D32" s="911"/>
      <c r="E32" s="742"/>
      <c r="F32" s="646"/>
      <c r="G32" s="675"/>
      <c r="H32" s="647"/>
      <c r="I32" s="673">
        <f t="shared" si="0"/>
        <v>0</v>
      </c>
      <c r="J32" s="647"/>
      <c r="K32" s="648">
        <f t="shared" si="1"/>
        <v>0</v>
      </c>
    </row>
    <row r="33" spans="1:11" ht="18" customHeight="1" x14ac:dyDescent="0.3">
      <c r="A33" s="639" t="s">
        <v>135</v>
      </c>
      <c r="B33" s="909"/>
      <c r="C33" s="910"/>
      <c r="D33" s="911"/>
      <c r="E33" s="742"/>
      <c r="F33" s="646"/>
      <c r="G33" s="675"/>
      <c r="H33" s="647"/>
      <c r="I33" s="673">
        <f t="shared" si="0"/>
        <v>0</v>
      </c>
      <c r="J33" s="647"/>
      <c r="K33" s="648">
        <f t="shared" si="1"/>
        <v>0</v>
      </c>
    </row>
    <row r="34" spans="1:11" ht="18" customHeight="1" x14ac:dyDescent="0.3">
      <c r="A34" s="639" t="s">
        <v>136</v>
      </c>
      <c r="B34" s="1351"/>
      <c r="C34" s="1352"/>
      <c r="D34" s="1353"/>
      <c r="E34" s="742"/>
      <c r="F34" s="646"/>
      <c r="G34" s="675"/>
      <c r="H34" s="647"/>
      <c r="I34" s="673">
        <f t="shared" si="0"/>
        <v>0</v>
      </c>
      <c r="J34" s="647"/>
      <c r="K34" s="648">
        <f t="shared" si="1"/>
        <v>0</v>
      </c>
    </row>
    <row r="35" spans="1:11" ht="18" customHeight="1" x14ac:dyDescent="0.25">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592</v>
      </c>
      <c r="G36" s="650">
        <f t="shared" si="2"/>
        <v>7920</v>
      </c>
      <c r="H36" s="650">
        <f t="shared" si="2"/>
        <v>234955.28670653471</v>
      </c>
      <c r="I36" s="648">
        <f t="shared" si="2"/>
        <v>203844.66478637588</v>
      </c>
      <c r="J36" s="648">
        <f t="shared" si="2"/>
        <v>0</v>
      </c>
      <c r="K36" s="648">
        <f t="shared" si="2"/>
        <v>438799.95149291056</v>
      </c>
    </row>
    <row r="37" spans="1:11" ht="18" customHeight="1" thickBot="1" x14ac:dyDescent="0.35">
      <c r="B37" s="636"/>
      <c r="C37" s="742"/>
      <c r="D37" s="742"/>
      <c r="E37" s="742"/>
      <c r="F37" s="651"/>
      <c r="G37" s="651"/>
      <c r="H37" s="652"/>
      <c r="I37" s="652"/>
      <c r="J37" s="652"/>
      <c r="K37" s="668"/>
    </row>
    <row r="38" spans="1:11" ht="42.75" customHeight="1" x14ac:dyDescent="0.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c r="I40" s="673">
        <v>0</v>
      </c>
      <c r="J40" s="647"/>
      <c r="K40" s="648">
        <f t="shared" ref="K40:K47" si="3">(H40+I40)-J40</f>
        <v>0</v>
      </c>
    </row>
    <row r="41" spans="1:11" ht="18" customHeight="1" x14ac:dyDescent="0.3">
      <c r="A41" s="639" t="s">
        <v>88</v>
      </c>
      <c r="B41" s="1359" t="s">
        <v>50</v>
      </c>
      <c r="C41" s="1359"/>
      <c r="D41" s="742"/>
      <c r="E41" s="742"/>
      <c r="F41" s="646">
        <v>325</v>
      </c>
      <c r="G41" s="646"/>
      <c r="H41" s="647">
        <v>13650</v>
      </c>
      <c r="I41" s="673">
        <v>0</v>
      </c>
      <c r="J41" s="647"/>
      <c r="K41" s="648">
        <f t="shared" si="3"/>
        <v>13650</v>
      </c>
    </row>
    <row r="42" spans="1:11" ht="18" customHeight="1" x14ac:dyDescent="0.3">
      <c r="A42" s="639" t="s">
        <v>89</v>
      </c>
      <c r="B42" s="635" t="s">
        <v>11</v>
      </c>
      <c r="C42" s="742"/>
      <c r="D42" s="742"/>
      <c r="E42" s="742"/>
      <c r="F42" s="646"/>
      <c r="G42" s="646"/>
      <c r="H42" s="647"/>
      <c r="I42" s="673">
        <v>0</v>
      </c>
      <c r="J42" s="647"/>
      <c r="K42" s="648">
        <f t="shared" si="3"/>
        <v>0</v>
      </c>
    </row>
    <row r="43" spans="1:11" ht="18" customHeight="1" x14ac:dyDescent="0.3">
      <c r="A43" s="639" t="s">
        <v>90</v>
      </c>
      <c r="B43" s="670" t="s">
        <v>10</v>
      </c>
      <c r="C43" s="642"/>
      <c r="D43" s="642"/>
      <c r="E43" s="742"/>
      <c r="F43" s="646"/>
      <c r="G43" s="646"/>
      <c r="H43" s="647"/>
      <c r="I43" s="673">
        <v>0</v>
      </c>
      <c r="J43" s="647"/>
      <c r="K43" s="648">
        <f t="shared" si="3"/>
        <v>0</v>
      </c>
    </row>
    <row r="44" spans="1:11" ht="18" customHeight="1" x14ac:dyDescent="0.3">
      <c r="A44" s="639" t="s">
        <v>91</v>
      </c>
      <c r="B44" s="1351"/>
      <c r="C44" s="1352"/>
      <c r="D44" s="1353"/>
      <c r="E44" s="742"/>
      <c r="F44" s="677"/>
      <c r="G44" s="677"/>
      <c r="H44" s="67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2"/>
      <c r="C48" s="742"/>
      <c r="D48" s="742"/>
      <c r="E48" s="742"/>
      <c r="F48" s="742"/>
      <c r="G48" s="742"/>
      <c r="H48" s="742"/>
      <c r="I48" s="742"/>
      <c r="J48" s="742"/>
      <c r="K48" s="742"/>
    </row>
    <row r="49" spans="1:11" ht="18" customHeight="1" x14ac:dyDescent="0.3">
      <c r="A49" s="639" t="s">
        <v>142</v>
      </c>
      <c r="B49" s="636" t="s">
        <v>143</v>
      </c>
      <c r="C49" s="742"/>
      <c r="D49" s="742"/>
      <c r="E49" s="636" t="s">
        <v>7</v>
      </c>
      <c r="F49" s="654">
        <f t="shared" ref="F49:K49" si="4">SUM(F40:F47)</f>
        <v>325</v>
      </c>
      <c r="G49" s="654">
        <f t="shared" si="4"/>
        <v>0</v>
      </c>
      <c r="H49" s="648">
        <f t="shared" si="4"/>
        <v>13650</v>
      </c>
      <c r="I49" s="648">
        <f t="shared" si="4"/>
        <v>0</v>
      </c>
      <c r="J49" s="648">
        <f t="shared" si="4"/>
        <v>0</v>
      </c>
      <c r="K49" s="648">
        <f t="shared" si="4"/>
        <v>13650</v>
      </c>
    </row>
    <row r="50" spans="1:11" ht="18" customHeight="1" thickBot="1" x14ac:dyDescent="0.3">
      <c r="B50" s="742"/>
      <c r="C50" s="742"/>
      <c r="D50" s="742"/>
      <c r="E50" s="742"/>
      <c r="F50" s="742"/>
      <c r="G50" s="655"/>
      <c r="H50" s="655"/>
      <c r="I50" s="655"/>
      <c r="J50" s="655"/>
      <c r="K50" s="655"/>
    </row>
    <row r="51" spans="1:11" ht="42.75" customHeight="1" x14ac:dyDescent="0.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573</v>
      </c>
      <c r="C53" s="1355"/>
      <c r="D53" s="1356"/>
      <c r="E53" s="742"/>
      <c r="F53" s="646"/>
      <c r="G53" s="646"/>
      <c r="H53" s="647">
        <f>+'[12]Section C DHA'!$D$303</f>
        <v>803841.2</v>
      </c>
      <c r="I53" s="673">
        <v>0</v>
      </c>
      <c r="J53" s="647"/>
      <c r="K53" s="648">
        <f t="shared" ref="K53:K62" si="5">(H53+I53)-J53</f>
        <v>803841.2</v>
      </c>
    </row>
    <row r="54" spans="1:11" ht="18" customHeight="1" x14ac:dyDescent="0.3">
      <c r="A54" s="639" t="s">
        <v>93</v>
      </c>
      <c r="B54" s="912" t="s">
        <v>378</v>
      </c>
      <c r="C54" s="913"/>
      <c r="D54" s="914"/>
      <c r="E54" s="742"/>
      <c r="F54" s="646">
        <v>6566</v>
      </c>
      <c r="G54" s="646"/>
      <c r="H54" s="647">
        <f>+'[12]Section C DHA'!$D$304</f>
        <v>5705538.7497872561</v>
      </c>
      <c r="I54" s="673">
        <v>0</v>
      </c>
      <c r="J54" s="647">
        <f>+'[12]Section C DHA'!$F$304</f>
        <v>254600.4</v>
      </c>
      <c r="K54" s="648">
        <f t="shared" si="5"/>
        <v>5450938.3497872557</v>
      </c>
    </row>
    <row r="55" spans="1:11" ht="18" customHeight="1" x14ac:dyDescent="0.3">
      <c r="A55" s="639" t="s">
        <v>94</v>
      </c>
      <c r="B55" s="912" t="s">
        <v>379</v>
      </c>
      <c r="C55" s="912"/>
      <c r="D55" s="912"/>
      <c r="E55" s="742"/>
      <c r="F55" s="646">
        <v>0</v>
      </c>
      <c r="G55" s="646"/>
      <c r="H55" s="647">
        <f>+'[12]Section C DHA'!$D$305</f>
        <v>294651.38221455552</v>
      </c>
      <c r="I55" s="673">
        <v>0</v>
      </c>
      <c r="J55" s="647">
        <f>+'[12]Section C DHA'!$F$305</f>
        <v>20403.22</v>
      </c>
      <c r="K55" s="648">
        <f t="shared" si="5"/>
        <v>274248.16221455554</v>
      </c>
    </row>
    <row r="56" spans="1:11" ht="18" customHeight="1" x14ac:dyDescent="0.3">
      <c r="A56" s="639" t="s">
        <v>95</v>
      </c>
      <c r="B56" s="912" t="s">
        <v>380</v>
      </c>
      <c r="C56" s="912"/>
      <c r="D56" s="912"/>
      <c r="E56" s="742"/>
      <c r="F56" s="646">
        <v>0</v>
      </c>
      <c r="G56" s="646"/>
      <c r="H56" s="647">
        <v>447114</v>
      </c>
      <c r="I56" s="673">
        <v>0</v>
      </c>
      <c r="J56" s="647"/>
      <c r="K56" s="648">
        <f t="shared" si="5"/>
        <v>447114</v>
      </c>
    </row>
    <row r="57" spans="1:11" ht="18" customHeight="1" x14ac:dyDescent="0.3">
      <c r="A57" s="639" t="s">
        <v>96</v>
      </c>
      <c r="B57" s="928" t="s">
        <v>577</v>
      </c>
      <c r="C57" s="912"/>
      <c r="D57" s="912"/>
      <c r="E57" s="742"/>
      <c r="F57" s="646">
        <v>0</v>
      </c>
      <c r="G57" s="646"/>
      <c r="H57" s="647">
        <f>+'[12]Section C DHA'!$D$307</f>
        <v>600535.71</v>
      </c>
      <c r="I57" s="673">
        <v>0</v>
      </c>
      <c r="J57" s="647"/>
      <c r="K57" s="648">
        <f t="shared" si="5"/>
        <v>600535.71</v>
      </c>
    </row>
    <row r="58" spans="1:11" ht="18" customHeight="1" x14ac:dyDescent="0.3">
      <c r="A58" s="639" t="s">
        <v>97</v>
      </c>
      <c r="B58" s="912" t="s">
        <v>574</v>
      </c>
      <c r="C58" s="912"/>
      <c r="D58" s="912"/>
      <c r="E58" s="742"/>
      <c r="F58" s="646">
        <v>6739</v>
      </c>
      <c r="G58" s="646"/>
      <c r="H58" s="647">
        <f>+'[12]Section C DHA'!$D$308</f>
        <v>1151995.9296107569</v>
      </c>
      <c r="I58" s="673">
        <v>0</v>
      </c>
      <c r="J58" s="647">
        <f>+'[12]Section C DHA'!$F$308</f>
        <v>546956.04999999993</v>
      </c>
      <c r="K58" s="648">
        <f t="shared" si="5"/>
        <v>605039.87961075699</v>
      </c>
    </row>
    <row r="59" spans="1:11" ht="18" customHeight="1" x14ac:dyDescent="0.3">
      <c r="A59" s="639" t="s">
        <v>98</v>
      </c>
      <c r="B59" s="1455" t="s">
        <v>578</v>
      </c>
      <c r="C59" s="1456"/>
      <c r="D59" s="1457"/>
      <c r="E59" s="742"/>
      <c r="F59" s="646"/>
      <c r="G59" s="646"/>
      <c r="H59" s="647">
        <f>+'[12]Section C DHA'!$D$309</f>
        <v>1087082.92</v>
      </c>
      <c r="I59" s="673">
        <v>0</v>
      </c>
      <c r="J59" s="647"/>
      <c r="K59" s="648">
        <f t="shared" si="5"/>
        <v>1087082.92</v>
      </c>
    </row>
    <row r="60" spans="1:11" ht="18" customHeight="1" x14ac:dyDescent="0.3">
      <c r="A60" s="639" t="s">
        <v>99</v>
      </c>
      <c r="B60" s="928" t="s">
        <v>576</v>
      </c>
      <c r="C60" s="913"/>
      <c r="D60" s="914"/>
      <c r="E60" s="742"/>
      <c r="F60" s="646"/>
      <c r="G60" s="646"/>
      <c r="H60" s="647">
        <v>374072.22</v>
      </c>
      <c r="I60" s="673">
        <v>0</v>
      </c>
      <c r="J60" s="647"/>
      <c r="K60" s="648">
        <f t="shared" si="5"/>
        <v>374072.22</v>
      </c>
    </row>
    <row r="61" spans="1:11" ht="18" customHeight="1" x14ac:dyDescent="0.3">
      <c r="A61" s="639" t="s">
        <v>100</v>
      </c>
      <c r="B61" s="912"/>
      <c r="C61" s="913"/>
      <c r="D61" s="914"/>
      <c r="E61" s="742"/>
      <c r="F61" s="646">
        <v>0</v>
      </c>
      <c r="G61" s="646"/>
      <c r="H61" s="647"/>
      <c r="I61" s="673">
        <v>0</v>
      </c>
      <c r="J61" s="647"/>
      <c r="K61" s="648">
        <f t="shared" si="5"/>
        <v>0</v>
      </c>
    </row>
    <row r="62" spans="1:11" ht="18" customHeight="1" x14ac:dyDescent="0.3">
      <c r="A62" s="639" t="s">
        <v>101</v>
      </c>
      <c r="B62" s="1354" t="s">
        <v>409</v>
      </c>
      <c r="C62" s="1355"/>
      <c r="D62" s="1356"/>
      <c r="E62" s="742"/>
      <c r="F62" s="646"/>
      <c r="G62" s="646"/>
      <c r="H62" s="647">
        <f>+'[12]Section C DHA'!$D$312</f>
        <v>1611856.32</v>
      </c>
      <c r="I62" s="673">
        <v>0</v>
      </c>
      <c r="J62" s="647"/>
      <c r="K62" s="648">
        <f t="shared" si="5"/>
        <v>1611856.32</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13305</v>
      </c>
      <c r="G64" s="650">
        <f t="shared" si="6"/>
        <v>0</v>
      </c>
      <c r="H64" s="648">
        <f t="shared" si="6"/>
        <v>12076688.43161257</v>
      </c>
      <c r="I64" s="648">
        <f t="shared" si="6"/>
        <v>0</v>
      </c>
      <c r="J64" s="648">
        <f t="shared" si="6"/>
        <v>821959.66999999993</v>
      </c>
      <c r="K64" s="648">
        <f t="shared" si="6"/>
        <v>11254728.76161257</v>
      </c>
    </row>
    <row r="65" spans="1:11" ht="18" customHeight="1" x14ac:dyDescent="0.25">
      <c r="B65" s="742"/>
      <c r="C65" s="742"/>
      <c r="D65" s="742"/>
      <c r="E65" s="742"/>
      <c r="F65" s="671"/>
      <c r="G65" s="671"/>
      <c r="H65" s="671"/>
      <c r="I65" s="671"/>
      <c r="J65" s="671"/>
      <c r="K65" s="671"/>
    </row>
    <row r="66" spans="1:11" ht="42.75" customHeight="1" x14ac:dyDescent="0.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912"/>
      <c r="C70" s="913"/>
      <c r="D70" s="914"/>
      <c r="E70" s="636"/>
      <c r="F70" s="658"/>
      <c r="G70" s="658"/>
      <c r="H70" s="659"/>
      <c r="I70" s="673">
        <v>0</v>
      </c>
      <c r="J70" s="659"/>
      <c r="K70" s="648">
        <f>(H70+I70)-J70</f>
        <v>0</v>
      </c>
    </row>
    <row r="71" spans="1:11" ht="18" customHeight="1" x14ac:dyDescent="0.3">
      <c r="A71" s="639" t="s">
        <v>179</v>
      </c>
      <c r="B71" s="912"/>
      <c r="C71" s="913"/>
      <c r="D71" s="914"/>
      <c r="E71" s="636"/>
      <c r="F71" s="658"/>
      <c r="G71" s="658"/>
      <c r="H71" s="659"/>
      <c r="I71" s="673">
        <v>0</v>
      </c>
      <c r="J71" s="659"/>
      <c r="K71" s="648">
        <f>(H71+I71)-J71</f>
        <v>0</v>
      </c>
    </row>
    <row r="72" spans="1:11" ht="18" customHeight="1" x14ac:dyDescent="0.3">
      <c r="A72" s="639" t="s">
        <v>180</v>
      </c>
      <c r="B72" s="930"/>
      <c r="C72" s="929"/>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c r="I77" s="673">
        <v>0</v>
      </c>
      <c r="J77" s="647"/>
      <c r="K77" s="648">
        <f>(H77+I77)-J77</f>
        <v>0</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c r="G79" s="646"/>
      <c r="H79" s="647"/>
      <c r="I79" s="673">
        <v>0</v>
      </c>
      <c r="J79" s="647"/>
      <c r="K79" s="648">
        <f>(H79+I79)-J79</f>
        <v>0</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0</v>
      </c>
      <c r="G82" s="653">
        <f t="shared" si="8"/>
        <v>0</v>
      </c>
      <c r="H82" s="649">
        <f t="shared" si="8"/>
        <v>0</v>
      </c>
      <c r="I82" s="649">
        <f t="shared" si="8"/>
        <v>0</v>
      </c>
      <c r="J82" s="649">
        <f t="shared" si="8"/>
        <v>0</v>
      </c>
      <c r="K82" s="649">
        <f t="shared" si="8"/>
        <v>0</v>
      </c>
    </row>
    <row r="83" spans="1:11" ht="18" customHeight="1" thickBot="1" x14ac:dyDescent="0.35">
      <c r="A83" s="639"/>
      <c r="B83" s="742"/>
      <c r="C83" s="742"/>
      <c r="D83" s="742"/>
      <c r="E83" s="742"/>
      <c r="F83" s="655"/>
      <c r="G83" s="655"/>
      <c r="H83" s="655"/>
      <c r="I83" s="655"/>
      <c r="J83" s="655"/>
      <c r="K83" s="655"/>
    </row>
    <row r="84" spans="1:11" ht="42.75" customHeight="1" x14ac:dyDescent="0.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639" t="s">
        <v>114</v>
      </c>
      <c r="B87" s="635" t="s">
        <v>14</v>
      </c>
      <c r="C87" s="742"/>
      <c r="D87" s="742"/>
      <c r="E87" s="742"/>
      <c r="F87" s="646">
        <v>15</v>
      </c>
      <c r="G87" s="646"/>
      <c r="H87" s="647">
        <v>1476</v>
      </c>
      <c r="I87" s="673">
        <f t="shared" si="9"/>
        <v>1280.561631288132</v>
      </c>
      <c r="J87" s="647"/>
      <c r="K87" s="648">
        <f t="shared" si="10"/>
        <v>2756.561631288132</v>
      </c>
    </row>
    <row r="88" spans="1:11" ht="18" customHeight="1" x14ac:dyDescent="0.3">
      <c r="A88" s="639" t="s">
        <v>115</v>
      </c>
      <c r="B88" s="635" t="s">
        <v>116</v>
      </c>
      <c r="C88" s="742"/>
      <c r="D88" s="742"/>
      <c r="E88" s="742"/>
      <c r="F88" s="646"/>
      <c r="G88" s="646"/>
      <c r="H88" s="647">
        <v>0</v>
      </c>
      <c r="I88" s="673">
        <f t="shared" si="9"/>
        <v>0</v>
      </c>
      <c r="J88" s="647"/>
      <c r="K88" s="648">
        <f t="shared" si="10"/>
        <v>0</v>
      </c>
    </row>
    <row r="89" spans="1:11" ht="18" customHeight="1" x14ac:dyDescent="0.3">
      <c r="A89" s="639" t="s">
        <v>117</v>
      </c>
      <c r="B89" s="635" t="s">
        <v>58</v>
      </c>
      <c r="C89" s="742"/>
      <c r="D89" s="742"/>
      <c r="E89" s="742"/>
      <c r="F89" s="646"/>
      <c r="G89" s="646"/>
      <c r="H89" s="647"/>
      <c r="I89" s="673">
        <f t="shared" si="9"/>
        <v>0</v>
      </c>
      <c r="J89" s="647"/>
      <c r="K89" s="648">
        <f t="shared" si="10"/>
        <v>0</v>
      </c>
    </row>
    <row r="90" spans="1:11" ht="18" customHeight="1" x14ac:dyDescent="0.3">
      <c r="A90" s="639" t="s">
        <v>118</v>
      </c>
      <c r="B90" s="1359" t="s">
        <v>59</v>
      </c>
      <c r="C90" s="1359"/>
      <c r="D90" s="742"/>
      <c r="E90" s="742"/>
      <c r="F90" s="646"/>
      <c r="G90" s="646"/>
      <c r="H90" s="647"/>
      <c r="I90" s="673">
        <f t="shared" si="9"/>
        <v>0</v>
      </c>
      <c r="J90" s="647"/>
      <c r="K90" s="648">
        <f t="shared" si="10"/>
        <v>0</v>
      </c>
    </row>
    <row r="91" spans="1:11" ht="18" customHeight="1" x14ac:dyDescent="0.3">
      <c r="A91" s="639" t="s">
        <v>119</v>
      </c>
      <c r="B91" s="635" t="s">
        <v>60</v>
      </c>
      <c r="C91" s="742"/>
      <c r="D91" s="742"/>
      <c r="E91" s="742"/>
      <c r="F91" s="646"/>
      <c r="G91" s="646"/>
      <c r="H91" s="647">
        <v>127400.66</v>
      </c>
      <c r="I91" s="673">
        <f t="shared" si="9"/>
        <v>110531.43427966441</v>
      </c>
      <c r="J91" s="647"/>
      <c r="K91" s="648">
        <f t="shared" si="10"/>
        <v>237932.09427966439</v>
      </c>
    </row>
    <row r="92" spans="1:11" ht="18" customHeight="1" x14ac:dyDescent="0.3">
      <c r="A92" s="639" t="s">
        <v>120</v>
      </c>
      <c r="B92" s="635" t="s">
        <v>121</v>
      </c>
      <c r="C92" s="742"/>
      <c r="D92" s="742"/>
      <c r="E92" s="742"/>
      <c r="F92" s="661"/>
      <c r="G92" s="661"/>
      <c r="H92" s="662"/>
      <c r="I92" s="673">
        <f t="shared" si="9"/>
        <v>0</v>
      </c>
      <c r="J92" s="662"/>
      <c r="K92" s="648">
        <f t="shared" si="10"/>
        <v>0</v>
      </c>
    </row>
    <row r="93" spans="1:11" ht="18" customHeight="1" x14ac:dyDescent="0.3">
      <c r="A93" s="639" t="s">
        <v>122</v>
      </c>
      <c r="B93" s="635" t="s">
        <v>123</v>
      </c>
      <c r="C93" s="742"/>
      <c r="D93" s="742"/>
      <c r="E93" s="742"/>
      <c r="F93" s="646"/>
      <c r="G93" s="646"/>
      <c r="H93" s="647"/>
      <c r="I93" s="673">
        <f t="shared" si="9"/>
        <v>0</v>
      </c>
      <c r="J93" s="647"/>
      <c r="K93" s="648">
        <f t="shared" si="10"/>
        <v>0</v>
      </c>
    </row>
    <row r="94" spans="1:11" ht="18" customHeight="1" x14ac:dyDescent="0.3">
      <c r="A94" s="639" t="s">
        <v>124</v>
      </c>
      <c r="B94" s="1354"/>
      <c r="C94" s="1355"/>
      <c r="D94" s="1356"/>
      <c r="E94" s="742"/>
      <c r="F94" s="646"/>
      <c r="G94" s="646"/>
      <c r="H94" s="647"/>
      <c r="I94" s="673">
        <f t="shared" si="9"/>
        <v>0</v>
      </c>
      <c r="J94" s="647"/>
      <c r="K94" s="648">
        <f t="shared" si="10"/>
        <v>0</v>
      </c>
    </row>
    <row r="95" spans="1:11" ht="18" customHeight="1" x14ac:dyDescent="0.3">
      <c r="A95" s="639" t="s">
        <v>125</v>
      </c>
      <c r="B95" s="1354"/>
      <c r="C95" s="1355"/>
      <c r="D95" s="1356"/>
      <c r="E95" s="742"/>
      <c r="F95" s="646"/>
      <c r="G95" s="646"/>
      <c r="H95" s="647"/>
      <c r="I95" s="673">
        <f t="shared" si="9"/>
        <v>0</v>
      </c>
      <c r="J95" s="647"/>
      <c r="K95" s="648">
        <f t="shared" si="10"/>
        <v>0</v>
      </c>
    </row>
    <row r="96" spans="1:11" ht="18" customHeight="1" x14ac:dyDescent="0.3">
      <c r="A96" s="639" t="s">
        <v>126</v>
      </c>
      <c r="B96" s="1354"/>
      <c r="C96" s="1355"/>
      <c r="D96" s="1356"/>
      <c r="E96" s="742"/>
      <c r="F96" s="646"/>
      <c r="G96" s="646"/>
      <c r="H96" s="647"/>
      <c r="I96" s="673">
        <f t="shared" si="9"/>
        <v>0</v>
      </c>
      <c r="J96" s="647"/>
      <c r="K96" s="648">
        <f t="shared" si="10"/>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15</v>
      </c>
      <c r="G98" s="650">
        <f t="shared" si="11"/>
        <v>0</v>
      </c>
      <c r="H98" s="650">
        <f t="shared" si="11"/>
        <v>128876.66</v>
      </c>
      <c r="I98" s="650">
        <f t="shared" si="11"/>
        <v>111811.99591095254</v>
      </c>
      <c r="J98" s="650">
        <f t="shared" si="11"/>
        <v>0</v>
      </c>
      <c r="K98" s="650">
        <f t="shared" si="11"/>
        <v>240688.65591095254</v>
      </c>
    </row>
    <row r="99" spans="1:11" ht="18" customHeight="1" thickBot="1" x14ac:dyDescent="0.35">
      <c r="B99" s="636"/>
      <c r="C99" s="742"/>
      <c r="D99" s="742"/>
      <c r="E99" s="742"/>
      <c r="F99" s="655"/>
      <c r="G99" s="655"/>
      <c r="H99" s="655"/>
      <c r="I99" s="655"/>
      <c r="J99" s="655"/>
      <c r="K99" s="655"/>
    </row>
    <row r="100" spans="1:11" ht="42.75" customHeight="1" x14ac:dyDescent="0.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1386</v>
      </c>
      <c r="G102" s="646"/>
      <c r="H102" s="647">
        <v>95684</v>
      </c>
      <c r="I102" s="673">
        <f>H102*F$114</f>
        <v>83014.403203369657</v>
      </c>
      <c r="J102" s="647"/>
      <c r="K102" s="648">
        <f>(H102+I102)-J102</f>
        <v>178698.40320336964</v>
      </c>
    </row>
    <row r="103" spans="1:11" ht="18" customHeight="1" x14ac:dyDescent="0.3">
      <c r="A103" s="639" t="s">
        <v>132</v>
      </c>
      <c r="B103" s="1357" t="s">
        <v>62</v>
      </c>
      <c r="C103" s="1357"/>
      <c r="D103" s="742"/>
      <c r="E103" s="742"/>
      <c r="F103" s="646"/>
      <c r="G103" s="646"/>
      <c r="H103" s="647">
        <v>22387.5</v>
      </c>
      <c r="I103" s="673">
        <f>H103*F$114</f>
        <v>19423.152791641638</v>
      </c>
      <c r="J103" s="647"/>
      <c r="K103" s="648">
        <f>(H103+I103)-J103</f>
        <v>41810.652791641638</v>
      </c>
    </row>
    <row r="104" spans="1:11" ht="18" customHeight="1" x14ac:dyDescent="0.3">
      <c r="A104" s="639" t="s">
        <v>128</v>
      </c>
      <c r="B104" s="1354" t="s">
        <v>589</v>
      </c>
      <c r="C104" s="1355"/>
      <c r="D104" s="1356"/>
      <c r="E104" s="742"/>
      <c r="F104" s="646"/>
      <c r="G104" s="646"/>
      <c r="H104" s="647">
        <v>1490</v>
      </c>
      <c r="I104" s="673">
        <f>H104*F$114</f>
        <v>1292.7078798233854</v>
      </c>
      <c r="J104" s="647"/>
      <c r="K104" s="648">
        <f>(H104+I104)-J104</f>
        <v>2782.7078798233852</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B107" s="636"/>
      <c r="C107" s="742"/>
      <c r="D107" s="742"/>
      <c r="E107" s="742"/>
      <c r="F107" s="742"/>
      <c r="G107" s="742"/>
      <c r="H107" s="742"/>
      <c r="I107" s="742"/>
      <c r="J107" s="742"/>
      <c r="K107" s="742"/>
    </row>
    <row r="108" spans="1:11" s="3" customFormat="1" ht="18" customHeight="1" x14ac:dyDescent="0.3">
      <c r="A108" s="639" t="s">
        <v>153</v>
      </c>
      <c r="B108" s="686" t="s">
        <v>154</v>
      </c>
      <c r="C108" s="742"/>
      <c r="D108" s="742"/>
      <c r="E108" s="636" t="s">
        <v>7</v>
      </c>
      <c r="F108" s="650">
        <f t="shared" ref="F108:K108" si="12">SUM(F102:F106)</f>
        <v>1386</v>
      </c>
      <c r="G108" s="650">
        <f t="shared" si="12"/>
        <v>0</v>
      </c>
      <c r="H108" s="648">
        <f t="shared" si="12"/>
        <v>119561.5</v>
      </c>
      <c r="I108" s="648">
        <f t="shared" si="12"/>
        <v>103730.26387483468</v>
      </c>
      <c r="J108" s="648">
        <f t="shared" si="12"/>
        <v>0</v>
      </c>
      <c r="K108" s="648">
        <f t="shared" si="12"/>
        <v>223291.76387483469</v>
      </c>
    </row>
    <row r="109" spans="1:11" s="3" customFormat="1" ht="18" customHeight="1" thickBot="1" x14ac:dyDescent="0.35">
      <c r="A109" s="643"/>
      <c r="B109" s="644"/>
      <c r="C109" s="645"/>
      <c r="D109" s="645"/>
      <c r="E109" s="645"/>
      <c r="F109" s="655"/>
      <c r="G109" s="655"/>
      <c r="H109" s="655"/>
      <c r="I109" s="655"/>
      <c r="J109" s="655"/>
      <c r="K109" s="655"/>
    </row>
    <row r="110" spans="1:11" s="3"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f>+'[12]Section i P&amp;L'!$H$6</f>
        <v>2521365</v>
      </c>
      <c r="G111" s="742"/>
      <c r="H111" s="742"/>
      <c r="I111" s="742"/>
      <c r="J111" s="742"/>
      <c r="K111" s="742"/>
    </row>
    <row r="112" spans="1:11" ht="18" customHeight="1" x14ac:dyDescent="0.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639" t="s">
        <v>171</v>
      </c>
      <c r="B114" s="635" t="s">
        <v>35</v>
      </c>
      <c r="C114" s="742"/>
      <c r="D114" s="742"/>
      <c r="E114" s="742"/>
      <c r="F114" s="656">
        <f>+'[12]i10 Indirect Exp Calc'!$D$21</f>
        <v>0.86758918108952032</v>
      </c>
      <c r="G114" s="742"/>
      <c r="H114" s="742"/>
      <c r="I114" s="742"/>
      <c r="J114" s="742"/>
      <c r="K114" s="742"/>
    </row>
    <row r="115" spans="1:11" ht="18" customHeight="1" x14ac:dyDescent="0.3">
      <c r="A115" s="639"/>
      <c r="B115" s="636"/>
      <c r="C115" s="742"/>
      <c r="D115" s="742"/>
      <c r="E115" s="742"/>
      <c r="F115" s="742"/>
      <c r="G115" s="742"/>
      <c r="H115" s="742"/>
      <c r="I115" s="742"/>
      <c r="J115" s="742"/>
      <c r="K115" s="742"/>
    </row>
    <row r="116" spans="1:11" ht="18" customHeight="1" x14ac:dyDescent="0.3">
      <c r="A116" s="639" t="s">
        <v>170</v>
      </c>
      <c r="B116" s="636" t="s">
        <v>16</v>
      </c>
      <c r="C116" s="742"/>
      <c r="D116" s="742"/>
      <c r="E116" s="742"/>
      <c r="F116" s="742"/>
      <c r="G116" s="742"/>
      <c r="H116" s="742"/>
      <c r="I116" s="742"/>
      <c r="J116" s="742"/>
      <c r="K116" s="742"/>
    </row>
    <row r="117" spans="1:11" ht="18" customHeight="1" x14ac:dyDescent="0.3">
      <c r="A117" s="639" t="s">
        <v>172</v>
      </c>
      <c r="B117" s="635" t="s">
        <v>17</v>
      </c>
      <c r="C117" s="742"/>
      <c r="D117" s="742"/>
      <c r="E117" s="742"/>
      <c r="F117" s="647">
        <f>+'[12]Section i P&amp;L'!$H$8</f>
        <v>81678210</v>
      </c>
      <c r="G117" s="742"/>
      <c r="H117" s="742"/>
      <c r="I117" s="742"/>
      <c r="J117" s="742"/>
      <c r="K117" s="742"/>
    </row>
    <row r="118" spans="1:11" ht="18" customHeight="1" x14ac:dyDescent="0.3">
      <c r="A118" s="639" t="s">
        <v>173</v>
      </c>
      <c r="B118" s="742" t="s">
        <v>18</v>
      </c>
      <c r="C118" s="742"/>
      <c r="D118" s="742"/>
      <c r="E118" s="742"/>
      <c r="F118" s="493">
        <f>+'[12]Section i P&amp;L'!$H$9</f>
        <v>326652</v>
      </c>
      <c r="G118" s="742"/>
      <c r="H118" s="742"/>
      <c r="I118" s="742"/>
      <c r="J118" s="742"/>
      <c r="K118" s="742"/>
    </row>
    <row r="119" spans="1:11" ht="18" customHeight="1" x14ac:dyDescent="0.3">
      <c r="A119" s="639" t="s">
        <v>174</v>
      </c>
      <c r="B119" s="636" t="s">
        <v>19</v>
      </c>
      <c r="C119" s="742"/>
      <c r="D119" s="742"/>
      <c r="E119" s="742"/>
      <c r="F119" s="649">
        <f>SUM(F117:F118)</f>
        <v>82004862</v>
      </c>
      <c r="G119" s="742"/>
      <c r="H119" s="742"/>
      <c r="I119" s="742"/>
      <c r="J119" s="742"/>
      <c r="K119" s="742"/>
    </row>
    <row r="120" spans="1:11" ht="18" customHeight="1" x14ac:dyDescent="0.3">
      <c r="A120" s="639"/>
      <c r="B120" s="636"/>
      <c r="C120" s="742"/>
      <c r="D120" s="742"/>
      <c r="E120" s="742"/>
      <c r="F120" s="742"/>
      <c r="G120" s="742"/>
      <c r="H120" s="742"/>
      <c r="I120" s="742"/>
      <c r="J120" s="742"/>
      <c r="K120" s="742"/>
    </row>
    <row r="121" spans="1:11" ht="18" customHeight="1" x14ac:dyDescent="0.3">
      <c r="A121" s="639" t="s">
        <v>167</v>
      </c>
      <c r="B121" s="636" t="s">
        <v>36</v>
      </c>
      <c r="C121" s="742"/>
      <c r="D121" s="742"/>
      <c r="E121" s="742"/>
      <c r="F121" s="647">
        <f>+'[12]Section i P&amp;L'!$H$12</f>
        <v>93884647</v>
      </c>
      <c r="G121" s="742"/>
      <c r="H121" s="742"/>
      <c r="I121" s="742"/>
      <c r="J121" s="742"/>
      <c r="K121" s="742"/>
    </row>
    <row r="122" spans="1:11" ht="18" customHeight="1" x14ac:dyDescent="0.3">
      <c r="A122" s="639"/>
      <c r="B122" s="742"/>
      <c r="C122" s="742"/>
      <c r="D122" s="742"/>
      <c r="E122" s="742"/>
      <c r="F122" s="742"/>
      <c r="G122" s="742"/>
      <c r="H122" s="742"/>
      <c r="I122" s="742"/>
      <c r="J122" s="742"/>
      <c r="K122" s="742"/>
    </row>
    <row r="123" spans="1:11" ht="18" customHeight="1" x14ac:dyDescent="0.3">
      <c r="A123" s="639" t="s">
        <v>175</v>
      </c>
      <c r="B123" s="636" t="s">
        <v>20</v>
      </c>
      <c r="C123" s="742"/>
      <c r="D123" s="742"/>
      <c r="E123" s="742"/>
      <c r="F123" s="647">
        <f>+F119-F121</f>
        <v>-11879785</v>
      </c>
      <c r="G123" s="742"/>
      <c r="H123" s="742"/>
      <c r="I123" s="742"/>
      <c r="J123" s="742"/>
      <c r="K123" s="742"/>
    </row>
    <row r="124" spans="1:11" ht="18" customHeight="1" x14ac:dyDescent="0.3">
      <c r="A124" s="639"/>
      <c r="B124" s="742"/>
      <c r="C124" s="742"/>
      <c r="D124" s="742"/>
      <c r="E124" s="742"/>
      <c r="F124" s="742"/>
      <c r="G124" s="742"/>
      <c r="H124" s="742"/>
      <c r="I124" s="742"/>
      <c r="J124" s="742"/>
      <c r="K124" s="742"/>
    </row>
    <row r="125" spans="1:11" ht="18" customHeight="1" x14ac:dyDescent="0.3">
      <c r="A125" s="639" t="s">
        <v>176</v>
      </c>
      <c r="B125" s="636" t="s">
        <v>21</v>
      </c>
      <c r="C125" s="742"/>
      <c r="D125" s="742"/>
      <c r="E125" s="742"/>
      <c r="F125" s="647">
        <f>+'[12]Section i P&amp;L'!$H$16</f>
        <v>6357783</v>
      </c>
      <c r="G125" s="742"/>
      <c r="H125" s="742"/>
      <c r="I125" s="742"/>
      <c r="J125" s="742"/>
      <c r="K125" s="742"/>
    </row>
    <row r="126" spans="1:11" ht="18" customHeight="1" x14ac:dyDescent="0.3">
      <c r="A126" s="639"/>
      <c r="B126" s="742"/>
      <c r="C126" s="742"/>
      <c r="D126" s="742"/>
      <c r="E126" s="742"/>
      <c r="F126" s="742"/>
      <c r="G126" s="742"/>
      <c r="H126" s="742"/>
      <c r="I126" s="742"/>
      <c r="J126" s="742"/>
      <c r="K126" s="742"/>
    </row>
    <row r="127" spans="1:11" ht="18" customHeight="1" x14ac:dyDescent="0.3">
      <c r="A127" s="639" t="s">
        <v>177</v>
      </c>
      <c r="B127" s="636" t="s">
        <v>22</v>
      </c>
      <c r="C127" s="742"/>
      <c r="D127" s="742"/>
      <c r="E127" s="742"/>
      <c r="F127" s="647">
        <f>+F123+F125</f>
        <v>-5522002</v>
      </c>
      <c r="G127" s="742"/>
      <c r="H127" s="742"/>
      <c r="I127" s="742"/>
      <c r="J127" s="742"/>
      <c r="K127" s="742"/>
    </row>
    <row r="128" spans="1:11" ht="18" customHeight="1" x14ac:dyDescent="0.3">
      <c r="A128" s="639"/>
      <c r="B128" s="742"/>
      <c r="C128" s="742"/>
      <c r="D128" s="742"/>
      <c r="E128" s="742"/>
      <c r="F128" s="742"/>
      <c r="G128" s="742"/>
      <c r="H128" s="742"/>
      <c r="I128" s="742"/>
      <c r="J128" s="742"/>
      <c r="K128" s="742"/>
    </row>
    <row r="129" spans="1:11" ht="42.75" customHeight="1" x14ac:dyDescent="0.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B138" s="742"/>
      <c r="C138" s="742"/>
      <c r="D138" s="742"/>
      <c r="E138" s="742"/>
      <c r="F138" s="742"/>
      <c r="G138" s="742"/>
      <c r="H138" s="742"/>
      <c r="I138" s="742"/>
      <c r="J138" s="742"/>
      <c r="K138" s="742"/>
    </row>
    <row r="139" spans="1:11" ht="42.75" customHeight="1" x14ac:dyDescent="0.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592</v>
      </c>
      <c r="G141" s="664">
        <f t="shared" si="14"/>
        <v>7920</v>
      </c>
      <c r="H141" s="664">
        <f t="shared" si="14"/>
        <v>234955.28670653471</v>
      </c>
      <c r="I141" s="664">
        <f t="shared" si="14"/>
        <v>203844.66478637588</v>
      </c>
      <c r="J141" s="664">
        <f t="shared" si="14"/>
        <v>0</v>
      </c>
      <c r="K141" s="664">
        <f t="shared" si="14"/>
        <v>438799.95149291056</v>
      </c>
    </row>
    <row r="142" spans="1:11" ht="18" customHeight="1" x14ac:dyDescent="0.3">
      <c r="A142" s="639" t="s">
        <v>142</v>
      </c>
      <c r="B142" s="636" t="s">
        <v>65</v>
      </c>
      <c r="C142" s="742"/>
      <c r="D142" s="742"/>
      <c r="E142" s="742"/>
      <c r="F142" s="664">
        <f t="shared" ref="F142:K142" si="15">F49</f>
        <v>325</v>
      </c>
      <c r="G142" s="664">
        <f t="shared" si="15"/>
        <v>0</v>
      </c>
      <c r="H142" s="664">
        <f t="shared" si="15"/>
        <v>13650</v>
      </c>
      <c r="I142" s="664">
        <f t="shared" si="15"/>
        <v>0</v>
      </c>
      <c r="J142" s="664">
        <f t="shared" si="15"/>
        <v>0</v>
      </c>
      <c r="K142" s="664">
        <f t="shared" si="15"/>
        <v>13650</v>
      </c>
    </row>
    <row r="143" spans="1:11" ht="18" customHeight="1" x14ac:dyDescent="0.3">
      <c r="A143" s="639" t="s">
        <v>144</v>
      </c>
      <c r="B143" s="636" t="s">
        <v>66</v>
      </c>
      <c r="C143" s="742"/>
      <c r="D143" s="742"/>
      <c r="E143" s="742"/>
      <c r="F143" s="664">
        <f t="shared" ref="F143:K143" si="16">F64</f>
        <v>13305</v>
      </c>
      <c r="G143" s="664">
        <f t="shared" si="16"/>
        <v>0</v>
      </c>
      <c r="H143" s="664">
        <f t="shared" si="16"/>
        <v>12076688.43161257</v>
      </c>
      <c r="I143" s="664">
        <f t="shared" si="16"/>
        <v>0</v>
      </c>
      <c r="J143" s="664">
        <f t="shared" si="16"/>
        <v>821959.66999999993</v>
      </c>
      <c r="K143" s="664">
        <f t="shared" si="16"/>
        <v>11254728.76161257</v>
      </c>
    </row>
    <row r="144" spans="1:11" ht="18" customHeight="1" x14ac:dyDescent="0.3">
      <c r="A144" s="639"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639" t="s">
        <v>148</v>
      </c>
      <c r="B145" s="636" t="s">
        <v>68</v>
      </c>
      <c r="C145" s="742"/>
      <c r="D145" s="742"/>
      <c r="E145" s="742"/>
      <c r="F145" s="664">
        <f t="shared" ref="F145:K145" si="18">F82</f>
        <v>0</v>
      </c>
      <c r="G145" s="664">
        <f t="shared" si="18"/>
        <v>0</v>
      </c>
      <c r="H145" s="664">
        <f t="shared" si="18"/>
        <v>0</v>
      </c>
      <c r="I145" s="664">
        <f t="shared" si="18"/>
        <v>0</v>
      </c>
      <c r="J145" s="664">
        <f t="shared" si="18"/>
        <v>0</v>
      </c>
      <c r="K145" s="664">
        <f t="shared" si="18"/>
        <v>0</v>
      </c>
    </row>
    <row r="146" spans="1:11" ht="18" customHeight="1" x14ac:dyDescent="0.3">
      <c r="A146" s="639" t="s">
        <v>150</v>
      </c>
      <c r="B146" s="636" t="s">
        <v>69</v>
      </c>
      <c r="C146" s="742"/>
      <c r="D146" s="742"/>
      <c r="E146" s="742"/>
      <c r="F146" s="664">
        <f t="shared" ref="F146:K146" si="19">F98</f>
        <v>15</v>
      </c>
      <c r="G146" s="664">
        <f t="shared" si="19"/>
        <v>0</v>
      </c>
      <c r="H146" s="664">
        <f t="shared" si="19"/>
        <v>128876.66</v>
      </c>
      <c r="I146" s="664">
        <f t="shared" si="19"/>
        <v>111811.99591095254</v>
      </c>
      <c r="J146" s="664">
        <f t="shared" si="19"/>
        <v>0</v>
      </c>
      <c r="K146" s="664">
        <f t="shared" si="19"/>
        <v>240688.65591095254</v>
      </c>
    </row>
    <row r="147" spans="1:11" ht="18" customHeight="1" x14ac:dyDescent="0.3">
      <c r="A147" s="639" t="s">
        <v>153</v>
      </c>
      <c r="B147" s="636" t="s">
        <v>61</v>
      </c>
      <c r="C147" s="742"/>
      <c r="D147" s="742"/>
      <c r="E147" s="742"/>
      <c r="F147" s="650">
        <f t="shared" ref="F147:K147" si="20">F108</f>
        <v>1386</v>
      </c>
      <c r="G147" s="650">
        <f t="shared" si="20"/>
        <v>0</v>
      </c>
      <c r="H147" s="650">
        <f t="shared" si="20"/>
        <v>119561.5</v>
      </c>
      <c r="I147" s="650">
        <f t="shared" si="20"/>
        <v>103730.26387483468</v>
      </c>
      <c r="J147" s="650">
        <f t="shared" si="20"/>
        <v>0</v>
      </c>
      <c r="K147" s="650">
        <f t="shared" si="20"/>
        <v>223291.76387483469</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2521365</v>
      </c>
    </row>
    <row r="149" spans="1:11" ht="18" customHeight="1" x14ac:dyDescent="0.3">
      <c r="A149" s="639"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639" t="s">
        <v>185</v>
      </c>
      <c r="B150" s="636" t="s">
        <v>186</v>
      </c>
      <c r="C150" s="742"/>
      <c r="D150" s="742"/>
      <c r="E150" s="742"/>
      <c r="F150" s="665" t="s">
        <v>73</v>
      </c>
      <c r="G150" s="665" t="s">
        <v>73</v>
      </c>
      <c r="H150" s="650">
        <f>H18</f>
        <v>2381881</v>
      </c>
      <c r="I150" s="650">
        <f>I18</f>
        <v>0</v>
      </c>
      <c r="J150" s="650">
        <f>J18</f>
        <v>2013159</v>
      </c>
      <c r="K150" s="650">
        <f>K18</f>
        <v>368722</v>
      </c>
    </row>
    <row r="151" spans="1:11" ht="18" customHeight="1" x14ac:dyDescent="0.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15623</v>
      </c>
      <c r="G152" s="672">
        <f t="shared" si="22"/>
        <v>7920</v>
      </c>
      <c r="H152" s="672">
        <f t="shared" si="22"/>
        <v>14955612.878319105</v>
      </c>
      <c r="I152" s="672">
        <f t="shared" si="22"/>
        <v>419386.92457216309</v>
      </c>
      <c r="J152" s="672">
        <f t="shared" si="22"/>
        <v>2835118.67</v>
      </c>
      <c r="K152" s="672">
        <f t="shared" si="22"/>
        <v>15061246.132891268</v>
      </c>
    </row>
    <row r="153" spans="1:11" ht="18" customHeight="1" x14ac:dyDescent="0.25">
      <c r="B153" s="742"/>
      <c r="C153" s="742"/>
      <c r="D153" s="742"/>
      <c r="E153" s="742"/>
      <c r="F153" s="742"/>
      <c r="G153" s="742"/>
      <c r="H153" s="742"/>
      <c r="I153" s="742"/>
      <c r="J153" s="742"/>
      <c r="K153" s="742"/>
    </row>
    <row r="154" spans="1:11" ht="18" customHeight="1" x14ac:dyDescent="0.3">
      <c r="A154" s="639" t="s">
        <v>168</v>
      </c>
      <c r="B154" s="636" t="s">
        <v>28</v>
      </c>
      <c r="C154" s="742"/>
      <c r="D154" s="742"/>
      <c r="E154" s="834"/>
      <c r="F154" s="687">
        <f>K152/F121</f>
        <v>0.16042288717228992</v>
      </c>
      <c r="G154" s="742"/>
      <c r="H154" s="742"/>
      <c r="I154" s="742"/>
      <c r="J154" s="742"/>
      <c r="K154" s="742"/>
    </row>
    <row r="155" spans="1:11" ht="18" customHeight="1" x14ac:dyDescent="0.3">
      <c r="A155" s="639" t="s">
        <v>169</v>
      </c>
      <c r="B155" s="636" t="s">
        <v>72</v>
      </c>
      <c r="C155" s="742"/>
      <c r="D155" s="742"/>
      <c r="E155" s="832"/>
      <c r="F155" s="687">
        <f>K152/F127</f>
        <v>-2.7274974063557504</v>
      </c>
      <c r="G155" s="636"/>
      <c r="H155" s="735"/>
      <c r="I155" s="742"/>
      <c r="J155" s="742"/>
      <c r="K155" s="742"/>
    </row>
    <row r="156" spans="1:11" ht="18" customHeight="1" x14ac:dyDescent="0.3">
      <c r="B156" s="491"/>
      <c r="C156" s="491"/>
      <c r="D156" s="491"/>
      <c r="E156" s="833"/>
      <c r="F156" s="491"/>
      <c r="G156" s="492"/>
      <c r="H156" s="735"/>
      <c r="I156" s="491"/>
      <c r="J156" s="491"/>
      <c r="K156" s="491"/>
    </row>
  </sheetData>
  <sheetProtection sheet="1" objects="1" scenarios="1"/>
  <mergeCells count="31">
    <mergeCell ref="B62:D62"/>
    <mergeCell ref="B31:D31"/>
    <mergeCell ref="B103:C103"/>
    <mergeCell ref="B96:D96"/>
    <mergeCell ref="B95:D95"/>
    <mergeCell ref="B94:D94"/>
    <mergeCell ref="B52:C52"/>
    <mergeCell ref="B90:C90"/>
    <mergeCell ref="B53:D53"/>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156"/>
  <sheetViews>
    <sheetView showGridLines="0" zoomScale="70" zoomScaleNormal="70" zoomScaleSheetLayoutView="70" workbookViewId="0">
      <selection activeCell="A2" sqref="A2"/>
    </sheetView>
  </sheetViews>
  <sheetFormatPr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256" width="9.26953125" style="28"/>
    <col min="257" max="257" width="8.26953125" style="28" customWidth="1"/>
    <col min="258" max="258" width="55.453125" style="28" bestFit="1" customWidth="1"/>
    <col min="259" max="259" width="9.54296875" style="28" customWidth="1"/>
    <col min="260" max="260" width="9.26953125" style="28"/>
    <col min="261" max="261" width="12.453125" style="28" customWidth="1"/>
    <col min="262" max="262" width="18.54296875" style="28" customWidth="1"/>
    <col min="263" max="263" width="23.54296875" style="28" customWidth="1"/>
    <col min="264" max="264" width="17.26953125" style="28" customWidth="1"/>
    <col min="265" max="265" width="21.26953125" style="28" customWidth="1"/>
    <col min="266" max="266" width="19.7265625" style="28" customWidth="1"/>
    <col min="267" max="267" width="17.54296875" style="28" customWidth="1"/>
    <col min="268" max="512" width="9.26953125" style="28"/>
    <col min="513" max="513" width="8.26953125" style="28" customWidth="1"/>
    <col min="514" max="514" width="55.453125" style="28" bestFit="1" customWidth="1"/>
    <col min="515" max="515" width="9.54296875" style="28" customWidth="1"/>
    <col min="516" max="516" width="9.26953125" style="28"/>
    <col min="517" max="517" width="12.453125" style="28" customWidth="1"/>
    <col min="518" max="518" width="18.54296875" style="28" customWidth="1"/>
    <col min="519" max="519" width="23.54296875" style="28" customWidth="1"/>
    <col min="520" max="520" width="17.26953125" style="28" customWidth="1"/>
    <col min="521" max="521" width="21.26953125" style="28" customWidth="1"/>
    <col min="522" max="522" width="19.7265625" style="28" customWidth="1"/>
    <col min="523" max="523" width="17.54296875" style="28" customWidth="1"/>
    <col min="524" max="768" width="9.26953125" style="28"/>
    <col min="769" max="769" width="8.26953125" style="28" customWidth="1"/>
    <col min="770" max="770" width="55.453125" style="28" bestFit="1" customWidth="1"/>
    <col min="771" max="771" width="9.54296875" style="28" customWidth="1"/>
    <col min="772" max="772" width="9.26953125" style="28"/>
    <col min="773" max="773" width="12.453125" style="28" customWidth="1"/>
    <col min="774" max="774" width="18.54296875" style="28" customWidth="1"/>
    <col min="775" max="775" width="23.54296875" style="28" customWidth="1"/>
    <col min="776" max="776" width="17.26953125" style="28" customWidth="1"/>
    <col min="777" max="777" width="21.26953125" style="28" customWidth="1"/>
    <col min="778" max="778" width="19.7265625" style="28" customWidth="1"/>
    <col min="779" max="779" width="17.54296875" style="28" customWidth="1"/>
    <col min="780" max="1024" width="9.26953125" style="28"/>
    <col min="1025" max="1025" width="8.26953125" style="28" customWidth="1"/>
    <col min="1026" max="1026" width="55.453125" style="28" bestFit="1" customWidth="1"/>
    <col min="1027" max="1027" width="9.54296875" style="28" customWidth="1"/>
    <col min="1028" max="1028" width="9.26953125" style="28"/>
    <col min="1029" max="1029" width="12.453125" style="28" customWidth="1"/>
    <col min="1030" max="1030" width="18.54296875" style="28" customWidth="1"/>
    <col min="1031" max="1031" width="23.54296875" style="28" customWidth="1"/>
    <col min="1032" max="1032" width="17.26953125" style="28" customWidth="1"/>
    <col min="1033" max="1033" width="21.26953125" style="28" customWidth="1"/>
    <col min="1034" max="1034" width="19.7265625" style="28" customWidth="1"/>
    <col min="1035" max="1035" width="17.54296875" style="28" customWidth="1"/>
    <col min="1036" max="1280" width="9.26953125" style="28"/>
    <col min="1281" max="1281" width="8.26953125" style="28" customWidth="1"/>
    <col min="1282" max="1282" width="55.453125" style="28" bestFit="1" customWidth="1"/>
    <col min="1283" max="1283" width="9.54296875" style="28" customWidth="1"/>
    <col min="1284" max="1284" width="9.26953125" style="28"/>
    <col min="1285" max="1285" width="12.453125" style="28" customWidth="1"/>
    <col min="1286" max="1286" width="18.54296875" style="28" customWidth="1"/>
    <col min="1287" max="1287" width="23.54296875" style="28" customWidth="1"/>
    <col min="1288" max="1288" width="17.26953125" style="28" customWidth="1"/>
    <col min="1289" max="1289" width="21.26953125" style="28" customWidth="1"/>
    <col min="1290" max="1290" width="19.7265625" style="28" customWidth="1"/>
    <col min="1291" max="1291" width="17.54296875" style="28" customWidth="1"/>
    <col min="1292" max="1536" width="9.26953125" style="28"/>
    <col min="1537" max="1537" width="8.26953125" style="28" customWidth="1"/>
    <col min="1538" max="1538" width="55.453125" style="28" bestFit="1" customWidth="1"/>
    <col min="1539" max="1539" width="9.54296875" style="28" customWidth="1"/>
    <col min="1540" max="1540" width="9.26953125" style="28"/>
    <col min="1541" max="1541" width="12.453125" style="28" customWidth="1"/>
    <col min="1542" max="1542" width="18.54296875" style="28" customWidth="1"/>
    <col min="1543" max="1543" width="23.54296875" style="28" customWidth="1"/>
    <col min="1544" max="1544" width="17.26953125" style="28" customWidth="1"/>
    <col min="1545" max="1545" width="21.26953125" style="28" customWidth="1"/>
    <col min="1546" max="1546" width="19.7265625" style="28" customWidth="1"/>
    <col min="1547" max="1547" width="17.54296875" style="28" customWidth="1"/>
    <col min="1548" max="1792" width="9.26953125" style="28"/>
    <col min="1793" max="1793" width="8.26953125" style="28" customWidth="1"/>
    <col min="1794" max="1794" width="55.453125" style="28" bestFit="1" customWidth="1"/>
    <col min="1795" max="1795" width="9.54296875" style="28" customWidth="1"/>
    <col min="1796" max="1796" width="9.26953125" style="28"/>
    <col min="1797" max="1797" width="12.453125" style="28" customWidth="1"/>
    <col min="1798" max="1798" width="18.54296875" style="28" customWidth="1"/>
    <col min="1799" max="1799" width="23.54296875" style="28" customWidth="1"/>
    <col min="1800" max="1800" width="17.26953125" style="28" customWidth="1"/>
    <col min="1801" max="1801" width="21.26953125" style="28" customWidth="1"/>
    <col min="1802" max="1802" width="19.7265625" style="28" customWidth="1"/>
    <col min="1803" max="1803" width="17.54296875" style="28" customWidth="1"/>
    <col min="1804" max="2048" width="9.26953125" style="28"/>
    <col min="2049" max="2049" width="8.26953125" style="28" customWidth="1"/>
    <col min="2050" max="2050" width="55.453125" style="28" bestFit="1" customWidth="1"/>
    <col min="2051" max="2051" width="9.54296875" style="28" customWidth="1"/>
    <col min="2052" max="2052" width="9.26953125" style="28"/>
    <col min="2053" max="2053" width="12.453125" style="28" customWidth="1"/>
    <col min="2054" max="2054" width="18.54296875" style="28" customWidth="1"/>
    <col min="2055" max="2055" width="23.54296875" style="28" customWidth="1"/>
    <col min="2056" max="2056" width="17.26953125" style="28" customWidth="1"/>
    <col min="2057" max="2057" width="21.26953125" style="28" customWidth="1"/>
    <col min="2058" max="2058" width="19.7265625" style="28" customWidth="1"/>
    <col min="2059" max="2059" width="17.54296875" style="28" customWidth="1"/>
    <col min="2060" max="2304" width="9.26953125" style="28"/>
    <col min="2305" max="2305" width="8.26953125" style="28" customWidth="1"/>
    <col min="2306" max="2306" width="55.453125" style="28" bestFit="1" customWidth="1"/>
    <col min="2307" max="2307" width="9.54296875" style="28" customWidth="1"/>
    <col min="2308" max="2308" width="9.26953125" style="28"/>
    <col min="2309" max="2309" width="12.453125" style="28" customWidth="1"/>
    <col min="2310" max="2310" width="18.54296875" style="28" customWidth="1"/>
    <col min="2311" max="2311" width="23.54296875" style="28" customWidth="1"/>
    <col min="2312" max="2312" width="17.26953125" style="28" customWidth="1"/>
    <col min="2313" max="2313" width="21.26953125" style="28" customWidth="1"/>
    <col min="2314" max="2314" width="19.7265625" style="28" customWidth="1"/>
    <col min="2315" max="2315" width="17.54296875" style="28" customWidth="1"/>
    <col min="2316" max="2560" width="9.26953125" style="28"/>
    <col min="2561" max="2561" width="8.26953125" style="28" customWidth="1"/>
    <col min="2562" max="2562" width="55.453125" style="28" bestFit="1" customWidth="1"/>
    <col min="2563" max="2563" width="9.54296875" style="28" customWidth="1"/>
    <col min="2564" max="2564" width="9.26953125" style="28"/>
    <col min="2565" max="2565" width="12.453125" style="28" customWidth="1"/>
    <col min="2566" max="2566" width="18.54296875" style="28" customWidth="1"/>
    <col min="2567" max="2567" width="23.54296875" style="28" customWidth="1"/>
    <col min="2568" max="2568" width="17.26953125" style="28" customWidth="1"/>
    <col min="2569" max="2569" width="21.26953125" style="28" customWidth="1"/>
    <col min="2570" max="2570" width="19.7265625" style="28" customWidth="1"/>
    <col min="2571" max="2571" width="17.54296875" style="28" customWidth="1"/>
    <col min="2572" max="2816" width="9.26953125" style="28"/>
    <col min="2817" max="2817" width="8.26953125" style="28" customWidth="1"/>
    <col min="2818" max="2818" width="55.453125" style="28" bestFit="1" customWidth="1"/>
    <col min="2819" max="2819" width="9.54296875" style="28" customWidth="1"/>
    <col min="2820" max="2820" width="9.26953125" style="28"/>
    <col min="2821" max="2821" width="12.453125" style="28" customWidth="1"/>
    <col min="2822" max="2822" width="18.54296875" style="28" customWidth="1"/>
    <col min="2823" max="2823" width="23.54296875" style="28" customWidth="1"/>
    <col min="2824" max="2824" width="17.26953125" style="28" customWidth="1"/>
    <col min="2825" max="2825" width="21.26953125" style="28" customWidth="1"/>
    <col min="2826" max="2826" width="19.7265625" style="28" customWidth="1"/>
    <col min="2827" max="2827" width="17.54296875" style="28" customWidth="1"/>
    <col min="2828" max="3072" width="9.26953125" style="28"/>
    <col min="3073" max="3073" width="8.26953125" style="28" customWidth="1"/>
    <col min="3074" max="3074" width="55.453125" style="28" bestFit="1" customWidth="1"/>
    <col min="3075" max="3075" width="9.54296875" style="28" customWidth="1"/>
    <col min="3076" max="3076" width="9.26953125" style="28"/>
    <col min="3077" max="3077" width="12.453125" style="28" customWidth="1"/>
    <col min="3078" max="3078" width="18.54296875" style="28" customWidth="1"/>
    <col min="3079" max="3079" width="23.54296875" style="28" customWidth="1"/>
    <col min="3080" max="3080" width="17.26953125" style="28" customWidth="1"/>
    <col min="3081" max="3081" width="21.26953125" style="28" customWidth="1"/>
    <col min="3082" max="3082" width="19.7265625" style="28" customWidth="1"/>
    <col min="3083" max="3083" width="17.54296875" style="28" customWidth="1"/>
    <col min="3084" max="3328" width="9.26953125" style="28"/>
    <col min="3329" max="3329" width="8.26953125" style="28" customWidth="1"/>
    <col min="3330" max="3330" width="55.453125" style="28" bestFit="1" customWidth="1"/>
    <col min="3331" max="3331" width="9.54296875" style="28" customWidth="1"/>
    <col min="3332" max="3332" width="9.26953125" style="28"/>
    <col min="3333" max="3333" width="12.453125" style="28" customWidth="1"/>
    <col min="3334" max="3334" width="18.54296875" style="28" customWidth="1"/>
    <col min="3335" max="3335" width="23.54296875" style="28" customWidth="1"/>
    <col min="3336" max="3336" width="17.26953125" style="28" customWidth="1"/>
    <col min="3337" max="3337" width="21.26953125" style="28" customWidth="1"/>
    <col min="3338" max="3338" width="19.7265625" style="28" customWidth="1"/>
    <col min="3339" max="3339" width="17.54296875" style="28" customWidth="1"/>
    <col min="3340" max="3584" width="9.26953125" style="28"/>
    <col min="3585" max="3585" width="8.26953125" style="28" customWidth="1"/>
    <col min="3586" max="3586" width="55.453125" style="28" bestFit="1" customWidth="1"/>
    <col min="3587" max="3587" width="9.54296875" style="28" customWidth="1"/>
    <col min="3588" max="3588" width="9.26953125" style="28"/>
    <col min="3589" max="3589" width="12.453125" style="28" customWidth="1"/>
    <col min="3590" max="3590" width="18.54296875" style="28" customWidth="1"/>
    <col min="3591" max="3591" width="23.54296875" style="28" customWidth="1"/>
    <col min="3592" max="3592" width="17.26953125" style="28" customWidth="1"/>
    <col min="3593" max="3593" width="21.26953125" style="28" customWidth="1"/>
    <col min="3594" max="3594" width="19.7265625" style="28" customWidth="1"/>
    <col min="3595" max="3595" width="17.54296875" style="28" customWidth="1"/>
    <col min="3596" max="3840" width="9.26953125" style="28"/>
    <col min="3841" max="3841" width="8.26953125" style="28" customWidth="1"/>
    <col min="3842" max="3842" width="55.453125" style="28" bestFit="1" customWidth="1"/>
    <col min="3843" max="3843" width="9.54296875" style="28" customWidth="1"/>
    <col min="3844" max="3844" width="9.26953125" style="28"/>
    <col min="3845" max="3845" width="12.453125" style="28" customWidth="1"/>
    <col min="3846" max="3846" width="18.54296875" style="28" customWidth="1"/>
    <col min="3847" max="3847" width="23.54296875" style="28" customWidth="1"/>
    <col min="3848" max="3848" width="17.26953125" style="28" customWidth="1"/>
    <col min="3849" max="3849" width="21.26953125" style="28" customWidth="1"/>
    <col min="3850" max="3850" width="19.7265625" style="28" customWidth="1"/>
    <col min="3851" max="3851" width="17.54296875" style="28" customWidth="1"/>
    <col min="3852" max="4096" width="9.26953125" style="28"/>
    <col min="4097" max="4097" width="8.26953125" style="28" customWidth="1"/>
    <col min="4098" max="4098" width="55.453125" style="28" bestFit="1" customWidth="1"/>
    <col min="4099" max="4099" width="9.54296875" style="28" customWidth="1"/>
    <col min="4100" max="4100" width="9.26953125" style="28"/>
    <col min="4101" max="4101" width="12.453125" style="28" customWidth="1"/>
    <col min="4102" max="4102" width="18.54296875" style="28" customWidth="1"/>
    <col min="4103" max="4103" width="23.54296875" style="28" customWidth="1"/>
    <col min="4104" max="4104" width="17.26953125" style="28" customWidth="1"/>
    <col min="4105" max="4105" width="21.26953125" style="28" customWidth="1"/>
    <col min="4106" max="4106" width="19.7265625" style="28" customWidth="1"/>
    <col min="4107" max="4107" width="17.54296875" style="28" customWidth="1"/>
    <col min="4108" max="4352" width="9.26953125" style="28"/>
    <col min="4353" max="4353" width="8.26953125" style="28" customWidth="1"/>
    <col min="4354" max="4354" width="55.453125" style="28" bestFit="1" customWidth="1"/>
    <col min="4355" max="4355" width="9.54296875" style="28" customWidth="1"/>
    <col min="4356" max="4356" width="9.26953125" style="28"/>
    <col min="4357" max="4357" width="12.453125" style="28" customWidth="1"/>
    <col min="4358" max="4358" width="18.54296875" style="28" customWidth="1"/>
    <col min="4359" max="4359" width="23.54296875" style="28" customWidth="1"/>
    <col min="4360" max="4360" width="17.26953125" style="28" customWidth="1"/>
    <col min="4361" max="4361" width="21.26953125" style="28" customWidth="1"/>
    <col min="4362" max="4362" width="19.7265625" style="28" customWidth="1"/>
    <col min="4363" max="4363" width="17.54296875" style="28" customWidth="1"/>
    <col min="4364" max="4608" width="9.26953125" style="28"/>
    <col min="4609" max="4609" width="8.26953125" style="28" customWidth="1"/>
    <col min="4610" max="4610" width="55.453125" style="28" bestFit="1" customWidth="1"/>
    <col min="4611" max="4611" width="9.54296875" style="28" customWidth="1"/>
    <col min="4612" max="4612" width="9.26953125" style="28"/>
    <col min="4613" max="4613" width="12.453125" style="28" customWidth="1"/>
    <col min="4614" max="4614" width="18.54296875" style="28" customWidth="1"/>
    <col min="4615" max="4615" width="23.54296875" style="28" customWidth="1"/>
    <col min="4616" max="4616" width="17.26953125" style="28" customWidth="1"/>
    <col min="4617" max="4617" width="21.26953125" style="28" customWidth="1"/>
    <col min="4618" max="4618" width="19.7265625" style="28" customWidth="1"/>
    <col min="4619" max="4619" width="17.54296875" style="28" customWidth="1"/>
    <col min="4620" max="4864" width="9.26953125" style="28"/>
    <col min="4865" max="4865" width="8.26953125" style="28" customWidth="1"/>
    <col min="4866" max="4866" width="55.453125" style="28" bestFit="1" customWidth="1"/>
    <col min="4867" max="4867" width="9.54296875" style="28" customWidth="1"/>
    <col min="4868" max="4868" width="9.26953125" style="28"/>
    <col min="4869" max="4869" width="12.453125" style="28" customWidth="1"/>
    <col min="4870" max="4870" width="18.54296875" style="28" customWidth="1"/>
    <col min="4871" max="4871" width="23.54296875" style="28" customWidth="1"/>
    <col min="4872" max="4872" width="17.26953125" style="28" customWidth="1"/>
    <col min="4873" max="4873" width="21.26953125" style="28" customWidth="1"/>
    <col min="4874" max="4874" width="19.7265625" style="28" customWidth="1"/>
    <col min="4875" max="4875" width="17.54296875" style="28" customWidth="1"/>
    <col min="4876" max="5120" width="9.26953125" style="28"/>
    <col min="5121" max="5121" width="8.26953125" style="28" customWidth="1"/>
    <col min="5122" max="5122" width="55.453125" style="28" bestFit="1" customWidth="1"/>
    <col min="5123" max="5123" width="9.54296875" style="28" customWidth="1"/>
    <col min="5124" max="5124" width="9.26953125" style="28"/>
    <col min="5125" max="5125" width="12.453125" style="28" customWidth="1"/>
    <col min="5126" max="5126" width="18.54296875" style="28" customWidth="1"/>
    <col min="5127" max="5127" width="23.54296875" style="28" customWidth="1"/>
    <col min="5128" max="5128" width="17.26953125" style="28" customWidth="1"/>
    <col min="5129" max="5129" width="21.26953125" style="28" customWidth="1"/>
    <col min="5130" max="5130" width="19.7265625" style="28" customWidth="1"/>
    <col min="5131" max="5131" width="17.54296875" style="28" customWidth="1"/>
    <col min="5132" max="5376" width="9.26953125" style="28"/>
    <col min="5377" max="5377" width="8.26953125" style="28" customWidth="1"/>
    <col min="5378" max="5378" width="55.453125" style="28" bestFit="1" customWidth="1"/>
    <col min="5379" max="5379" width="9.54296875" style="28" customWidth="1"/>
    <col min="5380" max="5380" width="9.26953125" style="28"/>
    <col min="5381" max="5381" width="12.453125" style="28" customWidth="1"/>
    <col min="5382" max="5382" width="18.54296875" style="28" customWidth="1"/>
    <col min="5383" max="5383" width="23.54296875" style="28" customWidth="1"/>
    <col min="5384" max="5384" width="17.26953125" style="28" customWidth="1"/>
    <col min="5385" max="5385" width="21.26953125" style="28" customWidth="1"/>
    <col min="5386" max="5386" width="19.7265625" style="28" customWidth="1"/>
    <col min="5387" max="5387" width="17.54296875" style="28" customWidth="1"/>
    <col min="5388" max="5632" width="9.26953125" style="28"/>
    <col min="5633" max="5633" width="8.26953125" style="28" customWidth="1"/>
    <col min="5634" max="5634" width="55.453125" style="28" bestFit="1" customWidth="1"/>
    <col min="5635" max="5635" width="9.54296875" style="28" customWidth="1"/>
    <col min="5636" max="5636" width="9.26953125" style="28"/>
    <col min="5637" max="5637" width="12.453125" style="28" customWidth="1"/>
    <col min="5638" max="5638" width="18.54296875" style="28" customWidth="1"/>
    <col min="5639" max="5639" width="23.54296875" style="28" customWidth="1"/>
    <col min="5640" max="5640" width="17.26953125" style="28" customWidth="1"/>
    <col min="5641" max="5641" width="21.26953125" style="28" customWidth="1"/>
    <col min="5642" max="5642" width="19.7265625" style="28" customWidth="1"/>
    <col min="5643" max="5643" width="17.54296875" style="28" customWidth="1"/>
    <col min="5644" max="5888" width="9.26953125" style="28"/>
    <col min="5889" max="5889" width="8.26953125" style="28" customWidth="1"/>
    <col min="5890" max="5890" width="55.453125" style="28" bestFit="1" customWidth="1"/>
    <col min="5891" max="5891" width="9.54296875" style="28" customWidth="1"/>
    <col min="5892" max="5892" width="9.26953125" style="28"/>
    <col min="5893" max="5893" width="12.453125" style="28" customWidth="1"/>
    <col min="5894" max="5894" width="18.54296875" style="28" customWidth="1"/>
    <col min="5895" max="5895" width="23.54296875" style="28" customWidth="1"/>
    <col min="5896" max="5896" width="17.26953125" style="28" customWidth="1"/>
    <col min="5897" max="5897" width="21.26953125" style="28" customWidth="1"/>
    <col min="5898" max="5898" width="19.7265625" style="28" customWidth="1"/>
    <col min="5899" max="5899" width="17.54296875" style="28" customWidth="1"/>
    <col min="5900" max="6144" width="9.26953125" style="28"/>
    <col min="6145" max="6145" width="8.26953125" style="28" customWidth="1"/>
    <col min="6146" max="6146" width="55.453125" style="28" bestFit="1" customWidth="1"/>
    <col min="6147" max="6147" width="9.54296875" style="28" customWidth="1"/>
    <col min="6148" max="6148" width="9.26953125" style="28"/>
    <col min="6149" max="6149" width="12.453125" style="28" customWidth="1"/>
    <col min="6150" max="6150" width="18.54296875" style="28" customWidth="1"/>
    <col min="6151" max="6151" width="23.54296875" style="28" customWidth="1"/>
    <col min="6152" max="6152" width="17.26953125" style="28" customWidth="1"/>
    <col min="6153" max="6153" width="21.26953125" style="28" customWidth="1"/>
    <col min="6154" max="6154" width="19.7265625" style="28" customWidth="1"/>
    <col min="6155" max="6155" width="17.54296875" style="28" customWidth="1"/>
    <col min="6156" max="6400" width="9.26953125" style="28"/>
    <col min="6401" max="6401" width="8.26953125" style="28" customWidth="1"/>
    <col min="6402" max="6402" width="55.453125" style="28" bestFit="1" customWidth="1"/>
    <col min="6403" max="6403" width="9.54296875" style="28" customWidth="1"/>
    <col min="6404" max="6404" width="9.26953125" style="28"/>
    <col min="6405" max="6405" width="12.453125" style="28" customWidth="1"/>
    <col min="6406" max="6406" width="18.54296875" style="28" customWidth="1"/>
    <col min="6407" max="6407" width="23.54296875" style="28" customWidth="1"/>
    <col min="6408" max="6408" width="17.26953125" style="28" customWidth="1"/>
    <col min="6409" max="6409" width="21.26953125" style="28" customWidth="1"/>
    <col min="6410" max="6410" width="19.7265625" style="28" customWidth="1"/>
    <col min="6411" max="6411" width="17.54296875" style="28" customWidth="1"/>
    <col min="6412" max="6656" width="9.26953125" style="28"/>
    <col min="6657" max="6657" width="8.26953125" style="28" customWidth="1"/>
    <col min="6658" max="6658" width="55.453125" style="28" bestFit="1" customWidth="1"/>
    <col min="6659" max="6659" width="9.54296875" style="28" customWidth="1"/>
    <col min="6660" max="6660" width="9.26953125" style="28"/>
    <col min="6661" max="6661" width="12.453125" style="28" customWidth="1"/>
    <col min="6662" max="6662" width="18.54296875" style="28" customWidth="1"/>
    <col min="6663" max="6663" width="23.54296875" style="28" customWidth="1"/>
    <col min="6664" max="6664" width="17.26953125" style="28" customWidth="1"/>
    <col min="6665" max="6665" width="21.26953125" style="28" customWidth="1"/>
    <col min="6666" max="6666" width="19.7265625" style="28" customWidth="1"/>
    <col min="6667" max="6667" width="17.54296875" style="28" customWidth="1"/>
    <col min="6668" max="6912" width="9.26953125" style="28"/>
    <col min="6913" max="6913" width="8.26953125" style="28" customWidth="1"/>
    <col min="6914" max="6914" width="55.453125" style="28" bestFit="1" customWidth="1"/>
    <col min="6915" max="6915" width="9.54296875" style="28" customWidth="1"/>
    <col min="6916" max="6916" width="9.26953125" style="28"/>
    <col min="6917" max="6917" width="12.453125" style="28" customWidth="1"/>
    <col min="6918" max="6918" width="18.54296875" style="28" customWidth="1"/>
    <col min="6919" max="6919" width="23.54296875" style="28" customWidth="1"/>
    <col min="6920" max="6920" width="17.26953125" style="28" customWidth="1"/>
    <col min="6921" max="6921" width="21.26953125" style="28" customWidth="1"/>
    <col min="6922" max="6922" width="19.7265625" style="28" customWidth="1"/>
    <col min="6923" max="6923" width="17.54296875" style="28" customWidth="1"/>
    <col min="6924" max="7168" width="9.26953125" style="28"/>
    <col min="7169" max="7169" width="8.26953125" style="28" customWidth="1"/>
    <col min="7170" max="7170" width="55.453125" style="28" bestFit="1" customWidth="1"/>
    <col min="7171" max="7171" width="9.54296875" style="28" customWidth="1"/>
    <col min="7172" max="7172" width="9.26953125" style="28"/>
    <col min="7173" max="7173" width="12.453125" style="28" customWidth="1"/>
    <col min="7174" max="7174" width="18.54296875" style="28" customWidth="1"/>
    <col min="7175" max="7175" width="23.54296875" style="28" customWidth="1"/>
    <col min="7176" max="7176" width="17.26953125" style="28" customWidth="1"/>
    <col min="7177" max="7177" width="21.26953125" style="28" customWidth="1"/>
    <col min="7178" max="7178" width="19.7265625" style="28" customWidth="1"/>
    <col min="7179" max="7179" width="17.54296875" style="28" customWidth="1"/>
    <col min="7180" max="7424" width="9.26953125" style="28"/>
    <col min="7425" max="7425" width="8.26953125" style="28" customWidth="1"/>
    <col min="7426" max="7426" width="55.453125" style="28" bestFit="1" customWidth="1"/>
    <col min="7427" max="7427" width="9.54296875" style="28" customWidth="1"/>
    <col min="7428" max="7428" width="9.26953125" style="28"/>
    <col min="7429" max="7429" width="12.453125" style="28" customWidth="1"/>
    <col min="7430" max="7430" width="18.54296875" style="28" customWidth="1"/>
    <col min="7431" max="7431" width="23.54296875" style="28" customWidth="1"/>
    <col min="7432" max="7432" width="17.26953125" style="28" customWidth="1"/>
    <col min="7433" max="7433" width="21.26953125" style="28" customWidth="1"/>
    <col min="7434" max="7434" width="19.7265625" style="28" customWidth="1"/>
    <col min="7435" max="7435" width="17.54296875" style="28" customWidth="1"/>
    <col min="7436" max="7680" width="9.26953125" style="28"/>
    <col min="7681" max="7681" width="8.26953125" style="28" customWidth="1"/>
    <col min="7682" max="7682" width="55.453125" style="28" bestFit="1" customWidth="1"/>
    <col min="7683" max="7683" width="9.54296875" style="28" customWidth="1"/>
    <col min="7684" max="7684" width="9.26953125" style="28"/>
    <col min="7685" max="7685" width="12.453125" style="28" customWidth="1"/>
    <col min="7686" max="7686" width="18.54296875" style="28" customWidth="1"/>
    <col min="7687" max="7687" width="23.54296875" style="28" customWidth="1"/>
    <col min="7688" max="7688" width="17.26953125" style="28" customWidth="1"/>
    <col min="7689" max="7689" width="21.26953125" style="28" customWidth="1"/>
    <col min="7690" max="7690" width="19.7265625" style="28" customWidth="1"/>
    <col min="7691" max="7691" width="17.54296875" style="28" customWidth="1"/>
    <col min="7692" max="7936" width="9.26953125" style="28"/>
    <col min="7937" max="7937" width="8.26953125" style="28" customWidth="1"/>
    <col min="7938" max="7938" width="55.453125" style="28" bestFit="1" customWidth="1"/>
    <col min="7939" max="7939" width="9.54296875" style="28" customWidth="1"/>
    <col min="7940" max="7940" width="9.26953125" style="28"/>
    <col min="7941" max="7941" width="12.453125" style="28" customWidth="1"/>
    <col min="7942" max="7942" width="18.54296875" style="28" customWidth="1"/>
    <col min="7943" max="7943" width="23.54296875" style="28" customWidth="1"/>
    <col min="7944" max="7944" width="17.26953125" style="28" customWidth="1"/>
    <col min="7945" max="7945" width="21.26953125" style="28" customWidth="1"/>
    <col min="7946" max="7946" width="19.7265625" style="28" customWidth="1"/>
    <col min="7947" max="7947" width="17.54296875" style="28" customWidth="1"/>
    <col min="7948" max="8192" width="9.26953125" style="28"/>
    <col min="8193" max="8193" width="8.26953125" style="28" customWidth="1"/>
    <col min="8194" max="8194" width="55.453125" style="28" bestFit="1" customWidth="1"/>
    <col min="8195" max="8195" width="9.54296875" style="28" customWidth="1"/>
    <col min="8196" max="8196" width="9.26953125" style="28"/>
    <col min="8197" max="8197" width="12.453125" style="28" customWidth="1"/>
    <col min="8198" max="8198" width="18.54296875" style="28" customWidth="1"/>
    <col min="8199" max="8199" width="23.54296875" style="28" customWidth="1"/>
    <col min="8200" max="8200" width="17.26953125" style="28" customWidth="1"/>
    <col min="8201" max="8201" width="21.26953125" style="28" customWidth="1"/>
    <col min="8202" max="8202" width="19.7265625" style="28" customWidth="1"/>
    <col min="8203" max="8203" width="17.54296875" style="28" customWidth="1"/>
    <col min="8204" max="8448" width="9.26953125" style="28"/>
    <col min="8449" max="8449" width="8.26953125" style="28" customWidth="1"/>
    <col min="8450" max="8450" width="55.453125" style="28" bestFit="1" customWidth="1"/>
    <col min="8451" max="8451" width="9.54296875" style="28" customWidth="1"/>
    <col min="8452" max="8452" width="9.26953125" style="28"/>
    <col min="8453" max="8453" width="12.453125" style="28" customWidth="1"/>
    <col min="8454" max="8454" width="18.54296875" style="28" customWidth="1"/>
    <col min="8455" max="8455" width="23.54296875" style="28" customWidth="1"/>
    <col min="8456" max="8456" width="17.26953125" style="28" customWidth="1"/>
    <col min="8457" max="8457" width="21.26953125" style="28" customWidth="1"/>
    <col min="8458" max="8458" width="19.7265625" style="28" customWidth="1"/>
    <col min="8459" max="8459" width="17.54296875" style="28" customWidth="1"/>
    <col min="8460" max="8704" width="9.26953125" style="28"/>
    <col min="8705" max="8705" width="8.26953125" style="28" customWidth="1"/>
    <col min="8706" max="8706" width="55.453125" style="28" bestFit="1" customWidth="1"/>
    <col min="8707" max="8707" width="9.54296875" style="28" customWidth="1"/>
    <col min="8708" max="8708" width="9.26953125" style="28"/>
    <col min="8709" max="8709" width="12.453125" style="28" customWidth="1"/>
    <col min="8710" max="8710" width="18.54296875" style="28" customWidth="1"/>
    <col min="8711" max="8711" width="23.54296875" style="28" customWidth="1"/>
    <col min="8712" max="8712" width="17.26953125" style="28" customWidth="1"/>
    <col min="8713" max="8713" width="21.26953125" style="28" customWidth="1"/>
    <col min="8714" max="8714" width="19.7265625" style="28" customWidth="1"/>
    <col min="8715" max="8715" width="17.54296875" style="28" customWidth="1"/>
    <col min="8716" max="8960" width="9.26953125" style="28"/>
    <col min="8961" max="8961" width="8.26953125" style="28" customWidth="1"/>
    <col min="8962" max="8962" width="55.453125" style="28" bestFit="1" customWidth="1"/>
    <col min="8963" max="8963" width="9.54296875" style="28" customWidth="1"/>
    <col min="8964" max="8964" width="9.26953125" style="28"/>
    <col min="8965" max="8965" width="12.453125" style="28" customWidth="1"/>
    <col min="8966" max="8966" width="18.54296875" style="28" customWidth="1"/>
    <col min="8967" max="8967" width="23.54296875" style="28" customWidth="1"/>
    <col min="8968" max="8968" width="17.26953125" style="28" customWidth="1"/>
    <col min="8969" max="8969" width="21.26953125" style="28" customWidth="1"/>
    <col min="8970" max="8970" width="19.7265625" style="28" customWidth="1"/>
    <col min="8971" max="8971" width="17.54296875" style="28" customWidth="1"/>
    <col min="8972" max="9216" width="9.26953125" style="28"/>
    <col min="9217" max="9217" width="8.26953125" style="28" customWidth="1"/>
    <col min="9218" max="9218" width="55.453125" style="28" bestFit="1" customWidth="1"/>
    <col min="9219" max="9219" width="9.54296875" style="28" customWidth="1"/>
    <col min="9220" max="9220" width="9.26953125" style="28"/>
    <col min="9221" max="9221" width="12.453125" style="28" customWidth="1"/>
    <col min="9222" max="9222" width="18.54296875" style="28" customWidth="1"/>
    <col min="9223" max="9223" width="23.54296875" style="28" customWidth="1"/>
    <col min="9224" max="9224" width="17.26953125" style="28" customWidth="1"/>
    <col min="9225" max="9225" width="21.26953125" style="28" customWidth="1"/>
    <col min="9226" max="9226" width="19.7265625" style="28" customWidth="1"/>
    <col min="9227" max="9227" width="17.54296875" style="28" customWidth="1"/>
    <col min="9228" max="9472" width="9.26953125" style="28"/>
    <col min="9473" max="9473" width="8.26953125" style="28" customWidth="1"/>
    <col min="9474" max="9474" width="55.453125" style="28" bestFit="1" customWidth="1"/>
    <col min="9475" max="9475" width="9.54296875" style="28" customWidth="1"/>
    <col min="9476" max="9476" width="9.26953125" style="28"/>
    <col min="9477" max="9477" width="12.453125" style="28" customWidth="1"/>
    <col min="9478" max="9478" width="18.54296875" style="28" customWidth="1"/>
    <col min="9479" max="9479" width="23.54296875" style="28" customWidth="1"/>
    <col min="9480" max="9480" width="17.26953125" style="28" customWidth="1"/>
    <col min="9481" max="9481" width="21.26953125" style="28" customWidth="1"/>
    <col min="9482" max="9482" width="19.7265625" style="28" customWidth="1"/>
    <col min="9483" max="9483" width="17.54296875" style="28" customWidth="1"/>
    <col min="9484" max="9728" width="9.26953125" style="28"/>
    <col min="9729" max="9729" width="8.26953125" style="28" customWidth="1"/>
    <col min="9730" max="9730" width="55.453125" style="28" bestFit="1" customWidth="1"/>
    <col min="9731" max="9731" width="9.54296875" style="28" customWidth="1"/>
    <col min="9732" max="9732" width="9.26953125" style="28"/>
    <col min="9733" max="9733" width="12.453125" style="28" customWidth="1"/>
    <col min="9734" max="9734" width="18.54296875" style="28" customWidth="1"/>
    <col min="9735" max="9735" width="23.54296875" style="28" customWidth="1"/>
    <col min="9736" max="9736" width="17.26953125" style="28" customWidth="1"/>
    <col min="9737" max="9737" width="21.26953125" style="28" customWidth="1"/>
    <col min="9738" max="9738" width="19.7265625" style="28" customWidth="1"/>
    <col min="9739" max="9739" width="17.54296875" style="28" customWidth="1"/>
    <col min="9740" max="9984" width="9.26953125" style="28"/>
    <col min="9985" max="9985" width="8.26953125" style="28" customWidth="1"/>
    <col min="9986" max="9986" width="55.453125" style="28" bestFit="1" customWidth="1"/>
    <col min="9987" max="9987" width="9.54296875" style="28" customWidth="1"/>
    <col min="9988" max="9988" width="9.26953125" style="28"/>
    <col min="9989" max="9989" width="12.453125" style="28" customWidth="1"/>
    <col min="9990" max="9990" width="18.54296875" style="28" customWidth="1"/>
    <col min="9991" max="9991" width="23.54296875" style="28" customWidth="1"/>
    <col min="9992" max="9992" width="17.26953125" style="28" customWidth="1"/>
    <col min="9993" max="9993" width="21.26953125" style="28" customWidth="1"/>
    <col min="9994" max="9994" width="19.7265625" style="28" customWidth="1"/>
    <col min="9995" max="9995" width="17.54296875" style="28" customWidth="1"/>
    <col min="9996" max="10240" width="9.26953125" style="28"/>
    <col min="10241" max="10241" width="8.26953125" style="28" customWidth="1"/>
    <col min="10242" max="10242" width="55.453125" style="28" bestFit="1" customWidth="1"/>
    <col min="10243" max="10243" width="9.54296875" style="28" customWidth="1"/>
    <col min="10244" max="10244" width="9.26953125" style="28"/>
    <col min="10245" max="10245" width="12.453125" style="28" customWidth="1"/>
    <col min="10246" max="10246" width="18.54296875" style="28" customWidth="1"/>
    <col min="10247" max="10247" width="23.54296875" style="28" customWidth="1"/>
    <col min="10248" max="10248" width="17.26953125" style="28" customWidth="1"/>
    <col min="10249" max="10249" width="21.26953125" style="28" customWidth="1"/>
    <col min="10250" max="10250" width="19.7265625" style="28" customWidth="1"/>
    <col min="10251" max="10251" width="17.54296875" style="28" customWidth="1"/>
    <col min="10252" max="10496" width="9.26953125" style="28"/>
    <col min="10497" max="10497" width="8.26953125" style="28" customWidth="1"/>
    <col min="10498" max="10498" width="55.453125" style="28" bestFit="1" customWidth="1"/>
    <col min="10499" max="10499" width="9.54296875" style="28" customWidth="1"/>
    <col min="10500" max="10500" width="9.26953125" style="28"/>
    <col min="10501" max="10501" width="12.453125" style="28" customWidth="1"/>
    <col min="10502" max="10502" width="18.54296875" style="28" customWidth="1"/>
    <col min="10503" max="10503" width="23.54296875" style="28" customWidth="1"/>
    <col min="10504" max="10504" width="17.26953125" style="28" customWidth="1"/>
    <col min="10505" max="10505" width="21.26953125" style="28" customWidth="1"/>
    <col min="10506" max="10506" width="19.7265625" style="28" customWidth="1"/>
    <col min="10507" max="10507" width="17.54296875" style="28" customWidth="1"/>
    <col min="10508" max="10752" width="9.26953125" style="28"/>
    <col min="10753" max="10753" width="8.26953125" style="28" customWidth="1"/>
    <col min="10754" max="10754" width="55.453125" style="28" bestFit="1" customWidth="1"/>
    <col min="10755" max="10755" width="9.54296875" style="28" customWidth="1"/>
    <col min="10756" max="10756" width="9.26953125" style="28"/>
    <col min="10757" max="10757" width="12.453125" style="28" customWidth="1"/>
    <col min="10758" max="10758" width="18.54296875" style="28" customWidth="1"/>
    <col min="10759" max="10759" width="23.54296875" style="28" customWidth="1"/>
    <col min="10760" max="10760" width="17.26953125" style="28" customWidth="1"/>
    <col min="10761" max="10761" width="21.26953125" style="28" customWidth="1"/>
    <col min="10762" max="10762" width="19.7265625" style="28" customWidth="1"/>
    <col min="10763" max="10763" width="17.54296875" style="28" customWidth="1"/>
    <col min="10764" max="11008" width="9.26953125" style="28"/>
    <col min="11009" max="11009" width="8.26953125" style="28" customWidth="1"/>
    <col min="11010" max="11010" width="55.453125" style="28" bestFit="1" customWidth="1"/>
    <col min="11011" max="11011" width="9.54296875" style="28" customWidth="1"/>
    <col min="11012" max="11012" width="9.26953125" style="28"/>
    <col min="11013" max="11013" width="12.453125" style="28" customWidth="1"/>
    <col min="11014" max="11014" width="18.54296875" style="28" customWidth="1"/>
    <col min="11015" max="11015" width="23.54296875" style="28" customWidth="1"/>
    <col min="11016" max="11016" width="17.26953125" style="28" customWidth="1"/>
    <col min="11017" max="11017" width="21.26953125" style="28" customWidth="1"/>
    <col min="11018" max="11018" width="19.7265625" style="28" customWidth="1"/>
    <col min="11019" max="11019" width="17.54296875" style="28" customWidth="1"/>
    <col min="11020" max="11264" width="9.26953125" style="28"/>
    <col min="11265" max="11265" width="8.26953125" style="28" customWidth="1"/>
    <col min="11266" max="11266" width="55.453125" style="28" bestFit="1" customWidth="1"/>
    <col min="11267" max="11267" width="9.54296875" style="28" customWidth="1"/>
    <col min="11268" max="11268" width="9.26953125" style="28"/>
    <col min="11269" max="11269" width="12.453125" style="28" customWidth="1"/>
    <col min="11270" max="11270" width="18.54296875" style="28" customWidth="1"/>
    <col min="11271" max="11271" width="23.54296875" style="28" customWidth="1"/>
    <col min="11272" max="11272" width="17.26953125" style="28" customWidth="1"/>
    <col min="11273" max="11273" width="21.26953125" style="28" customWidth="1"/>
    <col min="11274" max="11274" width="19.7265625" style="28" customWidth="1"/>
    <col min="11275" max="11275" width="17.54296875" style="28" customWidth="1"/>
    <col min="11276" max="11520" width="9.26953125" style="28"/>
    <col min="11521" max="11521" width="8.26953125" style="28" customWidth="1"/>
    <col min="11522" max="11522" width="55.453125" style="28" bestFit="1" customWidth="1"/>
    <col min="11523" max="11523" width="9.54296875" style="28" customWidth="1"/>
    <col min="11524" max="11524" width="9.26953125" style="28"/>
    <col min="11525" max="11525" width="12.453125" style="28" customWidth="1"/>
    <col min="11526" max="11526" width="18.54296875" style="28" customWidth="1"/>
    <col min="11527" max="11527" width="23.54296875" style="28" customWidth="1"/>
    <col min="11528" max="11528" width="17.26953125" style="28" customWidth="1"/>
    <col min="11529" max="11529" width="21.26953125" style="28" customWidth="1"/>
    <col min="11530" max="11530" width="19.7265625" style="28" customWidth="1"/>
    <col min="11531" max="11531" width="17.54296875" style="28" customWidth="1"/>
    <col min="11532" max="11776" width="9.26953125" style="28"/>
    <col min="11777" max="11777" width="8.26953125" style="28" customWidth="1"/>
    <col min="11778" max="11778" width="55.453125" style="28" bestFit="1" customWidth="1"/>
    <col min="11779" max="11779" width="9.54296875" style="28" customWidth="1"/>
    <col min="11780" max="11780" width="9.26953125" style="28"/>
    <col min="11781" max="11781" width="12.453125" style="28" customWidth="1"/>
    <col min="11782" max="11782" width="18.54296875" style="28" customWidth="1"/>
    <col min="11783" max="11783" width="23.54296875" style="28" customWidth="1"/>
    <col min="11784" max="11784" width="17.26953125" style="28" customWidth="1"/>
    <col min="11785" max="11785" width="21.26953125" style="28" customWidth="1"/>
    <col min="11786" max="11786" width="19.7265625" style="28" customWidth="1"/>
    <col min="11787" max="11787" width="17.54296875" style="28" customWidth="1"/>
    <col min="11788" max="12032" width="9.26953125" style="28"/>
    <col min="12033" max="12033" width="8.26953125" style="28" customWidth="1"/>
    <col min="12034" max="12034" width="55.453125" style="28" bestFit="1" customWidth="1"/>
    <col min="12035" max="12035" width="9.54296875" style="28" customWidth="1"/>
    <col min="12036" max="12036" width="9.26953125" style="28"/>
    <col min="12037" max="12037" width="12.453125" style="28" customWidth="1"/>
    <col min="12038" max="12038" width="18.54296875" style="28" customWidth="1"/>
    <col min="12039" max="12039" width="23.54296875" style="28" customWidth="1"/>
    <col min="12040" max="12040" width="17.26953125" style="28" customWidth="1"/>
    <col min="12041" max="12041" width="21.26953125" style="28" customWidth="1"/>
    <col min="12042" max="12042" width="19.7265625" style="28" customWidth="1"/>
    <col min="12043" max="12043" width="17.54296875" style="28" customWidth="1"/>
    <col min="12044" max="12288" width="9.26953125" style="28"/>
    <col min="12289" max="12289" width="8.26953125" style="28" customWidth="1"/>
    <col min="12290" max="12290" width="55.453125" style="28" bestFit="1" customWidth="1"/>
    <col min="12291" max="12291" width="9.54296875" style="28" customWidth="1"/>
    <col min="12292" max="12292" width="9.26953125" style="28"/>
    <col min="12293" max="12293" width="12.453125" style="28" customWidth="1"/>
    <col min="12294" max="12294" width="18.54296875" style="28" customWidth="1"/>
    <col min="12295" max="12295" width="23.54296875" style="28" customWidth="1"/>
    <col min="12296" max="12296" width="17.26953125" style="28" customWidth="1"/>
    <col min="12297" max="12297" width="21.26953125" style="28" customWidth="1"/>
    <col min="12298" max="12298" width="19.7265625" style="28" customWidth="1"/>
    <col min="12299" max="12299" width="17.54296875" style="28" customWidth="1"/>
    <col min="12300" max="12544" width="9.26953125" style="28"/>
    <col min="12545" max="12545" width="8.26953125" style="28" customWidth="1"/>
    <col min="12546" max="12546" width="55.453125" style="28" bestFit="1" customWidth="1"/>
    <col min="12547" max="12547" width="9.54296875" style="28" customWidth="1"/>
    <col min="12548" max="12548" width="9.26953125" style="28"/>
    <col min="12549" max="12549" width="12.453125" style="28" customWidth="1"/>
    <col min="12550" max="12550" width="18.54296875" style="28" customWidth="1"/>
    <col min="12551" max="12551" width="23.54296875" style="28" customWidth="1"/>
    <col min="12552" max="12552" width="17.26953125" style="28" customWidth="1"/>
    <col min="12553" max="12553" width="21.26953125" style="28" customWidth="1"/>
    <col min="12554" max="12554" width="19.7265625" style="28" customWidth="1"/>
    <col min="12555" max="12555" width="17.54296875" style="28" customWidth="1"/>
    <col min="12556" max="12800" width="9.26953125" style="28"/>
    <col min="12801" max="12801" width="8.26953125" style="28" customWidth="1"/>
    <col min="12802" max="12802" width="55.453125" style="28" bestFit="1" customWidth="1"/>
    <col min="12803" max="12803" width="9.54296875" style="28" customWidth="1"/>
    <col min="12804" max="12804" width="9.26953125" style="28"/>
    <col min="12805" max="12805" width="12.453125" style="28" customWidth="1"/>
    <col min="12806" max="12806" width="18.54296875" style="28" customWidth="1"/>
    <col min="12807" max="12807" width="23.54296875" style="28" customWidth="1"/>
    <col min="12808" max="12808" width="17.26953125" style="28" customWidth="1"/>
    <col min="12809" max="12809" width="21.26953125" style="28" customWidth="1"/>
    <col min="12810" max="12810" width="19.7265625" style="28" customWidth="1"/>
    <col min="12811" max="12811" width="17.54296875" style="28" customWidth="1"/>
    <col min="12812" max="13056" width="9.26953125" style="28"/>
    <col min="13057" max="13057" width="8.26953125" style="28" customWidth="1"/>
    <col min="13058" max="13058" width="55.453125" style="28" bestFit="1" customWidth="1"/>
    <col min="13059" max="13059" width="9.54296875" style="28" customWidth="1"/>
    <col min="13060" max="13060" width="9.26953125" style="28"/>
    <col min="13061" max="13061" width="12.453125" style="28" customWidth="1"/>
    <col min="13062" max="13062" width="18.54296875" style="28" customWidth="1"/>
    <col min="13063" max="13063" width="23.54296875" style="28" customWidth="1"/>
    <col min="13064" max="13064" width="17.26953125" style="28" customWidth="1"/>
    <col min="13065" max="13065" width="21.26953125" style="28" customWidth="1"/>
    <col min="13066" max="13066" width="19.7265625" style="28" customWidth="1"/>
    <col min="13067" max="13067" width="17.54296875" style="28" customWidth="1"/>
    <col min="13068" max="13312" width="9.26953125" style="28"/>
    <col min="13313" max="13313" width="8.26953125" style="28" customWidth="1"/>
    <col min="13314" max="13314" width="55.453125" style="28" bestFit="1" customWidth="1"/>
    <col min="13315" max="13315" width="9.54296875" style="28" customWidth="1"/>
    <col min="13316" max="13316" width="9.26953125" style="28"/>
    <col min="13317" max="13317" width="12.453125" style="28" customWidth="1"/>
    <col min="13318" max="13318" width="18.54296875" style="28" customWidth="1"/>
    <col min="13319" max="13319" width="23.54296875" style="28" customWidth="1"/>
    <col min="13320" max="13320" width="17.26953125" style="28" customWidth="1"/>
    <col min="13321" max="13321" width="21.26953125" style="28" customWidth="1"/>
    <col min="13322" max="13322" width="19.7265625" style="28" customWidth="1"/>
    <col min="13323" max="13323" width="17.54296875" style="28" customWidth="1"/>
    <col min="13324" max="13568" width="9.26953125" style="28"/>
    <col min="13569" max="13569" width="8.26953125" style="28" customWidth="1"/>
    <col min="13570" max="13570" width="55.453125" style="28" bestFit="1" customWidth="1"/>
    <col min="13571" max="13571" width="9.54296875" style="28" customWidth="1"/>
    <col min="13572" max="13572" width="9.26953125" style="28"/>
    <col min="13573" max="13573" width="12.453125" style="28" customWidth="1"/>
    <col min="13574" max="13574" width="18.54296875" style="28" customWidth="1"/>
    <col min="13575" max="13575" width="23.54296875" style="28" customWidth="1"/>
    <col min="13576" max="13576" width="17.26953125" style="28" customWidth="1"/>
    <col min="13577" max="13577" width="21.26953125" style="28" customWidth="1"/>
    <col min="13578" max="13578" width="19.7265625" style="28" customWidth="1"/>
    <col min="13579" max="13579" width="17.54296875" style="28" customWidth="1"/>
    <col min="13580" max="13824" width="9.26953125" style="28"/>
    <col min="13825" max="13825" width="8.26953125" style="28" customWidth="1"/>
    <col min="13826" max="13826" width="55.453125" style="28" bestFit="1" customWidth="1"/>
    <col min="13827" max="13827" width="9.54296875" style="28" customWidth="1"/>
    <col min="13828" max="13828" width="9.26953125" style="28"/>
    <col min="13829" max="13829" width="12.453125" style="28" customWidth="1"/>
    <col min="13830" max="13830" width="18.54296875" style="28" customWidth="1"/>
    <col min="13831" max="13831" width="23.54296875" style="28" customWidth="1"/>
    <col min="13832" max="13832" width="17.26953125" style="28" customWidth="1"/>
    <col min="13833" max="13833" width="21.26953125" style="28" customWidth="1"/>
    <col min="13834" max="13834" width="19.7265625" style="28" customWidth="1"/>
    <col min="13835" max="13835" width="17.54296875" style="28" customWidth="1"/>
    <col min="13836" max="14080" width="9.26953125" style="28"/>
    <col min="14081" max="14081" width="8.26953125" style="28" customWidth="1"/>
    <col min="14082" max="14082" width="55.453125" style="28" bestFit="1" customWidth="1"/>
    <col min="14083" max="14083" width="9.54296875" style="28" customWidth="1"/>
    <col min="14084" max="14084" width="9.26953125" style="28"/>
    <col min="14085" max="14085" width="12.453125" style="28" customWidth="1"/>
    <col min="14086" max="14086" width="18.54296875" style="28" customWidth="1"/>
    <col min="14087" max="14087" width="23.54296875" style="28" customWidth="1"/>
    <col min="14088" max="14088" width="17.26953125" style="28" customWidth="1"/>
    <col min="14089" max="14089" width="21.26953125" style="28" customWidth="1"/>
    <col min="14090" max="14090" width="19.7265625" style="28" customWidth="1"/>
    <col min="14091" max="14091" width="17.54296875" style="28" customWidth="1"/>
    <col min="14092" max="14336" width="9.26953125" style="28"/>
    <col min="14337" max="14337" width="8.26953125" style="28" customWidth="1"/>
    <col min="14338" max="14338" width="55.453125" style="28" bestFit="1" customWidth="1"/>
    <col min="14339" max="14339" width="9.54296875" style="28" customWidth="1"/>
    <col min="14340" max="14340" width="9.26953125" style="28"/>
    <col min="14341" max="14341" width="12.453125" style="28" customWidth="1"/>
    <col min="14342" max="14342" width="18.54296875" style="28" customWidth="1"/>
    <col min="14343" max="14343" width="23.54296875" style="28" customWidth="1"/>
    <col min="14344" max="14344" width="17.26953125" style="28" customWidth="1"/>
    <col min="14345" max="14345" width="21.26953125" style="28" customWidth="1"/>
    <col min="14346" max="14346" width="19.7265625" style="28" customWidth="1"/>
    <col min="14347" max="14347" width="17.54296875" style="28" customWidth="1"/>
    <col min="14348" max="14592" width="9.26953125" style="28"/>
    <col min="14593" max="14593" width="8.26953125" style="28" customWidth="1"/>
    <col min="14594" max="14594" width="55.453125" style="28" bestFit="1" customWidth="1"/>
    <col min="14595" max="14595" width="9.54296875" style="28" customWidth="1"/>
    <col min="14596" max="14596" width="9.26953125" style="28"/>
    <col min="14597" max="14597" width="12.453125" style="28" customWidth="1"/>
    <col min="14598" max="14598" width="18.54296875" style="28" customWidth="1"/>
    <col min="14599" max="14599" width="23.54296875" style="28" customWidth="1"/>
    <col min="14600" max="14600" width="17.26953125" style="28" customWidth="1"/>
    <col min="14601" max="14601" width="21.26953125" style="28" customWidth="1"/>
    <col min="14602" max="14602" width="19.7265625" style="28" customWidth="1"/>
    <col min="14603" max="14603" width="17.54296875" style="28" customWidth="1"/>
    <col min="14604" max="14848" width="9.26953125" style="28"/>
    <col min="14849" max="14849" width="8.26953125" style="28" customWidth="1"/>
    <col min="14850" max="14850" width="55.453125" style="28" bestFit="1" customWidth="1"/>
    <col min="14851" max="14851" width="9.54296875" style="28" customWidth="1"/>
    <col min="14852" max="14852" width="9.26953125" style="28"/>
    <col min="14853" max="14853" width="12.453125" style="28" customWidth="1"/>
    <col min="14854" max="14854" width="18.54296875" style="28" customWidth="1"/>
    <col min="14855" max="14855" width="23.54296875" style="28" customWidth="1"/>
    <col min="14856" max="14856" width="17.26953125" style="28" customWidth="1"/>
    <col min="14857" max="14857" width="21.26953125" style="28" customWidth="1"/>
    <col min="14858" max="14858" width="19.7265625" style="28" customWidth="1"/>
    <col min="14859" max="14859" width="17.54296875" style="28" customWidth="1"/>
    <col min="14860" max="15104" width="9.26953125" style="28"/>
    <col min="15105" max="15105" width="8.26953125" style="28" customWidth="1"/>
    <col min="15106" max="15106" width="55.453125" style="28" bestFit="1" customWidth="1"/>
    <col min="15107" max="15107" width="9.54296875" style="28" customWidth="1"/>
    <col min="15108" max="15108" width="9.26953125" style="28"/>
    <col min="15109" max="15109" width="12.453125" style="28" customWidth="1"/>
    <col min="15110" max="15110" width="18.54296875" style="28" customWidth="1"/>
    <col min="15111" max="15111" width="23.54296875" style="28" customWidth="1"/>
    <col min="15112" max="15112" width="17.26953125" style="28" customWidth="1"/>
    <col min="15113" max="15113" width="21.26953125" style="28" customWidth="1"/>
    <col min="15114" max="15114" width="19.7265625" style="28" customWidth="1"/>
    <col min="15115" max="15115" width="17.54296875" style="28" customWidth="1"/>
    <col min="15116" max="15360" width="9.26953125" style="28"/>
    <col min="15361" max="15361" width="8.26953125" style="28" customWidth="1"/>
    <col min="15362" max="15362" width="55.453125" style="28" bestFit="1" customWidth="1"/>
    <col min="15363" max="15363" width="9.54296875" style="28" customWidth="1"/>
    <col min="15364" max="15364" width="9.26953125" style="28"/>
    <col min="15365" max="15365" width="12.453125" style="28" customWidth="1"/>
    <col min="15366" max="15366" width="18.54296875" style="28" customWidth="1"/>
    <col min="15367" max="15367" width="23.54296875" style="28" customWidth="1"/>
    <col min="15368" max="15368" width="17.26953125" style="28" customWidth="1"/>
    <col min="15369" max="15369" width="21.26953125" style="28" customWidth="1"/>
    <col min="15370" max="15370" width="19.7265625" style="28" customWidth="1"/>
    <col min="15371" max="15371" width="17.54296875" style="28" customWidth="1"/>
    <col min="15372" max="15616" width="9.26953125" style="28"/>
    <col min="15617" max="15617" width="8.26953125" style="28" customWidth="1"/>
    <col min="15618" max="15618" width="55.453125" style="28" bestFit="1" customWidth="1"/>
    <col min="15619" max="15619" width="9.54296875" style="28" customWidth="1"/>
    <col min="15620" max="15620" width="9.26953125" style="28"/>
    <col min="15621" max="15621" width="12.453125" style="28" customWidth="1"/>
    <col min="15622" max="15622" width="18.54296875" style="28" customWidth="1"/>
    <col min="15623" max="15623" width="23.54296875" style="28" customWidth="1"/>
    <col min="15624" max="15624" width="17.26953125" style="28" customWidth="1"/>
    <col min="15625" max="15625" width="21.26953125" style="28" customWidth="1"/>
    <col min="15626" max="15626" width="19.7265625" style="28" customWidth="1"/>
    <col min="15627" max="15627" width="17.54296875" style="28" customWidth="1"/>
    <col min="15628" max="15872" width="9.26953125" style="28"/>
    <col min="15873" max="15873" width="8.26953125" style="28" customWidth="1"/>
    <col min="15874" max="15874" width="55.453125" style="28" bestFit="1" customWidth="1"/>
    <col min="15875" max="15875" width="9.54296875" style="28" customWidth="1"/>
    <col min="15876" max="15876" width="9.26953125" style="28"/>
    <col min="15877" max="15877" width="12.453125" style="28" customWidth="1"/>
    <col min="15878" max="15878" width="18.54296875" style="28" customWidth="1"/>
    <col min="15879" max="15879" width="23.54296875" style="28" customWidth="1"/>
    <col min="15880" max="15880" width="17.26953125" style="28" customWidth="1"/>
    <col min="15881" max="15881" width="21.26953125" style="28" customWidth="1"/>
    <col min="15882" max="15882" width="19.7265625" style="28" customWidth="1"/>
    <col min="15883" max="15883" width="17.54296875" style="28" customWidth="1"/>
    <col min="15884" max="16128" width="9.26953125" style="28"/>
    <col min="16129" max="16129" width="8.26953125" style="28" customWidth="1"/>
    <col min="16130" max="16130" width="55.453125" style="28" bestFit="1" customWidth="1"/>
    <col min="16131" max="16131" width="9.54296875" style="28" customWidth="1"/>
    <col min="16132" max="16132" width="9.26953125" style="28"/>
    <col min="16133" max="16133" width="12.453125" style="28" customWidth="1"/>
    <col min="16134" max="16134" width="18.54296875" style="28" customWidth="1"/>
    <col min="16135" max="16135" width="23.54296875" style="28" customWidth="1"/>
    <col min="16136" max="16136" width="17.26953125" style="28" customWidth="1"/>
    <col min="16137" max="16137" width="21.26953125" style="28" customWidth="1"/>
    <col min="16138" max="16138" width="19.7265625" style="28" customWidth="1"/>
    <col min="16139" max="16139" width="17.54296875" style="28" customWidth="1"/>
    <col min="16140"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61" t="s">
        <v>837</v>
      </c>
      <c r="D5" s="1362"/>
      <c r="E5" s="1362"/>
      <c r="F5" s="1362"/>
      <c r="G5" s="1364"/>
      <c r="H5" s="742"/>
      <c r="I5" s="742"/>
      <c r="J5" s="742"/>
      <c r="K5" s="742"/>
    </row>
    <row r="6" spans="1:11" ht="18" customHeight="1" x14ac:dyDescent="0.3">
      <c r="A6" s="633"/>
      <c r="B6" s="733" t="s">
        <v>3</v>
      </c>
      <c r="C6" s="1365">
        <v>60</v>
      </c>
      <c r="D6" s="1366"/>
      <c r="E6" s="1366"/>
      <c r="F6" s="1366"/>
      <c r="G6" s="1367"/>
      <c r="H6" s="742"/>
      <c r="I6" s="742"/>
      <c r="J6" s="742"/>
      <c r="K6" s="742"/>
    </row>
    <row r="7" spans="1:11" ht="18" customHeight="1" x14ac:dyDescent="0.3">
      <c r="A7" s="633"/>
      <c r="B7" s="733" t="s">
        <v>4</v>
      </c>
      <c r="C7" s="1368">
        <v>424</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61" t="s">
        <v>838</v>
      </c>
      <c r="D9" s="1362"/>
      <c r="E9" s="1362"/>
      <c r="F9" s="1362"/>
      <c r="G9" s="1364"/>
      <c r="H9" s="742"/>
      <c r="I9" s="742"/>
      <c r="J9" s="742"/>
      <c r="K9" s="742"/>
    </row>
    <row r="10" spans="1:11" ht="18" customHeight="1" x14ac:dyDescent="0.3">
      <c r="A10" s="633"/>
      <c r="B10" s="733" t="s">
        <v>2</v>
      </c>
      <c r="C10" s="1389" t="s">
        <v>839</v>
      </c>
      <c r="D10" s="1390"/>
      <c r="E10" s="1390"/>
      <c r="F10" s="1390"/>
      <c r="G10" s="1391"/>
      <c r="H10" s="742"/>
      <c r="I10" s="742"/>
      <c r="J10" s="742"/>
      <c r="K10" s="742"/>
    </row>
    <row r="11" spans="1:11" ht="18" customHeight="1" x14ac:dyDescent="0.3">
      <c r="A11" s="633"/>
      <c r="B11" s="733" t="s">
        <v>32</v>
      </c>
      <c r="C11" s="1361" t="s">
        <v>840</v>
      </c>
      <c r="D11" s="1362"/>
      <c r="E11" s="1362"/>
      <c r="F11" s="1362"/>
      <c r="G11" s="1362"/>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1105570.8925602364</v>
      </c>
      <c r="I18" s="673"/>
      <c r="J18" s="647">
        <v>934426</v>
      </c>
      <c r="K18" s="648">
        <f>(H18+I18)-J18</f>
        <v>171144.89256023639</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53</v>
      </c>
      <c r="G21" s="646">
        <v>252</v>
      </c>
      <c r="H21" s="647">
        <v>2261</v>
      </c>
      <c r="I21" s="673">
        <v>0</v>
      </c>
      <c r="J21" s="647"/>
      <c r="K21" s="648">
        <f t="shared" ref="K21:K34" si="0">(H21+I21)-J21</f>
        <v>2261</v>
      </c>
    </row>
    <row r="22" spans="1:11" ht="18" customHeight="1" x14ac:dyDescent="0.3">
      <c r="A22" s="639" t="s">
        <v>76</v>
      </c>
      <c r="B22" s="742" t="s">
        <v>6</v>
      </c>
      <c r="C22" s="742"/>
      <c r="D22" s="742"/>
      <c r="E22" s="742"/>
      <c r="F22" s="646"/>
      <c r="G22" s="646"/>
      <c r="H22" s="647"/>
      <c r="I22" s="673">
        <f t="shared" ref="I22:I34" si="1">H22*F$114</f>
        <v>0</v>
      </c>
      <c r="J22" s="647"/>
      <c r="K22" s="648">
        <f t="shared" si="0"/>
        <v>0</v>
      </c>
    </row>
    <row r="23" spans="1:11" ht="18" customHeight="1" x14ac:dyDescent="0.3">
      <c r="A23" s="639" t="s">
        <v>77</v>
      </c>
      <c r="B23" s="742" t="s">
        <v>43</v>
      </c>
      <c r="C23" s="742"/>
      <c r="D23" s="742"/>
      <c r="E23" s="742"/>
      <c r="F23" s="646"/>
      <c r="G23" s="646"/>
      <c r="H23" s="647"/>
      <c r="I23" s="673">
        <f t="shared" si="1"/>
        <v>0</v>
      </c>
      <c r="J23" s="647"/>
      <c r="K23" s="648">
        <f t="shared" si="0"/>
        <v>0</v>
      </c>
    </row>
    <row r="24" spans="1:11" ht="18" customHeight="1" x14ac:dyDescent="0.3">
      <c r="A24" s="639" t="s">
        <v>78</v>
      </c>
      <c r="B24" s="742" t="s">
        <v>44</v>
      </c>
      <c r="C24" s="742"/>
      <c r="D24" s="742"/>
      <c r="E24" s="742"/>
      <c r="F24" s="646"/>
      <c r="G24" s="646"/>
      <c r="H24" s="647"/>
      <c r="I24" s="673">
        <f t="shared" si="1"/>
        <v>0</v>
      </c>
      <c r="J24" s="647"/>
      <c r="K24" s="648">
        <f t="shared" si="0"/>
        <v>0</v>
      </c>
    </row>
    <row r="25" spans="1:11" ht="18" customHeight="1" x14ac:dyDescent="0.35">
      <c r="A25" s="639" t="s">
        <v>79</v>
      </c>
      <c r="B25" s="742" t="s">
        <v>5</v>
      </c>
      <c r="C25" s="742"/>
      <c r="D25" s="742"/>
      <c r="E25" s="742"/>
      <c r="F25" s="497">
        <v>312</v>
      </c>
      <c r="G25" s="497">
        <v>1625</v>
      </c>
      <c r="H25" s="498">
        <v>17755.13</v>
      </c>
      <c r="I25" s="673">
        <f t="shared" si="1"/>
        <v>0</v>
      </c>
      <c r="J25" s="647"/>
      <c r="K25" s="648">
        <f t="shared" si="0"/>
        <v>17755.13</v>
      </c>
    </row>
    <row r="26" spans="1:11" ht="18" customHeight="1" x14ac:dyDescent="0.3">
      <c r="A26" s="639" t="s">
        <v>80</v>
      </c>
      <c r="B26" s="742" t="s">
        <v>45</v>
      </c>
      <c r="C26" s="742"/>
      <c r="D26" s="742"/>
      <c r="E26" s="742"/>
      <c r="F26" s="646"/>
      <c r="G26" s="646"/>
      <c r="H26" s="647"/>
      <c r="I26" s="673">
        <f t="shared" si="1"/>
        <v>0</v>
      </c>
      <c r="J26" s="647"/>
      <c r="K26" s="648">
        <f t="shared" si="0"/>
        <v>0</v>
      </c>
    </row>
    <row r="27" spans="1:11" ht="18" customHeight="1" x14ac:dyDescent="0.3">
      <c r="A27" s="639" t="s">
        <v>81</v>
      </c>
      <c r="B27" s="742" t="s">
        <v>46</v>
      </c>
      <c r="C27" s="742"/>
      <c r="D27" s="742"/>
      <c r="E27" s="742"/>
      <c r="F27" s="646"/>
      <c r="G27" s="646"/>
      <c r="H27" s="647"/>
      <c r="I27" s="673">
        <f t="shared" si="1"/>
        <v>0</v>
      </c>
      <c r="J27" s="647"/>
      <c r="K27" s="648">
        <f t="shared" si="0"/>
        <v>0</v>
      </c>
    </row>
    <row r="28" spans="1:11" ht="18" customHeight="1" x14ac:dyDescent="0.3">
      <c r="A28" s="639" t="s">
        <v>82</v>
      </c>
      <c r="B28" s="742" t="s">
        <v>47</v>
      </c>
      <c r="C28" s="742"/>
      <c r="D28" s="742"/>
      <c r="E28" s="742"/>
      <c r="F28" s="646"/>
      <c r="G28" s="646"/>
      <c r="H28" s="647"/>
      <c r="I28" s="673">
        <f t="shared" si="1"/>
        <v>0</v>
      </c>
      <c r="J28" s="647"/>
      <c r="K28" s="648">
        <f t="shared" si="0"/>
        <v>0</v>
      </c>
    </row>
    <row r="29" spans="1:11" ht="18" customHeight="1" x14ac:dyDescent="0.3">
      <c r="A29" s="639" t="s">
        <v>83</v>
      </c>
      <c r="B29" s="742" t="s">
        <v>48</v>
      </c>
      <c r="C29" s="742"/>
      <c r="D29" s="742"/>
      <c r="E29" s="742"/>
      <c r="F29" s="646"/>
      <c r="G29" s="646"/>
      <c r="H29" s="647"/>
      <c r="I29" s="673">
        <f t="shared" si="1"/>
        <v>0</v>
      </c>
      <c r="J29" s="647"/>
      <c r="K29" s="648">
        <f t="shared" si="0"/>
        <v>0</v>
      </c>
    </row>
    <row r="30" spans="1:11" ht="18" customHeight="1" x14ac:dyDescent="0.3">
      <c r="A30" s="639" t="s">
        <v>84</v>
      </c>
      <c r="B30" s="1351"/>
      <c r="C30" s="1352"/>
      <c r="D30" s="1353"/>
      <c r="E30" s="742"/>
      <c r="F30" s="646"/>
      <c r="G30" s="646"/>
      <c r="H30" s="647"/>
      <c r="I30" s="673">
        <f t="shared" si="1"/>
        <v>0</v>
      </c>
      <c r="J30" s="647"/>
      <c r="K30" s="648">
        <f t="shared" si="0"/>
        <v>0</v>
      </c>
    </row>
    <row r="31" spans="1:11" ht="18" customHeight="1" x14ac:dyDescent="0.3">
      <c r="A31" s="639" t="s">
        <v>133</v>
      </c>
      <c r="B31" s="1351"/>
      <c r="C31" s="1352"/>
      <c r="D31" s="1353"/>
      <c r="E31" s="742"/>
      <c r="F31" s="646"/>
      <c r="G31" s="646"/>
      <c r="H31" s="647"/>
      <c r="I31" s="673">
        <f t="shared" si="1"/>
        <v>0</v>
      </c>
      <c r="J31" s="647"/>
      <c r="K31" s="648">
        <f t="shared" si="0"/>
        <v>0</v>
      </c>
    </row>
    <row r="32" spans="1:11" ht="18" customHeight="1" x14ac:dyDescent="0.3">
      <c r="A32" s="639" t="s">
        <v>134</v>
      </c>
      <c r="B32" s="909"/>
      <c r="C32" s="910"/>
      <c r="D32" s="911"/>
      <c r="E32" s="742"/>
      <c r="F32" s="646"/>
      <c r="G32" s="675"/>
      <c r="H32" s="647"/>
      <c r="I32" s="673">
        <f t="shared" si="1"/>
        <v>0</v>
      </c>
      <c r="J32" s="647"/>
      <c r="K32" s="648">
        <f t="shared" si="0"/>
        <v>0</v>
      </c>
    </row>
    <row r="33" spans="1:11" ht="18" customHeight="1" x14ac:dyDescent="0.3">
      <c r="A33" s="639" t="s">
        <v>135</v>
      </c>
      <c r="B33" s="909"/>
      <c r="C33" s="910"/>
      <c r="D33" s="911"/>
      <c r="E33" s="742"/>
      <c r="F33" s="646"/>
      <c r="G33" s="675"/>
      <c r="H33" s="647"/>
      <c r="I33" s="673">
        <f t="shared" si="1"/>
        <v>0</v>
      </c>
      <c r="J33" s="647"/>
      <c r="K33" s="648">
        <f t="shared" si="0"/>
        <v>0</v>
      </c>
    </row>
    <row r="34" spans="1:11" ht="18" customHeight="1" x14ac:dyDescent="0.3">
      <c r="A34" s="639" t="s">
        <v>136</v>
      </c>
      <c r="B34" s="1351"/>
      <c r="C34" s="1352"/>
      <c r="D34" s="1353"/>
      <c r="E34" s="742"/>
      <c r="F34" s="646"/>
      <c r="G34" s="675"/>
      <c r="H34" s="647"/>
      <c r="I34" s="673">
        <f t="shared" si="1"/>
        <v>0</v>
      </c>
      <c r="J34" s="647"/>
      <c r="K34" s="648">
        <f t="shared" si="0"/>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365</v>
      </c>
      <c r="G36" s="650">
        <f t="shared" si="2"/>
        <v>1877</v>
      </c>
      <c r="H36" s="650">
        <f t="shared" si="2"/>
        <v>20016.13</v>
      </c>
      <c r="I36" s="648">
        <f t="shared" si="2"/>
        <v>0</v>
      </c>
      <c r="J36" s="648">
        <f t="shared" si="2"/>
        <v>0</v>
      </c>
      <c r="K36" s="648">
        <f t="shared" si="2"/>
        <v>20016.13</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v>712</v>
      </c>
      <c r="G40" s="646">
        <v>5</v>
      </c>
      <c r="H40" s="647">
        <v>100691.08</v>
      </c>
      <c r="I40" s="673">
        <v>7342.98</v>
      </c>
      <c r="J40" s="647"/>
      <c r="K40" s="648">
        <f t="shared" ref="K40:K47" si="3">(H40+I40)-J40</f>
        <v>108034.06</v>
      </c>
    </row>
    <row r="41" spans="1:11" ht="18" customHeight="1" x14ac:dyDescent="0.3">
      <c r="A41" s="639" t="s">
        <v>88</v>
      </c>
      <c r="B41" s="1359" t="s">
        <v>50</v>
      </c>
      <c r="C41" s="1359"/>
      <c r="D41" s="742"/>
      <c r="E41" s="742"/>
      <c r="F41" s="646">
        <v>12960</v>
      </c>
      <c r="G41" s="646">
        <v>60</v>
      </c>
      <c r="H41" s="647">
        <v>518400</v>
      </c>
      <c r="I41" s="673">
        <v>160704</v>
      </c>
      <c r="J41" s="647"/>
      <c r="K41" s="648">
        <f t="shared" si="3"/>
        <v>679104</v>
      </c>
    </row>
    <row r="42" spans="1:11" ht="18" customHeight="1" x14ac:dyDescent="0.3">
      <c r="A42" s="639" t="s">
        <v>89</v>
      </c>
      <c r="B42" s="635" t="s">
        <v>11</v>
      </c>
      <c r="C42" s="742"/>
      <c r="D42" s="742"/>
      <c r="E42" s="742"/>
      <c r="F42" s="646"/>
      <c r="G42" s="646"/>
      <c r="H42" s="647"/>
      <c r="I42" s="673">
        <v>0</v>
      </c>
      <c r="J42" s="647"/>
      <c r="K42" s="648">
        <f t="shared" si="3"/>
        <v>0</v>
      </c>
    </row>
    <row r="43" spans="1:11" ht="18" customHeight="1" x14ac:dyDescent="0.3">
      <c r="A43" s="639" t="s">
        <v>90</v>
      </c>
      <c r="B43" s="670" t="s">
        <v>10</v>
      </c>
      <c r="C43" s="642"/>
      <c r="D43" s="642"/>
      <c r="E43" s="742"/>
      <c r="F43" s="646"/>
      <c r="G43" s="646"/>
      <c r="H43" s="647"/>
      <c r="I43" s="673">
        <v>0</v>
      </c>
      <c r="J43" s="647"/>
      <c r="K43" s="648">
        <f t="shared" si="3"/>
        <v>0</v>
      </c>
    </row>
    <row r="44" spans="1:11" ht="18" customHeight="1" x14ac:dyDescent="0.3">
      <c r="A44" s="639" t="s">
        <v>91</v>
      </c>
      <c r="B44" s="1351"/>
      <c r="C44" s="1352"/>
      <c r="D44" s="1353"/>
      <c r="E44" s="742"/>
      <c r="F44" s="677"/>
      <c r="G44" s="677"/>
      <c r="H44" s="67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13672</v>
      </c>
      <c r="G49" s="654">
        <f t="shared" si="4"/>
        <v>65</v>
      </c>
      <c r="H49" s="648">
        <f t="shared" si="4"/>
        <v>619091.07999999996</v>
      </c>
      <c r="I49" s="648">
        <f t="shared" si="4"/>
        <v>168046.98</v>
      </c>
      <c r="J49" s="648">
        <f t="shared" si="4"/>
        <v>0</v>
      </c>
      <c r="K49" s="648">
        <f t="shared" si="4"/>
        <v>787138.06</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841</v>
      </c>
      <c r="C53" s="1355"/>
      <c r="D53" s="1356"/>
      <c r="E53" s="742"/>
      <c r="F53" s="646">
        <v>2080</v>
      </c>
      <c r="G53" s="646">
        <v>2708</v>
      </c>
      <c r="H53" s="647">
        <v>115453</v>
      </c>
      <c r="I53" s="673">
        <v>7369</v>
      </c>
      <c r="J53" s="647">
        <v>122822</v>
      </c>
      <c r="K53" s="648">
        <f t="shared" ref="K53:K62" si="5">(H53+I53)-J53</f>
        <v>0</v>
      </c>
    </row>
    <row r="54" spans="1:11" ht="18" customHeight="1" x14ac:dyDescent="0.3">
      <c r="A54" s="639" t="s">
        <v>93</v>
      </c>
      <c r="B54" s="912"/>
      <c r="C54" s="913"/>
      <c r="D54" s="914"/>
      <c r="E54" s="742"/>
      <c r="F54" s="646"/>
      <c r="G54" s="646"/>
      <c r="H54" s="647"/>
      <c r="I54" s="673">
        <v>0</v>
      </c>
      <c r="J54" s="647"/>
      <c r="K54" s="648">
        <f t="shared" si="5"/>
        <v>0</v>
      </c>
    </row>
    <row r="55" spans="1:11" ht="18" customHeight="1" x14ac:dyDescent="0.3">
      <c r="A55" s="639" t="s">
        <v>94</v>
      </c>
      <c r="B55" s="1354"/>
      <c r="C55" s="1355"/>
      <c r="D55" s="1356"/>
      <c r="E55" s="742"/>
      <c r="F55" s="646"/>
      <c r="G55" s="646"/>
      <c r="H55" s="647"/>
      <c r="I55" s="673">
        <v>0</v>
      </c>
      <c r="J55" s="647"/>
      <c r="K55" s="648">
        <f t="shared" si="5"/>
        <v>0</v>
      </c>
    </row>
    <row r="56" spans="1:11" ht="18" customHeight="1" x14ac:dyDescent="0.3">
      <c r="A56" s="639" t="s">
        <v>95</v>
      </c>
      <c r="B56" s="1354"/>
      <c r="C56" s="1355"/>
      <c r="D56" s="1356"/>
      <c r="E56" s="742"/>
      <c r="F56" s="646"/>
      <c r="G56" s="646"/>
      <c r="H56" s="647"/>
      <c r="I56" s="673">
        <v>0</v>
      </c>
      <c r="J56" s="647"/>
      <c r="K56" s="648">
        <f t="shared" si="5"/>
        <v>0</v>
      </c>
    </row>
    <row r="57" spans="1:11" ht="18" customHeight="1" x14ac:dyDescent="0.3">
      <c r="A57" s="639" t="s">
        <v>96</v>
      </c>
      <c r="B57" s="1354"/>
      <c r="C57" s="1355"/>
      <c r="D57" s="1356"/>
      <c r="E57" s="742"/>
      <c r="F57" s="646"/>
      <c r="G57" s="646"/>
      <c r="H57" s="647"/>
      <c r="I57" s="673">
        <v>0</v>
      </c>
      <c r="J57" s="647"/>
      <c r="K57" s="648">
        <f t="shared" si="5"/>
        <v>0</v>
      </c>
    </row>
    <row r="58" spans="1:11" ht="18" customHeight="1" x14ac:dyDescent="0.3">
      <c r="A58" s="639" t="s">
        <v>97</v>
      </c>
      <c r="B58" s="912"/>
      <c r="C58" s="913"/>
      <c r="D58" s="914"/>
      <c r="E58" s="742"/>
      <c r="F58" s="646"/>
      <c r="G58" s="646"/>
      <c r="H58" s="647"/>
      <c r="I58" s="673">
        <v>0</v>
      </c>
      <c r="J58" s="647"/>
      <c r="K58" s="648">
        <f t="shared" si="5"/>
        <v>0</v>
      </c>
    </row>
    <row r="59" spans="1:11" ht="18" customHeight="1" x14ac:dyDescent="0.3">
      <c r="A59" s="639" t="s">
        <v>98</v>
      </c>
      <c r="B59" s="1354"/>
      <c r="C59" s="1355"/>
      <c r="D59" s="1356"/>
      <c r="E59" s="742"/>
      <c r="F59" s="646"/>
      <c r="G59" s="646"/>
      <c r="H59" s="647"/>
      <c r="I59" s="673">
        <v>0</v>
      </c>
      <c r="J59" s="647"/>
      <c r="K59" s="648">
        <f t="shared" si="5"/>
        <v>0</v>
      </c>
    </row>
    <row r="60" spans="1:11" ht="18" customHeight="1" x14ac:dyDescent="0.3">
      <c r="A60" s="639" t="s">
        <v>99</v>
      </c>
      <c r="B60" s="912"/>
      <c r="C60" s="913"/>
      <c r="D60" s="914"/>
      <c r="E60" s="742"/>
      <c r="F60" s="646"/>
      <c r="G60" s="646"/>
      <c r="H60" s="647"/>
      <c r="I60" s="673">
        <v>0</v>
      </c>
      <c r="J60" s="647"/>
      <c r="K60" s="648">
        <f t="shared" si="5"/>
        <v>0</v>
      </c>
    </row>
    <row r="61" spans="1:11" ht="18" customHeight="1" x14ac:dyDescent="0.3">
      <c r="A61" s="639" t="s">
        <v>100</v>
      </c>
      <c r="B61" s="912"/>
      <c r="C61" s="913"/>
      <c r="D61" s="914"/>
      <c r="E61" s="742"/>
      <c r="F61" s="646"/>
      <c r="G61" s="646"/>
      <c r="H61" s="647"/>
      <c r="I61" s="673">
        <v>0</v>
      </c>
      <c r="J61" s="647"/>
      <c r="K61" s="648">
        <f t="shared" si="5"/>
        <v>0</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2080</v>
      </c>
      <c r="G64" s="650">
        <f t="shared" si="6"/>
        <v>2708</v>
      </c>
      <c r="H64" s="648">
        <f t="shared" si="6"/>
        <v>115453</v>
      </c>
      <c r="I64" s="648">
        <f t="shared" si="6"/>
        <v>7369</v>
      </c>
      <c r="J64" s="648">
        <f t="shared" si="6"/>
        <v>122822</v>
      </c>
      <c r="K64" s="648">
        <f t="shared" si="6"/>
        <v>0</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912"/>
      <c r="C70" s="913"/>
      <c r="D70" s="914"/>
      <c r="E70" s="636"/>
      <c r="F70" s="658"/>
      <c r="G70" s="658"/>
      <c r="H70" s="659"/>
      <c r="I70" s="673">
        <v>0</v>
      </c>
      <c r="J70" s="659"/>
      <c r="K70" s="648">
        <f>(H70+I70)-J70</f>
        <v>0</v>
      </c>
    </row>
    <row r="71" spans="1:11" ht="18" customHeight="1" x14ac:dyDescent="0.3">
      <c r="A71" s="639" t="s">
        <v>179</v>
      </c>
      <c r="B71" s="912"/>
      <c r="C71" s="913"/>
      <c r="D71" s="914"/>
      <c r="E71" s="636"/>
      <c r="F71" s="658"/>
      <c r="G71" s="658"/>
      <c r="H71" s="659"/>
      <c r="I71" s="673">
        <v>0</v>
      </c>
      <c r="J71" s="659"/>
      <c r="K71" s="648">
        <f>(H71+I71)-J71</f>
        <v>0</v>
      </c>
    </row>
    <row r="72" spans="1:11" ht="18" customHeight="1" x14ac:dyDescent="0.3">
      <c r="A72" s="639" t="s">
        <v>180</v>
      </c>
      <c r="B72" s="930"/>
      <c r="C72" s="929"/>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v>700</v>
      </c>
      <c r="I77" s="673">
        <v>0</v>
      </c>
      <c r="J77" s="647"/>
      <c r="K77" s="648">
        <f>(H77+I77)-J77</f>
        <v>700</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c r="G79" s="646"/>
      <c r="H79" s="647"/>
      <c r="I79" s="673">
        <v>0</v>
      </c>
      <c r="J79" s="647"/>
      <c r="K79" s="648">
        <f>(H79+I79)-J79</f>
        <v>0</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0</v>
      </c>
      <c r="G82" s="653">
        <f t="shared" si="8"/>
        <v>0</v>
      </c>
      <c r="H82" s="649">
        <f t="shared" si="8"/>
        <v>700</v>
      </c>
      <c r="I82" s="649">
        <f t="shared" si="8"/>
        <v>0</v>
      </c>
      <c r="J82" s="649">
        <f t="shared" si="8"/>
        <v>0</v>
      </c>
      <c r="K82" s="649">
        <f t="shared" si="8"/>
        <v>700</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639" t="s">
        <v>114</v>
      </c>
      <c r="B87" s="635" t="s">
        <v>14</v>
      </c>
      <c r="C87" s="742"/>
      <c r="D87" s="742"/>
      <c r="E87" s="742"/>
      <c r="F87" s="646"/>
      <c r="G87" s="646"/>
      <c r="H87" s="647"/>
      <c r="I87" s="673">
        <f t="shared" si="9"/>
        <v>0</v>
      </c>
      <c r="J87" s="647"/>
      <c r="K87" s="648">
        <f t="shared" si="10"/>
        <v>0</v>
      </c>
    </row>
    <row r="88" spans="1:11" ht="18" customHeight="1" x14ac:dyDescent="0.3">
      <c r="A88" s="639" t="s">
        <v>115</v>
      </c>
      <c r="B88" s="635" t="s">
        <v>116</v>
      </c>
      <c r="C88" s="742"/>
      <c r="D88" s="742"/>
      <c r="E88" s="742"/>
      <c r="F88" s="646"/>
      <c r="G88" s="646"/>
      <c r="H88" s="647"/>
      <c r="I88" s="673">
        <f t="shared" si="9"/>
        <v>0</v>
      </c>
      <c r="J88" s="647"/>
      <c r="K88" s="648">
        <f t="shared" si="10"/>
        <v>0</v>
      </c>
    </row>
    <row r="89" spans="1:11" ht="18" customHeight="1" x14ac:dyDescent="0.3">
      <c r="A89" s="639" t="s">
        <v>117</v>
      </c>
      <c r="B89" s="635" t="s">
        <v>58</v>
      </c>
      <c r="C89" s="742"/>
      <c r="D89" s="742"/>
      <c r="E89" s="742"/>
      <c r="F89" s="646"/>
      <c r="G89" s="646"/>
      <c r="H89" s="647"/>
      <c r="I89" s="673">
        <f t="shared" si="9"/>
        <v>0</v>
      </c>
      <c r="J89" s="647"/>
      <c r="K89" s="648">
        <f t="shared" si="10"/>
        <v>0</v>
      </c>
    </row>
    <row r="90" spans="1:11" ht="18" customHeight="1" x14ac:dyDescent="0.3">
      <c r="A90" s="639" t="s">
        <v>118</v>
      </c>
      <c r="B90" s="1359" t="s">
        <v>59</v>
      </c>
      <c r="C90" s="1359"/>
      <c r="D90" s="742"/>
      <c r="E90" s="742"/>
      <c r="F90" s="646"/>
      <c r="G90" s="646"/>
      <c r="H90" s="647"/>
      <c r="I90" s="673">
        <f t="shared" si="9"/>
        <v>0</v>
      </c>
      <c r="J90" s="647"/>
      <c r="K90" s="648">
        <f t="shared" si="10"/>
        <v>0</v>
      </c>
    </row>
    <row r="91" spans="1:11" ht="18" customHeight="1" x14ac:dyDescent="0.3">
      <c r="A91" s="639" t="s">
        <v>119</v>
      </c>
      <c r="B91" s="635" t="s">
        <v>60</v>
      </c>
      <c r="C91" s="742"/>
      <c r="D91" s="742"/>
      <c r="E91" s="742"/>
      <c r="F91" s="646"/>
      <c r="G91" s="646"/>
      <c r="H91" s="647"/>
      <c r="I91" s="673">
        <f t="shared" si="9"/>
        <v>0</v>
      </c>
      <c r="J91" s="647"/>
      <c r="K91" s="648">
        <f t="shared" si="10"/>
        <v>0</v>
      </c>
    </row>
    <row r="92" spans="1:11" ht="18" customHeight="1" x14ac:dyDescent="0.3">
      <c r="A92" s="639" t="s">
        <v>120</v>
      </c>
      <c r="B92" s="635" t="s">
        <v>121</v>
      </c>
      <c r="C92" s="742"/>
      <c r="D92" s="742"/>
      <c r="E92" s="742"/>
      <c r="F92" s="661"/>
      <c r="G92" s="661"/>
      <c r="H92" s="662"/>
      <c r="I92" s="673">
        <f t="shared" si="9"/>
        <v>0</v>
      </c>
      <c r="J92" s="662"/>
      <c r="K92" s="648">
        <f t="shared" si="10"/>
        <v>0</v>
      </c>
    </row>
    <row r="93" spans="1:11" ht="18" customHeight="1" x14ac:dyDescent="0.3">
      <c r="A93" s="639" t="s">
        <v>122</v>
      </c>
      <c r="B93" s="635" t="s">
        <v>123</v>
      </c>
      <c r="C93" s="742"/>
      <c r="D93" s="742"/>
      <c r="E93" s="742"/>
      <c r="F93" s="646"/>
      <c r="G93" s="646"/>
      <c r="H93" s="647"/>
      <c r="I93" s="673">
        <f t="shared" si="9"/>
        <v>0</v>
      </c>
      <c r="J93" s="647"/>
      <c r="K93" s="648">
        <f t="shared" si="10"/>
        <v>0</v>
      </c>
    </row>
    <row r="94" spans="1:11" ht="18" customHeight="1" x14ac:dyDescent="0.3">
      <c r="A94" s="639" t="s">
        <v>124</v>
      </c>
      <c r="B94" s="1354"/>
      <c r="C94" s="1355"/>
      <c r="D94" s="1356"/>
      <c r="E94" s="742"/>
      <c r="F94" s="646"/>
      <c r="G94" s="646"/>
      <c r="H94" s="647"/>
      <c r="I94" s="673">
        <f t="shared" si="9"/>
        <v>0</v>
      </c>
      <c r="J94" s="647"/>
      <c r="K94" s="648">
        <f t="shared" si="10"/>
        <v>0</v>
      </c>
    </row>
    <row r="95" spans="1:11" ht="18" customHeight="1" x14ac:dyDescent="0.3">
      <c r="A95" s="639" t="s">
        <v>125</v>
      </c>
      <c r="B95" s="1354"/>
      <c r="C95" s="1355"/>
      <c r="D95" s="1356"/>
      <c r="E95" s="742"/>
      <c r="F95" s="646"/>
      <c r="G95" s="646"/>
      <c r="H95" s="647"/>
      <c r="I95" s="673">
        <f t="shared" si="9"/>
        <v>0</v>
      </c>
      <c r="J95" s="647"/>
      <c r="K95" s="648">
        <f t="shared" si="10"/>
        <v>0</v>
      </c>
    </row>
    <row r="96" spans="1:11" ht="18" customHeight="1" x14ac:dyDescent="0.3">
      <c r="A96" s="639" t="s">
        <v>126</v>
      </c>
      <c r="B96" s="1354"/>
      <c r="C96" s="1355"/>
      <c r="D96" s="1356"/>
      <c r="E96" s="742"/>
      <c r="F96" s="646"/>
      <c r="G96" s="646"/>
      <c r="H96" s="647"/>
      <c r="I96" s="673">
        <f t="shared" si="9"/>
        <v>0</v>
      </c>
      <c r="J96" s="647"/>
      <c r="K96" s="648">
        <f t="shared" si="10"/>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0</v>
      </c>
      <c r="G98" s="650">
        <f t="shared" si="11"/>
        <v>0</v>
      </c>
      <c r="H98" s="650">
        <f t="shared" si="11"/>
        <v>0</v>
      </c>
      <c r="I98" s="650">
        <f t="shared" si="11"/>
        <v>0</v>
      </c>
      <c r="J98" s="650">
        <f t="shared" si="11"/>
        <v>0</v>
      </c>
      <c r="K98" s="650">
        <f t="shared" si="11"/>
        <v>0</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c r="G102" s="646"/>
      <c r="H102" s="647"/>
      <c r="I102" s="673">
        <f>H102*F$114</f>
        <v>0</v>
      </c>
      <c r="J102" s="647"/>
      <c r="K102" s="648">
        <f>(H102+I102)-J102</f>
        <v>0</v>
      </c>
    </row>
    <row r="103" spans="1:11" ht="18" customHeight="1" x14ac:dyDescent="0.3">
      <c r="A103" s="639" t="s">
        <v>132</v>
      </c>
      <c r="B103" s="1357" t="s">
        <v>62</v>
      </c>
      <c r="C103" s="1357"/>
      <c r="D103" s="742"/>
      <c r="E103" s="742"/>
      <c r="F103" s="646"/>
      <c r="G103" s="646"/>
      <c r="H103" s="647"/>
      <c r="I103" s="673">
        <f>H103*F$114</f>
        <v>0</v>
      </c>
      <c r="J103" s="647"/>
      <c r="K103" s="648">
        <f>(H103+I103)-J103</f>
        <v>0</v>
      </c>
    </row>
    <row r="104" spans="1:11" ht="18" customHeight="1" x14ac:dyDescent="0.3">
      <c r="A104" s="639" t="s">
        <v>128</v>
      </c>
      <c r="B104" s="1354"/>
      <c r="C104" s="1355"/>
      <c r="D104" s="1356"/>
      <c r="E104" s="742"/>
      <c r="F104" s="646"/>
      <c r="G104" s="646"/>
      <c r="H104" s="647"/>
      <c r="I104" s="673">
        <f>H104*F$114</f>
        <v>0</v>
      </c>
      <c r="J104" s="647"/>
      <c r="K104" s="648">
        <f>(H104+I104)-J104</f>
        <v>0</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0</v>
      </c>
      <c r="G108" s="650">
        <f t="shared" si="12"/>
        <v>0</v>
      </c>
      <c r="H108" s="648">
        <f t="shared" si="12"/>
        <v>0</v>
      </c>
      <c r="I108" s="648">
        <f t="shared" si="12"/>
        <v>0</v>
      </c>
      <c r="J108" s="648">
        <f t="shared" si="12"/>
        <v>0</v>
      </c>
      <c r="K108" s="648">
        <f t="shared" si="12"/>
        <v>0</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928769</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42358284</v>
      </c>
      <c r="G117" s="740"/>
      <c r="H117" s="740"/>
      <c r="I117" s="740"/>
      <c r="J117" s="740"/>
      <c r="K117" s="740"/>
    </row>
    <row r="118" spans="1:11" ht="18" customHeight="1" x14ac:dyDescent="0.3">
      <c r="A118" s="639" t="s">
        <v>173</v>
      </c>
      <c r="B118" s="742" t="s">
        <v>18</v>
      </c>
      <c r="C118" s="742"/>
      <c r="D118" s="742"/>
      <c r="E118" s="742"/>
      <c r="F118" s="647">
        <v>348001</v>
      </c>
      <c r="G118" s="740"/>
      <c r="H118" s="740"/>
      <c r="I118" s="740"/>
      <c r="J118" s="740"/>
      <c r="K118" s="740"/>
    </row>
    <row r="119" spans="1:11" ht="18" customHeight="1" x14ac:dyDescent="0.3">
      <c r="A119" s="639" t="s">
        <v>174</v>
      </c>
      <c r="B119" s="636" t="s">
        <v>19</v>
      </c>
      <c r="C119" s="742"/>
      <c r="D119" s="742"/>
      <c r="E119" s="742"/>
      <c r="F119" s="649">
        <f>SUM(F117:F118)</f>
        <v>42706285</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42883433</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v>-177148</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v>-1029343</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365</v>
      </c>
      <c r="G141" s="664">
        <f t="shared" si="14"/>
        <v>1877</v>
      </c>
      <c r="H141" s="664">
        <f t="shared" si="14"/>
        <v>20016.13</v>
      </c>
      <c r="I141" s="664">
        <f t="shared" si="14"/>
        <v>0</v>
      </c>
      <c r="J141" s="664">
        <f t="shared" si="14"/>
        <v>0</v>
      </c>
      <c r="K141" s="664">
        <f t="shared" si="14"/>
        <v>20016.13</v>
      </c>
    </row>
    <row r="142" spans="1:11" ht="18" customHeight="1" x14ac:dyDescent="0.3">
      <c r="A142" s="639" t="s">
        <v>142</v>
      </c>
      <c r="B142" s="636" t="s">
        <v>65</v>
      </c>
      <c r="C142" s="742"/>
      <c r="D142" s="742"/>
      <c r="E142" s="742"/>
      <c r="F142" s="664">
        <f t="shared" ref="F142:K142" si="15">F49</f>
        <v>13672</v>
      </c>
      <c r="G142" s="664">
        <f t="shared" si="15"/>
        <v>65</v>
      </c>
      <c r="H142" s="664">
        <f t="shared" si="15"/>
        <v>619091.07999999996</v>
      </c>
      <c r="I142" s="664">
        <f t="shared" si="15"/>
        <v>168046.98</v>
      </c>
      <c r="J142" s="664">
        <f t="shared" si="15"/>
        <v>0</v>
      </c>
      <c r="K142" s="664">
        <f t="shared" si="15"/>
        <v>787138.06</v>
      </c>
    </row>
    <row r="143" spans="1:11" ht="18" customHeight="1" x14ac:dyDescent="0.3">
      <c r="A143" s="639" t="s">
        <v>144</v>
      </c>
      <c r="B143" s="636" t="s">
        <v>66</v>
      </c>
      <c r="C143" s="742"/>
      <c r="D143" s="742"/>
      <c r="E143" s="742"/>
      <c r="F143" s="664">
        <f t="shared" ref="F143:K143" si="16">F64</f>
        <v>2080</v>
      </c>
      <c r="G143" s="664">
        <f t="shared" si="16"/>
        <v>2708</v>
      </c>
      <c r="H143" s="664">
        <f t="shared" si="16"/>
        <v>115453</v>
      </c>
      <c r="I143" s="664">
        <f t="shared" si="16"/>
        <v>7369</v>
      </c>
      <c r="J143" s="664">
        <f t="shared" si="16"/>
        <v>122822</v>
      </c>
      <c r="K143" s="664">
        <f t="shared" si="16"/>
        <v>0</v>
      </c>
    </row>
    <row r="144" spans="1:11" ht="18" customHeight="1" x14ac:dyDescent="0.3">
      <c r="A144" s="639"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639" t="s">
        <v>148</v>
      </c>
      <c r="B145" s="636" t="s">
        <v>68</v>
      </c>
      <c r="C145" s="742"/>
      <c r="D145" s="742"/>
      <c r="E145" s="742"/>
      <c r="F145" s="664">
        <f t="shared" ref="F145:K145" si="18">F82</f>
        <v>0</v>
      </c>
      <c r="G145" s="664">
        <f t="shared" si="18"/>
        <v>0</v>
      </c>
      <c r="H145" s="664">
        <f t="shared" si="18"/>
        <v>700</v>
      </c>
      <c r="I145" s="664">
        <f t="shared" si="18"/>
        <v>0</v>
      </c>
      <c r="J145" s="664">
        <f t="shared" si="18"/>
        <v>0</v>
      </c>
      <c r="K145" s="664">
        <f t="shared" si="18"/>
        <v>700</v>
      </c>
    </row>
    <row r="146" spans="1:11" ht="18" customHeight="1" x14ac:dyDescent="0.3">
      <c r="A146" s="639" t="s">
        <v>150</v>
      </c>
      <c r="B146" s="636" t="s">
        <v>69</v>
      </c>
      <c r="C146" s="742"/>
      <c r="D146" s="742"/>
      <c r="E146" s="742"/>
      <c r="F146" s="664">
        <f t="shared" ref="F146:K146" si="19">F98</f>
        <v>0</v>
      </c>
      <c r="G146" s="664">
        <f t="shared" si="19"/>
        <v>0</v>
      </c>
      <c r="H146" s="664">
        <f t="shared" si="19"/>
        <v>0</v>
      </c>
      <c r="I146" s="664">
        <f t="shared" si="19"/>
        <v>0</v>
      </c>
      <c r="J146" s="664">
        <f t="shared" si="19"/>
        <v>0</v>
      </c>
      <c r="K146" s="664">
        <f t="shared" si="19"/>
        <v>0</v>
      </c>
    </row>
    <row r="147" spans="1:11" ht="18" customHeight="1" x14ac:dyDescent="0.3">
      <c r="A147" s="639" t="s">
        <v>153</v>
      </c>
      <c r="B147" s="636" t="s">
        <v>61</v>
      </c>
      <c r="C147" s="742"/>
      <c r="D147" s="742"/>
      <c r="E147" s="742"/>
      <c r="F147" s="650">
        <f t="shared" ref="F147:K147" si="20">F108</f>
        <v>0</v>
      </c>
      <c r="G147" s="650">
        <f t="shared" si="20"/>
        <v>0</v>
      </c>
      <c r="H147" s="650">
        <f t="shared" si="20"/>
        <v>0</v>
      </c>
      <c r="I147" s="650">
        <f t="shared" si="20"/>
        <v>0</v>
      </c>
      <c r="J147" s="650">
        <f t="shared" si="20"/>
        <v>0</v>
      </c>
      <c r="K147" s="650">
        <f t="shared" si="20"/>
        <v>0</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928769</v>
      </c>
    </row>
    <row r="149" spans="1:11" ht="18" customHeight="1" x14ac:dyDescent="0.3">
      <c r="A149" s="639"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639" t="s">
        <v>185</v>
      </c>
      <c r="B150" s="636" t="s">
        <v>186</v>
      </c>
      <c r="C150" s="742"/>
      <c r="D150" s="742"/>
      <c r="E150" s="742"/>
      <c r="F150" s="665" t="s">
        <v>73</v>
      </c>
      <c r="G150" s="665" t="s">
        <v>73</v>
      </c>
      <c r="H150" s="650">
        <f>H18</f>
        <v>1105570.8925602364</v>
      </c>
      <c r="I150" s="650">
        <f>I18</f>
        <v>0</v>
      </c>
      <c r="J150" s="650">
        <f>J18</f>
        <v>934426</v>
      </c>
      <c r="K150" s="650">
        <f>K18</f>
        <v>171144.89256023639</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16117</v>
      </c>
      <c r="G152" s="672">
        <f t="shared" si="22"/>
        <v>4650</v>
      </c>
      <c r="H152" s="672">
        <f t="shared" si="22"/>
        <v>1860831.1025602364</v>
      </c>
      <c r="I152" s="672">
        <f t="shared" si="22"/>
        <v>175415.98</v>
      </c>
      <c r="J152" s="672">
        <f t="shared" si="22"/>
        <v>1057248</v>
      </c>
      <c r="K152" s="672">
        <f t="shared" si="22"/>
        <v>1907768.0825602363</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834"/>
      <c r="F154" s="687">
        <f>K152/F121</f>
        <v>4.4487298453000167E-2</v>
      </c>
      <c r="G154" s="742"/>
      <c r="H154" s="742"/>
      <c r="I154" s="742"/>
      <c r="J154" s="742"/>
      <c r="K154" s="742"/>
    </row>
    <row r="155" spans="1:11" ht="18" customHeight="1" x14ac:dyDescent="0.3">
      <c r="A155" s="639" t="s">
        <v>169</v>
      </c>
      <c r="B155" s="636" t="s">
        <v>72</v>
      </c>
      <c r="C155" s="742"/>
      <c r="D155" s="742"/>
      <c r="E155" s="833"/>
      <c r="F155" s="687">
        <f>K152/F127</f>
        <v>-1.8533842291250209</v>
      </c>
      <c r="G155" s="636"/>
      <c r="H155" s="742"/>
      <c r="I155" s="742"/>
      <c r="J155" s="735"/>
      <c r="K155" s="742"/>
    </row>
    <row r="156" spans="1:11" ht="18" customHeight="1" x14ac:dyDescent="0.3">
      <c r="A156" s="633"/>
      <c r="B156" s="495"/>
      <c r="C156" s="495"/>
      <c r="D156" s="495"/>
      <c r="E156" s="495"/>
      <c r="F156" s="495"/>
      <c r="G156" s="496"/>
      <c r="H156" s="495"/>
      <c r="I156" s="495"/>
      <c r="J156" s="735"/>
      <c r="K156" s="495"/>
    </row>
  </sheetData>
  <sheetProtection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K156"/>
  <sheetViews>
    <sheetView showGridLines="0" zoomScale="85" zoomScaleNormal="85" zoomScaleSheetLayoutView="80" workbookViewId="0">
      <selection activeCell="A2" sqref="A2"/>
    </sheetView>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86" t="s">
        <v>292</v>
      </c>
      <c r="D5" s="1387"/>
      <c r="E5" s="1387"/>
      <c r="F5" s="1387"/>
      <c r="G5" s="1388"/>
      <c r="H5" s="742"/>
      <c r="I5" s="742"/>
      <c r="J5" s="742"/>
      <c r="K5" s="742"/>
    </row>
    <row r="6" spans="1:11" ht="18" customHeight="1" x14ac:dyDescent="0.3">
      <c r="A6" s="633"/>
      <c r="B6" s="733" t="s">
        <v>3</v>
      </c>
      <c r="C6" s="1365">
        <v>61</v>
      </c>
      <c r="D6" s="1366"/>
      <c r="E6" s="1366"/>
      <c r="F6" s="1366"/>
      <c r="G6" s="1367"/>
      <c r="H6" s="742"/>
      <c r="I6" s="742"/>
      <c r="J6" s="742"/>
      <c r="K6" s="742"/>
    </row>
    <row r="7" spans="1:11" ht="18" customHeight="1" x14ac:dyDescent="0.3">
      <c r="A7" s="633"/>
      <c r="B7" s="733" t="s">
        <v>4</v>
      </c>
      <c r="C7" s="1368">
        <v>930</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86" t="s">
        <v>293</v>
      </c>
      <c r="D9" s="1387"/>
      <c r="E9" s="1387"/>
      <c r="F9" s="1387"/>
      <c r="G9" s="1388"/>
      <c r="H9" s="742"/>
      <c r="I9" s="742"/>
      <c r="J9" s="742"/>
      <c r="K9" s="742"/>
    </row>
    <row r="10" spans="1:11" ht="18" customHeight="1" x14ac:dyDescent="0.3">
      <c r="A10" s="633"/>
      <c r="B10" s="733" t="s">
        <v>2</v>
      </c>
      <c r="C10" s="1389" t="s">
        <v>294</v>
      </c>
      <c r="D10" s="1390"/>
      <c r="E10" s="1390"/>
      <c r="F10" s="1390"/>
      <c r="G10" s="1391"/>
      <c r="H10" s="742"/>
      <c r="I10" s="742"/>
      <c r="J10" s="742"/>
      <c r="K10" s="742"/>
    </row>
    <row r="11" spans="1:11" ht="18" customHeight="1" x14ac:dyDescent="0.3">
      <c r="A11" s="633"/>
      <c r="B11" s="733" t="s">
        <v>32</v>
      </c>
      <c r="C11" s="1386" t="s">
        <v>295</v>
      </c>
      <c r="D11" s="1387"/>
      <c r="E11" s="1387"/>
      <c r="F11" s="1387"/>
      <c r="G11" s="1387"/>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2426991.792313972</v>
      </c>
      <c r="I18" s="673">
        <v>0</v>
      </c>
      <c r="J18" s="647"/>
      <c r="K18" s="648">
        <f>(H18+I18)-J18</f>
        <v>2426991.792313972</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20505</v>
      </c>
      <c r="G21" s="646">
        <v>61962</v>
      </c>
      <c r="H21" s="647">
        <v>171236</v>
      </c>
      <c r="I21" s="673">
        <f t="shared" ref="I21:I34" si="0">H21*F$114</f>
        <v>122058.24960218633</v>
      </c>
      <c r="J21" s="647">
        <v>1903</v>
      </c>
      <c r="K21" s="648">
        <f t="shared" ref="K21:K34" si="1">(H21+I21)-J21</f>
        <v>291391.24960218632</v>
      </c>
    </row>
    <row r="22" spans="1:11" ht="18" customHeight="1" x14ac:dyDescent="0.3">
      <c r="A22" s="639" t="s">
        <v>76</v>
      </c>
      <c r="B22" s="742" t="s">
        <v>6</v>
      </c>
      <c r="C22" s="742"/>
      <c r="D22" s="742"/>
      <c r="E22" s="742"/>
      <c r="F22" s="646">
        <v>450</v>
      </c>
      <c r="G22" s="646">
        <v>220</v>
      </c>
      <c r="H22" s="647">
        <v>8082</v>
      </c>
      <c r="I22" s="673">
        <f t="shared" si="0"/>
        <v>5760.9075970290705</v>
      </c>
      <c r="J22" s="647">
        <v>400</v>
      </c>
      <c r="K22" s="648">
        <f t="shared" si="1"/>
        <v>13442.907597029071</v>
      </c>
    </row>
    <row r="23" spans="1:11" ht="18" customHeight="1" x14ac:dyDescent="0.3">
      <c r="A23" s="639" t="s">
        <v>77</v>
      </c>
      <c r="B23" s="742" t="s">
        <v>43</v>
      </c>
      <c r="C23" s="742"/>
      <c r="D23" s="742"/>
      <c r="E23" s="742"/>
      <c r="F23" s="646"/>
      <c r="G23" s="646"/>
      <c r="H23" s="647"/>
      <c r="I23" s="673">
        <f t="shared" si="0"/>
        <v>0</v>
      </c>
      <c r="J23" s="647"/>
      <c r="K23" s="648">
        <f t="shared" si="1"/>
        <v>0</v>
      </c>
    </row>
    <row r="24" spans="1:11" ht="18" customHeight="1" x14ac:dyDescent="0.3">
      <c r="A24" s="639" t="s">
        <v>78</v>
      </c>
      <c r="B24" s="742" t="s">
        <v>44</v>
      </c>
      <c r="C24" s="742"/>
      <c r="D24" s="742"/>
      <c r="E24" s="742"/>
      <c r="F24" s="646">
        <v>14</v>
      </c>
      <c r="G24" s="646">
        <v>80</v>
      </c>
      <c r="H24" s="647">
        <v>2550</v>
      </c>
      <c r="I24" s="673">
        <f t="shared" si="0"/>
        <v>1817.6582989883852</v>
      </c>
      <c r="J24" s="647"/>
      <c r="K24" s="648">
        <f t="shared" si="1"/>
        <v>4367.6582989883855</v>
      </c>
    </row>
    <row r="25" spans="1:11" ht="18" customHeight="1" x14ac:dyDescent="0.3">
      <c r="A25" s="639" t="s">
        <v>79</v>
      </c>
      <c r="B25" s="742" t="s">
        <v>5</v>
      </c>
      <c r="C25" s="742"/>
      <c r="D25" s="742"/>
      <c r="E25" s="742"/>
      <c r="F25" s="646">
        <v>1555</v>
      </c>
      <c r="G25" s="646">
        <v>998</v>
      </c>
      <c r="H25" s="647">
        <v>40743</v>
      </c>
      <c r="I25" s="673">
        <f t="shared" si="0"/>
        <v>29041.902774777951</v>
      </c>
      <c r="J25" s="647"/>
      <c r="K25" s="648">
        <f t="shared" si="1"/>
        <v>69784.902774777947</v>
      </c>
    </row>
    <row r="26" spans="1:11" ht="18" customHeight="1" x14ac:dyDescent="0.3">
      <c r="A26" s="639" t="s">
        <v>80</v>
      </c>
      <c r="B26" s="742" t="s">
        <v>45</v>
      </c>
      <c r="C26" s="742"/>
      <c r="D26" s="742"/>
      <c r="E26" s="742"/>
      <c r="F26" s="646"/>
      <c r="G26" s="646"/>
      <c r="H26" s="647"/>
      <c r="I26" s="673">
        <f t="shared" si="0"/>
        <v>0</v>
      </c>
      <c r="J26" s="647"/>
      <c r="K26" s="648">
        <f t="shared" si="1"/>
        <v>0</v>
      </c>
    </row>
    <row r="27" spans="1:11" ht="18" customHeight="1" x14ac:dyDescent="0.3">
      <c r="A27" s="639" t="s">
        <v>81</v>
      </c>
      <c r="B27" s="742" t="s">
        <v>46</v>
      </c>
      <c r="C27" s="742"/>
      <c r="D27" s="742"/>
      <c r="E27" s="742"/>
      <c r="F27" s="646">
        <v>6997</v>
      </c>
      <c r="G27" s="646">
        <v>7086</v>
      </c>
      <c r="H27" s="647">
        <v>129609</v>
      </c>
      <c r="I27" s="673">
        <f t="shared" si="0"/>
        <v>92386.225283759064</v>
      </c>
      <c r="J27" s="647"/>
      <c r="K27" s="648">
        <f t="shared" si="1"/>
        <v>221995.22528375906</v>
      </c>
    </row>
    <row r="28" spans="1:11" ht="18" customHeight="1" x14ac:dyDescent="0.3">
      <c r="A28" s="639" t="s">
        <v>82</v>
      </c>
      <c r="B28" s="742" t="s">
        <v>47</v>
      </c>
      <c r="C28" s="742"/>
      <c r="D28" s="742"/>
      <c r="E28" s="742"/>
      <c r="F28" s="646"/>
      <c r="G28" s="646"/>
      <c r="H28" s="647"/>
      <c r="I28" s="673">
        <f t="shared" si="0"/>
        <v>0</v>
      </c>
      <c r="J28" s="647"/>
      <c r="K28" s="648">
        <f t="shared" si="1"/>
        <v>0</v>
      </c>
    </row>
    <row r="29" spans="1:11" ht="18" customHeight="1" x14ac:dyDescent="0.3">
      <c r="A29" s="639" t="s">
        <v>83</v>
      </c>
      <c r="B29" s="742" t="s">
        <v>48</v>
      </c>
      <c r="C29" s="742"/>
      <c r="D29" s="742"/>
      <c r="E29" s="742"/>
      <c r="F29" s="646">
        <v>8526</v>
      </c>
      <c r="G29" s="646">
        <v>7800</v>
      </c>
      <c r="H29" s="647">
        <v>128424</v>
      </c>
      <c r="I29" s="673">
        <f t="shared" si="0"/>
        <v>91541.548780111523</v>
      </c>
      <c r="J29" s="647"/>
      <c r="K29" s="648">
        <f t="shared" si="1"/>
        <v>219965.54878011154</v>
      </c>
    </row>
    <row r="30" spans="1:11" ht="18" customHeight="1" x14ac:dyDescent="0.3">
      <c r="A30" s="639" t="s">
        <v>84</v>
      </c>
      <c r="B30" s="1351"/>
      <c r="C30" s="1352"/>
      <c r="D30" s="1353"/>
      <c r="E30" s="742"/>
      <c r="F30" s="646"/>
      <c r="G30" s="646"/>
      <c r="H30" s="647"/>
      <c r="I30" s="673">
        <f t="shared" si="0"/>
        <v>0</v>
      </c>
      <c r="J30" s="647"/>
      <c r="K30" s="648">
        <f t="shared" si="1"/>
        <v>0</v>
      </c>
    </row>
    <row r="31" spans="1:11" ht="18" customHeight="1" x14ac:dyDescent="0.3">
      <c r="A31" s="639" t="s">
        <v>133</v>
      </c>
      <c r="B31" s="1351"/>
      <c r="C31" s="1352"/>
      <c r="D31" s="1353"/>
      <c r="E31" s="742"/>
      <c r="F31" s="646"/>
      <c r="G31" s="646"/>
      <c r="H31" s="647"/>
      <c r="I31" s="673">
        <f t="shared" si="0"/>
        <v>0</v>
      </c>
      <c r="J31" s="647"/>
      <c r="K31" s="648">
        <f t="shared" si="1"/>
        <v>0</v>
      </c>
    </row>
    <row r="32" spans="1:11" ht="18" customHeight="1" x14ac:dyDescent="0.3">
      <c r="A32" s="639" t="s">
        <v>134</v>
      </c>
      <c r="B32" s="909"/>
      <c r="C32" s="910"/>
      <c r="D32" s="911"/>
      <c r="E32" s="742"/>
      <c r="F32" s="646"/>
      <c r="G32" s="675"/>
      <c r="H32" s="647"/>
      <c r="I32" s="673">
        <f t="shared" si="0"/>
        <v>0</v>
      </c>
      <c r="J32" s="647"/>
      <c r="K32" s="648">
        <f t="shared" si="1"/>
        <v>0</v>
      </c>
    </row>
    <row r="33" spans="1:11" ht="18" customHeight="1" x14ac:dyDescent="0.3">
      <c r="A33" s="639" t="s">
        <v>135</v>
      </c>
      <c r="B33" s="909"/>
      <c r="C33" s="910"/>
      <c r="D33" s="911"/>
      <c r="E33" s="742"/>
      <c r="F33" s="646"/>
      <c r="G33" s="675"/>
      <c r="H33" s="647"/>
      <c r="I33" s="673">
        <f t="shared" si="0"/>
        <v>0</v>
      </c>
      <c r="J33" s="647"/>
      <c r="K33" s="648">
        <f t="shared" si="1"/>
        <v>0</v>
      </c>
    </row>
    <row r="34" spans="1:11" ht="18" customHeight="1" x14ac:dyDescent="0.3">
      <c r="A34" s="639" t="s">
        <v>136</v>
      </c>
      <c r="B34" s="1351"/>
      <c r="C34" s="1352"/>
      <c r="D34" s="1353"/>
      <c r="E34" s="742"/>
      <c r="F34" s="646"/>
      <c r="G34" s="675"/>
      <c r="H34" s="647"/>
      <c r="I34" s="673">
        <f t="shared" si="0"/>
        <v>0</v>
      </c>
      <c r="J34" s="647"/>
      <c r="K34" s="648">
        <f t="shared" si="1"/>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38047</v>
      </c>
      <c r="G36" s="650">
        <f t="shared" si="2"/>
        <v>78146</v>
      </c>
      <c r="H36" s="650">
        <f t="shared" si="2"/>
        <v>480644</v>
      </c>
      <c r="I36" s="648">
        <f t="shared" si="2"/>
        <v>342606.49233685236</v>
      </c>
      <c r="J36" s="648">
        <f t="shared" si="2"/>
        <v>2303</v>
      </c>
      <c r="K36" s="648">
        <f t="shared" si="2"/>
        <v>820947.49233685224</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v>21</v>
      </c>
      <c r="G40" s="646">
        <v>213</v>
      </c>
      <c r="H40" s="647">
        <v>236250</v>
      </c>
      <c r="I40" s="673">
        <v>0</v>
      </c>
      <c r="J40" s="647"/>
      <c r="K40" s="648">
        <f t="shared" ref="K40:K47" si="3">(H40+I40)-J40</f>
        <v>236250</v>
      </c>
    </row>
    <row r="41" spans="1:11" ht="18" customHeight="1" x14ac:dyDescent="0.3">
      <c r="A41" s="639" t="s">
        <v>88</v>
      </c>
      <c r="B41" s="1359" t="s">
        <v>50</v>
      </c>
      <c r="C41" s="1359"/>
      <c r="D41" s="742"/>
      <c r="E41" s="742"/>
      <c r="F41" s="646">
        <v>1172</v>
      </c>
      <c r="G41" s="646">
        <v>1434</v>
      </c>
      <c r="H41" s="647">
        <v>109820</v>
      </c>
      <c r="I41" s="673">
        <v>0</v>
      </c>
      <c r="J41" s="647"/>
      <c r="K41" s="648">
        <f t="shared" si="3"/>
        <v>109820</v>
      </c>
    </row>
    <row r="42" spans="1:11" ht="18" customHeight="1" x14ac:dyDescent="0.3">
      <c r="A42" s="639" t="s">
        <v>89</v>
      </c>
      <c r="B42" s="635" t="s">
        <v>11</v>
      </c>
      <c r="C42" s="742"/>
      <c r="D42" s="742"/>
      <c r="E42" s="742"/>
      <c r="F42" s="646">
        <v>778</v>
      </c>
      <c r="G42" s="646">
        <v>1233</v>
      </c>
      <c r="H42" s="647">
        <v>300514</v>
      </c>
      <c r="I42" s="673">
        <v>0</v>
      </c>
      <c r="J42" s="647">
        <v>1600</v>
      </c>
      <c r="K42" s="648">
        <f t="shared" si="3"/>
        <v>298914</v>
      </c>
    </row>
    <row r="43" spans="1:11" ht="18" customHeight="1" x14ac:dyDescent="0.3">
      <c r="A43" s="639" t="s">
        <v>90</v>
      </c>
      <c r="B43" s="670" t="s">
        <v>10</v>
      </c>
      <c r="C43" s="642"/>
      <c r="D43" s="642"/>
      <c r="E43" s="742"/>
      <c r="F43" s="646">
        <v>257</v>
      </c>
      <c r="G43" s="646">
        <v>122</v>
      </c>
      <c r="H43" s="647">
        <v>1031</v>
      </c>
      <c r="I43" s="673">
        <v>0</v>
      </c>
      <c r="J43" s="647"/>
      <c r="K43" s="648">
        <f t="shared" si="3"/>
        <v>1031</v>
      </c>
    </row>
    <row r="44" spans="1:11" ht="18" customHeight="1" x14ac:dyDescent="0.3">
      <c r="A44" s="639" t="s">
        <v>91</v>
      </c>
      <c r="B44" s="1351"/>
      <c r="C44" s="1352"/>
      <c r="D44" s="1353"/>
      <c r="E44" s="742"/>
      <c r="F44" s="646"/>
      <c r="G44" s="646"/>
      <c r="H44" s="64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2228</v>
      </c>
      <c r="G49" s="654">
        <f t="shared" si="4"/>
        <v>3002</v>
      </c>
      <c r="H49" s="648">
        <f t="shared" si="4"/>
        <v>647615</v>
      </c>
      <c r="I49" s="648">
        <f t="shared" si="4"/>
        <v>0</v>
      </c>
      <c r="J49" s="648">
        <f t="shared" si="4"/>
        <v>1600</v>
      </c>
      <c r="K49" s="648">
        <f t="shared" si="4"/>
        <v>646015</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843</v>
      </c>
      <c r="C53" s="1355"/>
      <c r="D53" s="1356"/>
      <c r="E53" s="742"/>
      <c r="F53" s="646"/>
      <c r="G53" s="646"/>
      <c r="H53" s="647">
        <v>32762</v>
      </c>
      <c r="I53" s="673">
        <v>0</v>
      </c>
      <c r="J53" s="647"/>
      <c r="K53" s="648">
        <f t="shared" ref="K53:K62" si="5">(H53+I53)-J53</f>
        <v>32762</v>
      </c>
    </row>
    <row r="54" spans="1:11" ht="18" customHeight="1" x14ac:dyDescent="0.3">
      <c r="A54" s="639" t="s">
        <v>93</v>
      </c>
      <c r="B54" s="912" t="s">
        <v>844</v>
      </c>
      <c r="C54" s="913"/>
      <c r="D54" s="914"/>
      <c r="E54" s="742"/>
      <c r="F54" s="646"/>
      <c r="G54" s="646"/>
      <c r="H54" s="647">
        <v>106771</v>
      </c>
      <c r="I54" s="673">
        <v>0</v>
      </c>
      <c r="J54" s="647"/>
      <c r="K54" s="648">
        <f t="shared" si="5"/>
        <v>106771</v>
      </c>
    </row>
    <row r="55" spans="1:11" ht="18" customHeight="1" x14ac:dyDescent="0.3">
      <c r="A55" s="639" t="s">
        <v>94</v>
      </c>
      <c r="B55" s="1354" t="s">
        <v>845</v>
      </c>
      <c r="C55" s="1355"/>
      <c r="D55" s="1356"/>
      <c r="E55" s="742"/>
      <c r="F55" s="646"/>
      <c r="G55" s="646"/>
      <c r="H55" s="647">
        <v>160167</v>
      </c>
      <c r="I55" s="673">
        <v>0</v>
      </c>
      <c r="J55" s="647">
        <v>67782</v>
      </c>
      <c r="K55" s="648">
        <f t="shared" si="5"/>
        <v>92385</v>
      </c>
    </row>
    <row r="56" spans="1:11" ht="18" customHeight="1" x14ac:dyDescent="0.3">
      <c r="A56" s="639" t="s">
        <v>95</v>
      </c>
      <c r="B56" s="1354" t="s">
        <v>463</v>
      </c>
      <c r="C56" s="1355"/>
      <c r="D56" s="1356"/>
      <c r="E56" s="742"/>
      <c r="F56" s="646"/>
      <c r="G56" s="646"/>
      <c r="H56" s="647">
        <v>392362</v>
      </c>
      <c r="I56" s="673">
        <v>0</v>
      </c>
      <c r="J56" s="647">
        <v>291302</v>
      </c>
      <c r="K56" s="648">
        <f t="shared" si="5"/>
        <v>101060</v>
      </c>
    </row>
    <row r="57" spans="1:11" ht="18" customHeight="1" x14ac:dyDescent="0.3">
      <c r="A57" s="639" t="s">
        <v>96</v>
      </c>
      <c r="B57" s="912" t="s">
        <v>846</v>
      </c>
      <c r="C57" s="913"/>
      <c r="D57" s="914"/>
      <c r="E57" s="742"/>
      <c r="F57" s="646"/>
      <c r="G57" s="646"/>
      <c r="H57" s="647">
        <v>6951819</v>
      </c>
      <c r="I57" s="673">
        <v>0</v>
      </c>
      <c r="J57" s="647"/>
      <c r="K57" s="648">
        <f t="shared" si="5"/>
        <v>6951819</v>
      </c>
    </row>
    <row r="58" spans="1:11" ht="18" customHeight="1" x14ac:dyDescent="0.3">
      <c r="A58" s="639" t="s">
        <v>97</v>
      </c>
      <c r="B58" s="912"/>
      <c r="C58" s="913"/>
      <c r="D58" s="914"/>
      <c r="E58" s="742"/>
      <c r="F58" s="646"/>
      <c r="G58" s="646"/>
      <c r="H58" s="647"/>
      <c r="I58" s="673">
        <v>0</v>
      </c>
      <c r="J58" s="647"/>
      <c r="K58" s="648">
        <f t="shared" si="5"/>
        <v>0</v>
      </c>
    </row>
    <row r="59" spans="1:11" ht="18" customHeight="1" x14ac:dyDescent="0.3">
      <c r="A59" s="639" t="s">
        <v>98</v>
      </c>
      <c r="B59" s="1354"/>
      <c r="C59" s="1355"/>
      <c r="D59" s="1356"/>
      <c r="E59" s="742"/>
      <c r="F59" s="646"/>
      <c r="G59" s="646"/>
      <c r="H59" s="647"/>
      <c r="I59" s="673">
        <v>0</v>
      </c>
      <c r="J59" s="647"/>
      <c r="K59" s="648">
        <f t="shared" si="5"/>
        <v>0</v>
      </c>
    </row>
    <row r="60" spans="1:11" ht="18" customHeight="1" x14ac:dyDescent="0.3">
      <c r="A60" s="639" t="s">
        <v>99</v>
      </c>
      <c r="B60" s="912"/>
      <c r="C60" s="913"/>
      <c r="D60" s="914"/>
      <c r="E60" s="742"/>
      <c r="F60" s="646"/>
      <c r="G60" s="646"/>
      <c r="H60" s="647"/>
      <c r="I60" s="673">
        <v>0</v>
      </c>
      <c r="J60" s="647"/>
      <c r="K60" s="648">
        <f t="shared" si="5"/>
        <v>0</v>
      </c>
    </row>
    <row r="61" spans="1:11" ht="18" customHeight="1" x14ac:dyDescent="0.3">
      <c r="A61" s="639" t="s">
        <v>100</v>
      </c>
      <c r="B61" s="912"/>
      <c r="C61" s="913"/>
      <c r="D61" s="914"/>
      <c r="E61" s="742"/>
      <c r="F61" s="646"/>
      <c r="G61" s="646"/>
      <c r="H61" s="647"/>
      <c r="I61" s="673">
        <v>0</v>
      </c>
      <c r="J61" s="647"/>
      <c r="K61" s="648">
        <f t="shared" si="5"/>
        <v>0</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0</v>
      </c>
      <c r="G64" s="650">
        <f t="shared" si="6"/>
        <v>0</v>
      </c>
      <c r="H64" s="648">
        <f t="shared" si="6"/>
        <v>7643881</v>
      </c>
      <c r="I64" s="648">
        <f t="shared" si="6"/>
        <v>0</v>
      </c>
      <c r="J64" s="648">
        <f t="shared" si="6"/>
        <v>359084</v>
      </c>
      <c r="K64" s="648">
        <f t="shared" si="6"/>
        <v>7284797</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912"/>
      <c r="C70" s="913"/>
      <c r="D70" s="914"/>
      <c r="E70" s="636"/>
      <c r="F70" s="658"/>
      <c r="G70" s="658"/>
      <c r="H70" s="659"/>
      <c r="I70" s="673">
        <v>0</v>
      </c>
      <c r="J70" s="659"/>
      <c r="K70" s="648">
        <f>(H70+I70)-J70</f>
        <v>0</v>
      </c>
    </row>
    <row r="71" spans="1:11" ht="18" customHeight="1" x14ac:dyDescent="0.3">
      <c r="A71" s="639" t="s">
        <v>179</v>
      </c>
      <c r="B71" s="912"/>
      <c r="C71" s="913"/>
      <c r="D71" s="914"/>
      <c r="E71" s="636"/>
      <c r="F71" s="658"/>
      <c r="G71" s="658"/>
      <c r="H71" s="659"/>
      <c r="I71" s="673">
        <v>0</v>
      </c>
      <c r="J71" s="659"/>
      <c r="K71" s="648">
        <f>(H71+I71)-J71</f>
        <v>0</v>
      </c>
    </row>
    <row r="72" spans="1:11" ht="18" customHeight="1" x14ac:dyDescent="0.3">
      <c r="A72" s="639" t="s">
        <v>180</v>
      </c>
      <c r="B72" s="930"/>
      <c r="C72" s="929"/>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c r="I77" s="673">
        <v>0</v>
      </c>
      <c r="J77" s="647"/>
      <c r="K77" s="648">
        <f>(H77+I77)-J77</f>
        <v>0</v>
      </c>
    </row>
    <row r="78" spans="1:11" ht="18" customHeight="1" x14ac:dyDescent="0.3">
      <c r="A78" s="639" t="s">
        <v>108</v>
      </c>
      <c r="B78" s="635" t="s">
        <v>55</v>
      </c>
      <c r="C78" s="742"/>
      <c r="D78" s="742"/>
      <c r="E78" s="742"/>
      <c r="F78" s="646">
        <v>39</v>
      </c>
      <c r="G78" s="646">
        <v>39</v>
      </c>
      <c r="H78" s="647">
        <v>1116</v>
      </c>
      <c r="I78" s="673">
        <v>0</v>
      </c>
      <c r="J78" s="647"/>
      <c r="K78" s="648">
        <f>(H78+I78)-J78</f>
        <v>1116</v>
      </c>
    </row>
    <row r="79" spans="1:11" ht="18" customHeight="1" x14ac:dyDescent="0.3">
      <c r="A79" s="639" t="s">
        <v>109</v>
      </c>
      <c r="B79" s="635" t="s">
        <v>13</v>
      </c>
      <c r="C79" s="742"/>
      <c r="D79" s="742"/>
      <c r="E79" s="742"/>
      <c r="F79" s="646">
        <v>4808</v>
      </c>
      <c r="G79" s="646">
        <v>4222</v>
      </c>
      <c r="H79" s="647">
        <v>44176</v>
      </c>
      <c r="I79" s="673">
        <v>0</v>
      </c>
      <c r="J79" s="647"/>
      <c r="K79" s="648">
        <f>(H79+I79)-J79</f>
        <v>44176</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4847</v>
      </c>
      <c r="G82" s="653">
        <f t="shared" si="8"/>
        <v>4261</v>
      </c>
      <c r="H82" s="649">
        <f t="shared" si="8"/>
        <v>45292</v>
      </c>
      <c r="I82" s="649">
        <f t="shared" si="8"/>
        <v>0</v>
      </c>
      <c r="J82" s="649">
        <f t="shared" si="8"/>
        <v>0</v>
      </c>
      <c r="K82" s="649">
        <f t="shared" si="8"/>
        <v>45292</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v>609</v>
      </c>
      <c r="G86" s="646">
        <v>209</v>
      </c>
      <c r="H86" s="647">
        <v>639</v>
      </c>
      <c r="I86" s="673">
        <f t="shared" ref="I86:I96" si="9">H86*F$114</f>
        <v>455.48378551120715</v>
      </c>
      <c r="J86" s="647"/>
      <c r="K86" s="648">
        <f t="shared" ref="K86:K96" si="10">(H86+I86)-J86</f>
        <v>1094.4837855112071</v>
      </c>
    </row>
    <row r="87" spans="1:11" ht="18" customHeight="1" x14ac:dyDescent="0.3">
      <c r="A87" s="639" t="s">
        <v>114</v>
      </c>
      <c r="B87" s="635" t="s">
        <v>14</v>
      </c>
      <c r="C87" s="742"/>
      <c r="D87" s="742"/>
      <c r="E87" s="742"/>
      <c r="F87" s="646">
        <v>137</v>
      </c>
      <c r="G87" s="646">
        <v>198</v>
      </c>
      <c r="H87" s="647">
        <v>616</v>
      </c>
      <c r="I87" s="673">
        <f t="shared" si="9"/>
        <v>439.08922046150798</v>
      </c>
      <c r="J87" s="647"/>
      <c r="K87" s="648">
        <f t="shared" si="10"/>
        <v>1055.0892204615079</v>
      </c>
    </row>
    <row r="88" spans="1:11" ht="18" customHeight="1" x14ac:dyDescent="0.3">
      <c r="A88" s="639" t="s">
        <v>115</v>
      </c>
      <c r="B88" s="635" t="s">
        <v>116</v>
      </c>
      <c r="C88" s="742"/>
      <c r="D88" s="742"/>
      <c r="E88" s="742"/>
      <c r="F88" s="646">
        <v>1519</v>
      </c>
      <c r="G88" s="646">
        <v>1526</v>
      </c>
      <c r="H88" s="647">
        <v>92269</v>
      </c>
      <c r="I88" s="673">
        <f t="shared" si="9"/>
        <v>65770.005329160515</v>
      </c>
      <c r="J88" s="647"/>
      <c r="K88" s="648">
        <f t="shared" si="10"/>
        <v>158039.00532916051</v>
      </c>
    </row>
    <row r="89" spans="1:11" ht="18" customHeight="1" x14ac:dyDescent="0.3">
      <c r="A89" s="639" t="s">
        <v>117</v>
      </c>
      <c r="B89" s="635" t="s">
        <v>58</v>
      </c>
      <c r="C89" s="742"/>
      <c r="D89" s="742"/>
      <c r="E89" s="742"/>
      <c r="F89" s="646"/>
      <c r="G89" s="646"/>
      <c r="H89" s="647"/>
      <c r="I89" s="673">
        <f t="shared" si="9"/>
        <v>0</v>
      </c>
      <c r="J89" s="647"/>
      <c r="K89" s="648">
        <f t="shared" si="10"/>
        <v>0</v>
      </c>
    </row>
    <row r="90" spans="1:11" ht="18" customHeight="1" x14ac:dyDescent="0.3">
      <c r="A90" s="639" t="s">
        <v>118</v>
      </c>
      <c r="B90" s="1359" t="s">
        <v>59</v>
      </c>
      <c r="C90" s="1359"/>
      <c r="D90" s="742"/>
      <c r="E90" s="742"/>
      <c r="F90" s="646"/>
      <c r="G90" s="646"/>
      <c r="H90" s="647"/>
      <c r="I90" s="673">
        <f t="shared" si="9"/>
        <v>0</v>
      </c>
      <c r="J90" s="647"/>
      <c r="K90" s="648">
        <f t="shared" si="10"/>
        <v>0</v>
      </c>
    </row>
    <row r="91" spans="1:11" ht="18" customHeight="1" x14ac:dyDescent="0.3">
      <c r="A91" s="639" t="s">
        <v>119</v>
      </c>
      <c r="B91" s="635" t="s">
        <v>60</v>
      </c>
      <c r="C91" s="742"/>
      <c r="D91" s="742"/>
      <c r="E91" s="742"/>
      <c r="F91" s="646">
        <v>937</v>
      </c>
      <c r="G91" s="646">
        <v>7421</v>
      </c>
      <c r="H91" s="647">
        <v>15845</v>
      </c>
      <c r="I91" s="673">
        <f t="shared" si="9"/>
        <v>11294.429704890574</v>
      </c>
      <c r="J91" s="647"/>
      <c r="K91" s="648">
        <f t="shared" si="10"/>
        <v>27139.429704890572</v>
      </c>
    </row>
    <row r="92" spans="1:11" ht="18" customHeight="1" x14ac:dyDescent="0.3">
      <c r="A92" s="639" t="s">
        <v>120</v>
      </c>
      <c r="B92" s="635" t="s">
        <v>121</v>
      </c>
      <c r="C92" s="742"/>
      <c r="D92" s="742"/>
      <c r="E92" s="742"/>
      <c r="F92" s="661">
        <v>19</v>
      </c>
      <c r="G92" s="661">
        <v>18</v>
      </c>
      <c r="H92" s="662">
        <v>1518</v>
      </c>
      <c r="I92" s="673">
        <f t="shared" si="9"/>
        <v>1082.0412932801446</v>
      </c>
      <c r="J92" s="662"/>
      <c r="K92" s="648">
        <f t="shared" si="10"/>
        <v>2600.0412932801446</v>
      </c>
    </row>
    <row r="93" spans="1:11" ht="18" customHeight="1" x14ac:dyDescent="0.3">
      <c r="A93" s="639" t="s">
        <v>122</v>
      </c>
      <c r="B93" s="635" t="s">
        <v>123</v>
      </c>
      <c r="C93" s="742"/>
      <c r="D93" s="742"/>
      <c r="E93" s="742"/>
      <c r="F93" s="646">
        <v>22</v>
      </c>
      <c r="G93" s="646">
        <v>22</v>
      </c>
      <c r="H93" s="647">
        <v>2235</v>
      </c>
      <c r="I93" s="673">
        <f t="shared" si="9"/>
        <v>1593.1240385251142</v>
      </c>
      <c r="J93" s="647"/>
      <c r="K93" s="648">
        <f t="shared" si="10"/>
        <v>3828.124038525114</v>
      </c>
    </row>
    <row r="94" spans="1:11" ht="18" customHeight="1" x14ac:dyDescent="0.3">
      <c r="A94" s="639" t="s">
        <v>124</v>
      </c>
      <c r="B94" s="1354" t="s">
        <v>279</v>
      </c>
      <c r="C94" s="1355"/>
      <c r="D94" s="1356"/>
      <c r="E94" s="742"/>
      <c r="F94" s="646">
        <v>117</v>
      </c>
      <c r="G94" s="646">
        <v>0</v>
      </c>
      <c r="H94" s="647">
        <v>59724</v>
      </c>
      <c r="I94" s="673">
        <f t="shared" si="9"/>
        <v>42571.695783836207</v>
      </c>
      <c r="J94" s="647"/>
      <c r="K94" s="648">
        <f t="shared" si="10"/>
        <v>102295.69578383621</v>
      </c>
    </row>
    <row r="95" spans="1:11" ht="18" customHeight="1" x14ac:dyDescent="0.3">
      <c r="A95" s="639" t="s">
        <v>125</v>
      </c>
      <c r="B95" s="1354"/>
      <c r="C95" s="1355"/>
      <c r="D95" s="1356"/>
      <c r="E95" s="742"/>
      <c r="F95" s="646"/>
      <c r="G95" s="646"/>
      <c r="H95" s="647"/>
      <c r="I95" s="673">
        <f t="shared" si="9"/>
        <v>0</v>
      </c>
      <c r="J95" s="647"/>
      <c r="K95" s="648">
        <f t="shared" si="10"/>
        <v>0</v>
      </c>
    </row>
    <row r="96" spans="1:11" ht="18" customHeight="1" x14ac:dyDescent="0.3">
      <c r="A96" s="639" t="s">
        <v>126</v>
      </c>
      <c r="B96" s="1354"/>
      <c r="C96" s="1355"/>
      <c r="D96" s="1356"/>
      <c r="E96" s="742"/>
      <c r="F96" s="646"/>
      <c r="G96" s="646"/>
      <c r="H96" s="647"/>
      <c r="I96" s="673">
        <f t="shared" si="9"/>
        <v>0</v>
      </c>
      <c r="J96" s="647"/>
      <c r="K96" s="648">
        <f t="shared" si="10"/>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3360</v>
      </c>
      <c r="G98" s="650">
        <f t="shared" si="11"/>
        <v>9394</v>
      </c>
      <c r="H98" s="650">
        <f t="shared" si="11"/>
        <v>172846</v>
      </c>
      <c r="I98" s="650">
        <f t="shared" si="11"/>
        <v>123205.86915566528</v>
      </c>
      <c r="J98" s="650">
        <f t="shared" si="11"/>
        <v>0</v>
      </c>
      <c r="K98" s="650">
        <f t="shared" si="11"/>
        <v>296051.86915566528</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65</v>
      </c>
      <c r="G102" s="646">
        <v>42</v>
      </c>
      <c r="H102" s="647">
        <f>1172+194281</f>
        <v>195453</v>
      </c>
      <c r="I102" s="673">
        <f>H102*F$114</f>
        <v>139320.30098516739</v>
      </c>
      <c r="J102" s="647"/>
      <c r="K102" s="648">
        <f>(H102+I102)-J102</f>
        <v>334773.30098516739</v>
      </c>
    </row>
    <row r="103" spans="1:11" ht="18" customHeight="1" x14ac:dyDescent="0.3">
      <c r="A103" s="639" t="s">
        <v>132</v>
      </c>
      <c r="B103" s="1357" t="s">
        <v>62</v>
      </c>
      <c r="C103" s="1357"/>
      <c r="D103" s="742"/>
      <c r="E103" s="742"/>
      <c r="F103" s="646">
        <v>0</v>
      </c>
      <c r="G103" s="646">
        <v>18</v>
      </c>
      <c r="H103" s="647">
        <v>181</v>
      </c>
      <c r="I103" s="673">
        <f>H103*F$114</f>
        <v>129.01809886937167</v>
      </c>
      <c r="J103" s="647"/>
      <c r="K103" s="648">
        <f>(H103+I103)-J103</f>
        <v>310.01809886937167</v>
      </c>
    </row>
    <row r="104" spans="1:11" ht="18" customHeight="1" x14ac:dyDescent="0.3">
      <c r="A104" s="639" t="s">
        <v>128</v>
      </c>
      <c r="B104" s="1354" t="s">
        <v>279</v>
      </c>
      <c r="C104" s="1355"/>
      <c r="D104" s="1356"/>
      <c r="E104" s="742"/>
      <c r="F104" s="646">
        <v>45</v>
      </c>
      <c r="G104" s="646">
        <v>45</v>
      </c>
      <c r="H104" s="647">
        <v>1427</v>
      </c>
      <c r="I104" s="673">
        <f>H104*F$114</f>
        <v>1017.1758402574219</v>
      </c>
      <c r="J104" s="647"/>
      <c r="K104" s="648">
        <f>(H104+I104)-J104</f>
        <v>2444.1758402574219</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110</v>
      </c>
      <c r="G108" s="650">
        <f t="shared" si="12"/>
        <v>105</v>
      </c>
      <c r="H108" s="648">
        <f t="shared" si="12"/>
        <v>197061</v>
      </c>
      <c r="I108" s="648">
        <f t="shared" si="12"/>
        <v>140466.49492429418</v>
      </c>
      <c r="J108" s="648">
        <f t="shared" si="12"/>
        <v>0</v>
      </c>
      <c r="K108" s="648">
        <f t="shared" si="12"/>
        <v>337527.49492429418</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2569517</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f>32342.2/45373</f>
        <v>0.71280717607387656</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114461079</v>
      </c>
      <c r="G117" s="740"/>
      <c r="H117" s="740"/>
      <c r="I117" s="740"/>
      <c r="J117" s="740"/>
      <c r="K117" s="740"/>
    </row>
    <row r="118" spans="1:11" ht="18" customHeight="1" x14ac:dyDescent="0.3">
      <c r="A118" s="639" t="s">
        <v>173</v>
      </c>
      <c r="B118" s="742" t="s">
        <v>18</v>
      </c>
      <c r="C118" s="742"/>
      <c r="D118" s="742"/>
      <c r="E118" s="742"/>
      <c r="F118" s="647">
        <v>3408550</v>
      </c>
      <c r="G118" s="740"/>
      <c r="H118" s="740"/>
      <c r="I118" s="740"/>
      <c r="J118" s="740"/>
      <c r="K118" s="740"/>
    </row>
    <row r="119" spans="1:11" ht="18" customHeight="1" x14ac:dyDescent="0.3">
      <c r="A119" s="639" t="s">
        <v>174</v>
      </c>
      <c r="B119" s="636" t="s">
        <v>19</v>
      </c>
      <c r="C119" s="742"/>
      <c r="D119" s="742"/>
      <c r="E119" s="742"/>
      <c r="F119" s="649">
        <f>SUM(F117:F118)</f>
        <v>117869629</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117342233</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f>+F119-F121</f>
        <v>527396</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2724887</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f>+F123+F125</f>
        <v>3252283</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38047</v>
      </c>
      <c r="G141" s="664">
        <f t="shared" si="14"/>
        <v>78146</v>
      </c>
      <c r="H141" s="664">
        <f t="shared" si="14"/>
        <v>480644</v>
      </c>
      <c r="I141" s="664">
        <f t="shared" si="14"/>
        <v>342606.49233685236</v>
      </c>
      <c r="J141" s="664">
        <f t="shared" si="14"/>
        <v>2303</v>
      </c>
      <c r="K141" s="664">
        <f t="shared" si="14"/>
        <v>820947.49233685224</v>
      </c>
    </row>
    <row r="142" spans="1:11" ht="18" customHeight="1" x14ac:dyDescent="0.3">
      <c r="A142" s="639" t="s">
        <v>142</v>
      </c>
      <c r="B142" s="636" t="s">
        <v>65</v>
      </c>
      <c r="C142" s="742"/>
      <c r="D142" s="742"/>
      <c r="E142" s="742"/>
      <c r="F142" s="664">
        <f t="shared" ref="F142:K142" si="15">F49</f>
        <v>2228</v>
      </c>
      <c r="G142" s="664">
        <f t="shared" si="15"/>
        <v>3002</v>
      </c>
      <c r="H142" s="664">
        <f t="shared" si="15"/>
        <v>647615</v>
      </c>
      <c r="I142" s="664">
        <f t="shared" si="15"/>
        <v>0</v>
      </c>
      <c r="J142" s="664">
        <f t="shared" si="15"/>
        <v>1600</v>
      </c>
      <c r="K142" s="664">
        <f t="shared" si="15"/>
        <v>646015</v>
      </c>
    </row>
    <row r="143" spans="1:11" ht="18" customHeight="1" x14ac:dyDescent="0.3">
      <c r="A143" s="639" t="s">
        <v>144</v>
      </c>
      <c r="B143" s="636" t="s">
        <v>66</v>
      </c>
      <c r="C143" s="742"/>
      <c r="D143" s="742"/>
      <c r="E143" s="742"/>
      <c r="F143" s="664">
        <f t="shared" ref="F143:K143" si="16">F64</f>
        <v>0</v>
      </c>
      <c r="G143" s="664">
        <f t="shared" si="16"/>
        <v>0</v>
      </c>
      <c r="H143" s="664">
        <f t="shared" si="16"/>
        <v>7643881</v>
      </c>
      <c r="I143" s="664">
        <f t="shared" si="16"/>
        <v>0</v>
      </c>
      <c r="J143" s="664">
        <f t="shared" si="16"/>
        <v>359084</v>
      </c>
      <c r="K143" s="664">
        <f t="shared" si="16"/>
        <v>7284797</v>
      </c>
    </row>
    <row r="144" spans="1:11" ht="18" customHeight="1" x14ac:dyDescent="0.3">
      <c r="A144" s="639"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639" t="s">
        <v>148</v>
      </c>
      <c r="B145" s="636" t="s">
        <v>68</v>
      </c>
      <c r="C145" s="742"/>
      <c r="D145" s="742"/>
      <c r="E145" s="742"/>
      <c r="F145" s="664">
        <f t="shared" ref="F145:K145" si="18">F82</f>
        <v>4847</v>
      </c>
      <c r="G145" s="664">
        <f t="shared" si="18"/>
        <v>4261</v>
      </c>
      <c r="H145" s="664">
        <f t="shared" si="18"/>
        <v>45292</v>
      </c>
      <c r="I145" s="664">
        <f t="shared" si="18"/>
        <v>0</v>
      </c>
      <c r="J145" s="664">
        <f t="shared" si="18"/>
        <v>0</v>
      </c>
      <c r="K145" s="664">
        <f t="shared" si="18"/>
        <v>45292</v>
      </c>
    </row>
    <row r="146" spans="1:11" ht="18" customHeight="1" x14ac:dyDescent="0.3">
      <c r="A146" s="639" t="s">
        <v>150</v>
      </c>
      <c r="B146" s="636" t="s">
        <v>69</v>
      </c>
      <c r="C146" s="742"/>
      <c r="D146" s="742"/>
      <c r="E146" s="742"/>
      <c r="F146" s="664">
        <f t="shared" ref="F146:K146" si="19">F98</f>
        <v>3360</v>
      </c>
      <c r="G146" s="664">
        <f t="shared" si="19"/>
        <v>9394</v>
      </c>
      <c r="H146" s="664">
        <f t="shared" si="19"/>
        <v>172846</v>
      </c>
      <c r="I146" s="664">
        <f t="shared" si="19"/>
        <v>123205.86915566528</v>
      </c>
      <c r="J146" s="664">
        <f t="shared" si="19"/>
        <v>0</v>
      </c>
      <c r="K146" s="664">
        <f t="shared" si="19"/>
        <v>296051.86915566528</v>
      </c>
    </row>
    <row r="147" spans="1:11" ht="18" customHeight="1" x14ac:dyDescent="0.3">
      <c r="A147" s="639" t="s">
        <v>153</v>
      </c>
      <c r="B147" s="636" t="s">
        <v>61</v>
      </c>
      <c r="C147" s="742"/>
      <c r="D147" s="742"/>
      <c r="E147" s="742"/>
      <c r="F147" s="650">
        <f t="shared" ref="F147:K147" si="20">F108</f>
        <v>110</v>
      </c>
      <c r="G147" s="650">
        <f t="shared" si="20"/>
        <v>105</v>
      </c>
      <c r="H147" s="650">
        <f t="shared" si="20"/>
        <v>197061</v>
      </c>
      <c r="I147" s="650">
        <f t="shared" si="20"/>
        <v>140466.49492429418</v>
      </c>
      <c r="J147" s="650">
        <f t="shared" si="20"/>
        <v>0</v>
      </c>
      <c r="K147" s="650">
        <f t="shared" si="20"/>
        <v>337527.49492429418</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2569517</v>
      </c>
    </row>
    <row r="149" spans="1:11" ht="18" customHeight="1" x14ac:dyDescent="0.3">
      <c r="A149" s="639"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639" t="s">
        <v>185</v>
      </c>
      <c r="B150" s="636" t="s">
        <v>186</v>
      </c>
      <c r="C150" s="742"/>
      <c r="D150" s="742"/>
      <c r="E150" s="742"/>
      <c r="F150" s="665" t="s">
        <v>73</v>
      </c>
      <c r="G150" s="665" t="s">
        <v>73</v>
      </c>
      <c r="H150" s="650">
        <f>H18</f>
        <v>2426991.792313972</v>
      </c>
      <c r="I150" s="650">
        <f>I18</f>
        <v>0</v>
      </c>
      <c r="J150" s="650">
        <f>J18</f>
        <v>0</v>
      </c>
      <c r="K150" s="650">
        <f>K18</f>
        <v>2426991.792313972</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48592</v>
      </c>
      <c r="G152" s="672">
        <f t="shared" si="22"/>
        <v>94908</v>
      </c>
      <c r="H152" s="672">
        <f t="shared" si="22"/>
        <v>11614330.792313972</v>
      </c>
      <c r="I152" s="672">
        <f t="shared" si="22"/>
        <v>606278.85641681182</v>
      </c>
      <c r="J152" s="672">
        <f t="shared" si="22"/>
        <v>362987</v>
      </c>
      <c r="K152" s="672">
        <f t="shared" si="22"/>
        <v>14427139.648730785</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0.12294925092085801</v>
      </c>
      <c r="G154" s="742"/>
      <c r="H154" s="742"/>
      <c r="I154" s="742"/>
      <c r="J154" s="742"/>
      <c r="K154" s="742"/>
    </row>
    <row r="155" spans="1:11" ht="18" customHeight="1" x14ac:dyDescent="0.3">
      <c r="A155" s="639" t="s">
        <v>169</v>
      </c>
      <c r="B155" s="636" t="s">
        <v>72</v>
      </c>
      <c r="C155" s="742"/>
      <c r="D155" s="742"/>
      <c r="E155" s="742"/>
      <c r="F155" s="687">
        <f>K152/F127</f>
        <v>4.4360037698843504</v>
      </c>
      <c r="G155" s="636"/>
      <c r="H155" s="742"/>
      <c r="I155" s="742"/>
      <c r="J155" s="742"/>
      <c r="K155" s="742"/>
    </row>
    <row r="156" spans="1:11" ht="18" customHeight="1" x14ac:dyDescent="0.3">
      <c r="A156" s="633"/>
      <c r="B156" s="494"/>
      <c r="C156" s="494"/>
      <c r="D156" s="494"/>
      <c r="E156" s="494"/>
      <c r="F156" s="494"/>
      <c r="G156" s="499"/>
      <c r="H156" s="494"/>
      <c r="I156" s="494"/>
      <c r="J156" s="494"/>
      <c r="K156" s="494"/>
    </row>
  </sheetData>
  <sheetProtection sheet="1" objects="1" scenarios="1"/>
  <mergeCells count="33">
    <mergeCell ref="B62:D62"/>
    <mergeCell ref="B31:D31"/>
    <mergeCell ref="B30:D30"/>
    <mergeCell ref="C5:G5"/>
    <mergeCell ref="C6:G6"/>
    <mergeCell ref="C7:G7"/>
    <mergeCell ref="C11:G11"/>
    <mergeCell ref="C9:G9"/>
    <mergeCell ref="B45:D45"/>
    <mergeCell ref="B46:D46"/>
    <mergeCell ref="B47:D47"/>
    <mergeCell ref="B44:D44"/>
    <mergeCell ref="B135:D135"/>
    <mergeCell ref="B133:D133"/>
    <mergeCell ref="B104:D104"/>
    <mergeCell ref="B105:D105"/>
    <mergeCell ref="B106:D106"/>
    <mergeCell ref="D2:H2"/>
    <mergeCell ref="B34:D34"/>
    <mergeCell ref="B41:C41"/>
    <mergeCell ref="B13:H13"/>
    <mergeCell ref="B134:D134"/>
    <mergeCell ref="B103:C103"/>
    <mergeCell ref="B96:D96"/>
    <mergeCell ref="B94:D94"/>
    <mergeCell ref="B52:C52"/>
    <mergeCell ref="B90:C90"/>
    <mergeCell ref="B59:D59"/>
    <mergeCell ref="B53:D53"/>
    <mergeCell ref="B55:D55"/>
    <mergeCell ref="B56:D56"/>
    <mergeCell ref="B95:D95"/>
    <mergeCell ref="C10:G1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156"/>
  <sheetViews>
    <sheetView showGridLines="0" zoomScale="70" zoomScaleNormal="70" zoomScaleSheetLayoutView="100" workbookViewId="0"/>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86" t="s">
        <v>847</v>
      </c>
      <c r="D5" s="1387"/>
      <c r="E5" s="1387"/>
      <c r="F5" s="1387"/>
      <c r="G5" s="1388"/>
      <c r="H5" s="742"/>
      <c r="I5" s="742"/>
      <c r="J5" s="742"/>
      <c r="K5" s="742"/>
    </row>
    <row r="6" spans="1:11" ht="18" customHeight="1" x14ac:dyDescent="0.3">
      <c r="A6" s="633"/>
      <c r="B6" s="733" t="s">
        <v>3</v>
      </c>
      <c r="C6" s="1365">
        <v>210062</v>
      </c>
      <c r="D6" s="1366"/>
      <c r="E6" s="1366"/>
      <c r="F6" s="1366"/>
      <c r="G6" s="1367"/>
      <c r="H6" s="742"/>
      <c r="I6" s="742"/>
      <c r="J6" s="742"/>
      <c r="K6" s="742"/>
    </row>
    <row r="7" spans="1:11" ht="18" customHeight="1" x14ac:dyDescent="0.3">
      <c r="A7" s="633"/>
      <c r="B7" s="733" t="s">
        <v>4</v>
      </c>
      <c r="C7" s="1368">
        <v>1347</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61" t="s">
        <v>614</v>
      </c>
      <c r="D9" s="1362"/>
      <c r="E9" s="1362"/>
      <c r="F9" s="1362"/>
      <c r="G9" s="1364"/>
      <c r="H9" s="742"/>
      <c r="I9" s="742"/>
      <c r="J9" s="742"/>
      <c r="K9" s="742"/>
    </row>
    <row r="10" spans="1:11" ht="18" customHeight="1" x14ac:dyDescent="0.3">
      <c r="A10" s="633"/>
      <c r="B10" s="733" t="s">
        <v>2</v>
      </c>
      <c r="C10" s="1371" t="s">
        <v>615</v>
      </c>
      <c r="D10" s="1372"/>
      <c r="E10" s="1372"/>
      <c r="F10" s="1372"/>
      <c r="G10" s="1373"/>
      <c r="H10" s="742"/>
      <c r="I10" s="742"/>
      <c r="J10" s="742"/>
      <c r="K10" s="742"/>
    </row>
    <row r="11" spans="1:11" ht="18" customHeight="1" x14ac:dyDescent="0.3">
      <c r="A11" s="633"/>
      <c r="B11" s="733" t="s">
        <v>32</v>
      </c>
      <c r="C11" s="1361" t="s">
        <v>616</v>
      </c>
      <c r="D11" s="1362"/>
      <c r="E11" s="1362"/>
      <c r="F11" s="1362"/>
      <c r="G11" s="1362"/>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5981790</v>
      </c>
      <c r="I18" s="673">
        <v>0</v>
      </c>
      <c r="J18" s="647">
        <v>5055793</v>
      </c>
      <c r="K18" s="648">
        <f>(H18+I18)-J18</f>
        <v>925997</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312</v>
      </c>
      <c r="G21" s="646">
        <v>2548</v>
      </c>
      <c r="H21" s="647">
        <v>59669</v>
      </c>
      <c r="I21" s="673">
        <v>3582</v>
      </c>
      <c r="J21" s="647"/>
      <c r="K21" s="648">
        <f t="shared" ref="K21:K34" si="0">(H21+I21)-J21</f>
        <v>63251</v>
      </c>
    </row>
    <row r="22" spans="1:11" ht="18" customHeight="1" x14ac:dyDescent="0.3">
      <c r="A22" s="639" t="s">
        <v>76</v>
      </c>
      <c r="B22" s="742" t="s">
        <v>6</v>
      </c>
      <c r="C22" s="742"/>
      <c r="D22" s="742"/>
      <c r="E22" s="742"/>
      <c r="F22" s="646"/>
      <c r="G22" s="646"/>
      <c r="H22" s="647"/>
      <c r="I22" s="673">
        <v>0</v>
      </c>
      <c r="J22" s="647"/>
      <c r="K22" s="648">
        <f t="shared" si="0"/>
        <v>0</v>
      </c>
    </row>
    <row r="23" spans="1:11" ht="18" customHeight="1" x14ac:dyDescent="0.3">
      <c r="A23" s="639" t="s">
        <v>77</v>
      </c>
      <c r="B23" s="742" t="s">
        <v>43</v>
      </c>
      <c r="C23" s="742"/>
      <c r="D23" s="742"/>
      <c r="E23" s="742"/>
      <c r="F23" s="646"/>
      <c r="G23" s="646"/>
      <c r="H23" s="647"/>
      <c r="I23" s="673">
        <v>0</v>
      </c>
      <c r="J23" s="647"/>
      <c r="K23" s="648">
        <f t="shared" si="0"/>
        <v>0</v>
      </c>
    </row>
    <row r="24" spans="1:11" ht="18" customHeight="1" x14ac:dyDescent="0.3">
      <c r="A24" s="639" t="s">
        <v>78</v>
      </c>
      <c r="B24" s="742" t="s">
        <v>44</v>
      </c>
      <c r="C24" s="742"/>
      <c r="D24" s="742"/>
      <c r="E24" s="742"/>
      <c r="F24" s="646">
        <v>233.5</v>
      </c>
      <c r="G24" s="646">
        <v>2139</v>
      </c>
      <c r="H24" s="647">
        <v>8410</v>
      </c>
      <c r="I24" s="673">
        <v>2102</v>
      </c>
      <c r="J24" s="647"/>
      <c r="K24" s="648">
        <f t="shared" si="0"/>
        <v>10512</v>
      </c>
    </row>
    <row r="25" spans="1:11" ht="18" customHeight="1" x14ac:dyDescent="0.3">
      <c r="A25" s="639" t="s">
        <v>79</v>
      </c>
      <c r="B25" s="742" t="s">
        <v>5</v>
      </c>
      <c r="C25" s="742"/>
      <c r="D25" s="742"/>
      <c r="E25" s="742"/>
      <c r="F25" s="646"/>
      <c r="G25" s="646"/>
      <c r="H25" s="647"/>
      <c r="I25" s="673">
        <v>0</v>
      </c>
      <c r="J25" s="647"/>
      <c r="K25" s="648">
        <f t="shared" si="0"/>
        <v>0</v>
      </c>
    </row>
    <row r="26" spans="1:11" ht="18" customHeight="1" x14ac:dyDescent="0.3">
      <c r="A26" s="639" t="s">
        <v>80</v>
      </c>
      <c r="B26" s="742" t="s">
        <v>45</v>
      </c>
      <c r="C26" s="742"/>
      <c r="D26" s="742"/>
      <c r="E26" s="742"/>
      <c r="F26" s="646"/>
      <c r="G26" s="646"/>
      <c r="H26" s="647"/>
      <c r="I26" s="673">
        <v>0</v>
      </c>
      <c r="J26" s="647"/>
      <c r="K26" s="648">
        <f t="shared" si="0"/>
        <v>0</v>
      </c>
    </row>
    <row r="27" spans="1:11" ht="18" customHeight="1" x14ac:dyDescent="0.3">
      <c r="A27" s="639" t="s">
        <v>81</v>
      </c>
      <c r="B27" s="742" t="s">
        <v>46</v>
      </c>
      <c r="C27" s="742"/>
      <c r="D27" s="742"/>
      <c r="E27" s="742"/>
      <c r="F27" s="646"/>
      <c r="G27" s="646"/>
      <c r="H27" s="647"/>
      <c r="I27" s="673">
        <v>0</v>
      </c>
      <c r="J27" s="647"/>
      <c r="K27" s="648">
        <f t="shared" si="0"/>
        <v>0</v>
      </c>
    </row>
    <row r="28" spans="1:11" ht="18" customHeight="1" x14ac:dyDescent="0.3">
      <c r="A28" s="639" t="s">
        <v>82</v>
      </c>
      <c r="B28" s="742" t="s">
        <v>47</v>
      </c>
      <c r="C28" s="742"/>
      <c r="D28" s="742"/>
      <c r="E28" s="742"/>
      <c r="F28" s="646"/>
      <c r="G28" s="646"/>
      <c r="H28" s="647"/>
      <c r="I28" s="673">
        <v>0</v>
      </c>
      <c r="J28" s="647"/>
      <c r="K28" s="648">
        <f t="shared" si="0"/>
        <v>0</v>
      </c>
    </row>
    <row r="29" spans="1:11" ht="18" customHeight="1" x14ac:dyDescent="0.3">
      <c r="A29" s="639" t="s">
        <v>83</v>
      </c>
      <c r="B29" s="742" t="s">
        <v>48</v>
      </c>
      <c r="C29" s="742"/>
      <c r="D29" s="742"/>
      <c r="E29" s="742"/>
      <c r="F29" s="646"/>
      <c r="G29" s="646"/>
      <c r="H29" s="647">
        <v>198883</v>
      </c>
      <c r="I29" s="673">
        <v>0</v>
      </c>
      <c r="J29" s="647"/>
      <c r="K29" s="648">
        <f t="shared" si="0"/>
        <v>198883</v>
      </c>
    </row>
    <row r="30" spans="1:11" ht="18" customHeight="1" x14ac:dyDescent="0.3">
      <c r="A30" s="639" t="s">
        <v>84</v>
      </c>
      <c r="B30" s="1351" t="s">
        <v>650</v>
      </c>
      <c r="C30" s="1352"/>
      <c r="D30" s="1353"/>
      <c r="E30" s="742"/>
      <c r="F30" s="646">
        <v>6194.5</v>
      </c>
      <c r="G30" s="646">
        <v>15414</v>
      </c>
      <c r="H30" s="647">
        <v>137659</v>
      </c>
      <c r="I30" s="673">
        <v>87765</v>
      </c>
      <c r="J30" s="647"/>
      <c r="K30" s="648">
        <f t="shared" si="0"/>
        <v>225424</v>
      </c>
    </row>
    <row r="31" spans="1:11" ht="18" customHeight="1" x14ac:dyDescent="0.3">
      <c r="A31" s="639" t="s">
        <v>133</v>
      </c>
      <c r="B31" s="1351"/>
      <c r="C31" s="1352"/>
      <c r="D31" s="1353"/>
      <c r="E31" s="742"/>
      <c r="F31" s="646"/>
      <c r="G31" s="646"/>
      <c r="H31" s="647"/>
      <c r="I31" s="673">
        <v>0</v>
      </c>
      <c r="J31" s="647"/>
      <c r="K31" s="648">
        <f t="shared" si="0"/>
        <v>0</v>
      </c>
    </row>
    <row r="32" spans="1:11" ht="18" customHeight="1" x14ac:dyDescent="0.3">
      <c r="A32" s="639" t="s">
        <v>134</v>
      </c>
      <c r="B32" s="909"/>
      <c r="C32" s="910"/>
      <c r="D32" s="911"/>
      <c r="E32" s="742"/>
      <c r="F32" s="646"/>
      <c r="G32" s="675"/>
      <c r="H32" s="647"/>
      <c r="I32" s="673">
        <v>0</v>
      </c>
      <c r="J32" s="647"/>
      <c r="K32" s="648">
        <f t="shared" si="0"/>
        <v>0</v>
      </c>
    </row>
    <row r="33" spans="1:11" ht="18" customHeight="1" x14ac:dyDescent="0.3">
      <c r="A33" s="639" t="s">
        <v>135</v>
      </c>
      <c r="B33" s="909"/>
      <c r="C33" s="910"/>
      <c r="D33" s="911"/>
      <c r="E33" s="742"/>
      <c r="F33" s="646"/>
      <c r="G33" s="675"/>
      <c r="H33" s="647"/>
      <c r="I33" s="673">
        <v>0</v>
      </c>
      <c r="J33" s="647"/>
      <c r="K33" s="648">
        <f t="shared" si="0"/>
        <v>0</v>
      </c>
    </row>
    <row r="34" spans="1:11" ht="18" customHeight="1" x14ac:dyDescent="0.3">
      <c r="A34" s="639" t="s">
        <v>136</v>
      </c>
      <c r="B34" s="1351"/>
      <c r="C34" s="1352"/>
      <c r="D34" s="1353"/>
      <c r="E34" s="742"/>
      <c r="F34" s="646"/>
      <c r="G34" s="675"/>
      <c r="H34" s="647"/>
      <c r="I34" s="673">
        <v>0</v>
      </c>
      <c r="J34" s="647"/>
      <c r="K34" s="648">
        <f t="shared" si="0"/>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1">SUM(F21:F34)</f>
        <v>6740</v>
      </c>
      <c r="G36" s="650">
        <f t="shared" si="1"/>
        <v>20101</v>
      </c>
      <c r="H36" s="650">
        <f t="shared" si="1"/>
        <v>404621</v>
      </c>
      <c r="I36" s="648">
        <f t="shared" si="1"/>
        <v>93449</v>
      </c>
      <c r="J36" s="648">
        <f t="shared" si="1"/>
        <v>0</v>
      </c>
      <c r="K36" s="648">
        <f t="shared" si="1"/>
        <v>498070</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c r="I40" s="673">
        <v>0</v>
      </c>
      <c r="J40" s="647"/>
      <c r="K40" s="648">
        <f t="shared" ref="K40:K47" si="2">(H40+I40)-J40</f>
        <v>0</v>
      </c>
    </row>
    <row r="41" spans="1:11" ht="18" customHeight="1" x14ac:dyDescent="0.3">
      <c r="A41" s="639" t="s">
        <v>88</v>
      </c>
      <c r="B41" s="1359" t="s">
        <v>50</v>
      </c>
      <c r="C41" s="1359"/>
      <c r="D41" s="742"/>
      <c r="E41" s="742"/>
      <c r="F41" s="646">
        <v>26400</v>
      </c>
      <c r="G41" s="646"/>
      <c r="H41" s="647">
        <v>682486</v>
      </c>
      <c r="I41" s="673">
        <v>539164</v>
      </c>
      <c r="J41" s="647"/>
      <c r="K41" s="648">
        <f t="shared" si="2"/>
        <v>1221650</v>
      </c>
    </row>
    <row r="42" spans="1:11" ht="18" customHeight="1" x14ac:dyDescent="0.3">
      <c r="A42" s="639" t="s">
        <v>89</v>
      </c>
      <c r="B42" s="635" t="s">
        <v>11</v>
      </c>
      <c r="C42" s="742"/>
      <c r="D42" s="742"/>
      <c r="E42" s="742"/>
      <c r="F42" s="646">
        <v>7962.5</v>
      </c>
      <c r="G42" s="646">
        <v>50</v>
      </c>
      <c r="H42" s="647">
        <v>268650</v>
      </c>
      <c r="I42" s="673">
        <v>212235</v>
      </c>
      <c r="J42" s="647"/>
      <c r="K42" s="648">
        <f t="shared" si="2"/>
        <v>480885</v>
      </c>
    </row>
    <row r="43" spans="1:11" ht="18" customHeight="1" x14ac:dyDescent="0.3">
      <c r="A43" s="639" t="s">
        <v>90</v>
      </c>
      <c r="B43" s="670" t="s">
        <v>10</v>
      </c>
      <c r="C43" s="642"/>
      <c r="D43" s="642"/>
      <c r="E43" s="742"/>
      <c r="F43" s="646"/>
      <c r="G43" s="646"/>
      <c r="H43" s="647"/>
      <c r="I43" s="673">
        <v>0</v>
      </c>
      <c r="J43" s="647"/>
      <c r="K43" s="648">
        <f t="shared" si="2"/>
        <v>0</v>
      </c>
    </row>
    <row r="44" spans="1:11" ht="18" customHeight="1" x14ac:dyDescent="0.3">
      <c r="A44" s="639" t="s">
        <v>91</v>
      </c>
      <c r="B44" s="1351" t="s">
        <v>651</v>
      </c>
      <c r="C44" s="1352"/>
      <c r="D44" s="1353"/>
      <c r="E44" s="742"/>
      <c r="F44" s="677">
        <v>5856</v>
      </c>
      <c r="G44" s="677">
        <v>230</v>
      </c>
      <c r="H44" s="677">
        <v>89644</v>
      </c>
      <c r="I44" s="678">
        <v>70819</v>
      </c>
      <c r="J44" s="677"/>
      <c r="K44" s="679">
        <f t="shared" si="2"/>
        <v>160463</v>
      </c>
    </row>
    <row r="45" spans="1:11" ht="18" customHeight="1" x14ac:dyDescent="0.3">
      <c r="A45" s="639" t="s">
        <v>139</v>
      </c>
      <c r="B45" s="1351"/>
      <c r="C45" s="1352"/>
      <c r="D45" s="1353"/>
      <c r="E45" s="742"/>
      <c r="F45" s="646"/>
      <c r="G45" s="646"/>
      <c r="H45" s="647"/>
      <c r="I45" s="673">
        <v>0</v>
      </c>
      <c r="J45" s="647"/>
      <c r="K45" s="648">
        <f t="shared" si="2"/>
        <v>0</v>
      </c>
    </row>
    <row r="46" spans="1:11" ht="18" customHeight="1" x14ac:dyDescent="0.3">
      <c r="A46" s="639" t="s">
        <v>140</v>
      </c>
      <c r="B46" s="1351"/>
      <c r="C46" s="1352"/>
      <c r="D46" s="1353"/>
      <c r="E46" s="742"/>
      <c r="F46" s="646"/>
      <c r="G46" s="646"/>
      <c r="H46" s="647"/>
      <c r="I46" s="673">
        <v>0</v>
      </c>
      <c r="J46" s="647"/>
      <c r="K46" s="648">
        <f t="shared" si="2"/>
        <v>0</v>
      </c>
    </row>
    <row r="47" spans="1:11" ht="18" customHeight="1" x14ac:dyDescent="0.3">
      <c r="A47" s="639" t="s">
        <v>141</v>
      </c>
      <c r="B47" s="1351"/>
      <c r="C47" s="1352"/>
      <c r="D47" s="1353"/>
      <c r="E47" s="742"/>
      <c r="F47" s="646"/>
      <c r="G47" s="646"/>
      <c r="H47" s="647"/>
      <c r="I47" s="673">
        <v>0</v>
      </c>
      <c r="J47" s="647"/>
      <c r="K47" s="648">
        <f t="shared" si="2"/>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3">SUM(F40:F47)</f>
        <v>40218.5</v>
      </c>
      <c r="G49" s="654">
        <f t="shared" si="3"/>
        <v>280</v>
      </c>
      <c r="H49" s="648">
        <f t="shared" si="3"/>
        <v>1040780</v>
      </c>
      <c r="I49" s="648">
        <f t="shared" si="3"/>
        <v>822218</v>
      </c>
      <c r="J49" s="648">
        <f t="shared" si="3"/>
        <v>0</v>
      </c>
      <c r="K49" s="648">
        <f t="shared" si="3"/>
        <v>1862998</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455" t="s">
        <v>625</v>
      </c>
      <c r="C53" s="1456"/>
      <c r="D53" s="1457"/>
      <c r="E53" s="742"/>
      <c r="F53" s="646"/>
      <c r="G53" s="646">
        <v>283</v>
      </c>
      <c r="H53" s="647">
        <v>2992616</v>
      </c>
      <c r="I53" s="673">
        <v>0</v>
      </c>
      <c r="J53" s="647"/>
      <c r="K53" s="648">
        <f t="shared" ref="K53:K62" si="4">(H53+I53)-J53</f>
        <v>2992616</v>
      </c>
    </row>
    <row r="54" spans="1:11" ht="18" customHeight="1" x14ac:dyDescent="0.3">
      <c r="A54" s="639" t="s">
        <v>93</v>
      </c>
      <c r="B54" s="912" t="s">
        <v>848</v>
      </c>
      <c r="C54" s="913"/>
      <c r="D54" s="914"/>
      <c r="E54" s="742"/>
      <c r="F54" s="646"/>
      <c r="G54" s="646">
        <v>24796</v>
      </c>
      <c r="H54" s="647">
        <v>2186133</v>
      </c>
      <c r="I54" s="673">
        <v>0</v>
      </c>
      <c r="J54" s="647">
        <v>48865</v>
      </c>
      <c r="K54" s="648">
        <f t="shared" si="4"/>
        <v>2137268</v>
      </c>
    </row>
    <row r="55" spans="1:11" ht="18" customHeight="1" x14ac:dyDescent="0.3">
      <c r="A55" s="639" t="s">
        <v>94</v>
      </c>
      <c r="B55" s="1354" t="s">
        <v>554</v>
      </c>
      <c r="C55" s="1355"/>
      <c r="D55" s="1356"/>
      <c r="E55" s="742"/>
      <c r="F55" s="646"/>
      <c r="G55" s="646">
        <v>1516</v>
      </c>
      <c r="H55" s="647">
        <v>653911</v>
      </c>
      <c r="I55" s="673">
        <v>0</v>
      </c>
      <c r="J55" s="647"/>
      <c r="K55" s="648">
        <f t="shared" si="4"/>
        <v>653911</v>
      </c>
    </row>
    <row r="56" spans="1:11" ht="18" customHeight="1" x14ac:dyDescent="0.3">
      <c r="A56" s="639" t="s">
        <v>95</v>
      </c>
      <c r="B56" s="1354" t="s">
        <v>849</v>
      </c>
      <c r="C56" s="1355"/>
      <c r="D56" s="1356"/>
      <c r="E56" s="742"/>
      <c r="F56" s="646"/>
      <c r="G56" s="646">
        <v>1859</v>
      </c>
      <c r="H56" s="647">
        <v>1333354</v>
      </c>
      <c r="I56" s="673">
        <v>0</v>
      </c>
      <c r="J56" s="647"/>
      <c r="K56" s="648">
        <f t="shared" si="4"/>
        <v>1333354</v>
      </c>
    </row>
    <row r="57" spans="1:11" ht="18" customHeight="1" x14ac:dyDescent="0.3">
      <c r="A57" s="639" t="s">
        <v>96</v>
      </c>
      <c r="B57" s="1354"/>
      <c r="C57" s="1355"/>
      <c r="D57" s="1356"/>
      <c r="E57" s="742"/>
      <c r="F57" s="646"/>
      <c r="G57" s="646"/>
      <c r="H57" s="647"/>
      <c r="I57" s="673">
        <v>0</v>
      </c>
      <c r="J57" s="647"/>
      <c r="K57" s="648">
        <f t="shared" si="4"/>
        <v>0</v>
      </c>
    </row>
    <row r="58" spans="1:11" ht="18" customHeight="1" x14ac:dyDescent="0.3">
      <c r="A58" s="639" t="s">
        <v>97</v>
      </c>
      <c r="B58" s="912"/>
      <c r="C58" s="913"/>
      <c r="D58" s="914"/>
      <c r="E58" s="742"/>
      <c r="F58" s="646"/>
      <c r="G58" s="646"/>
      <c r="H58" s="647"/>
      <c r="I58" s="673">
        <v>0</v>
      </c>
      <c r="J58" s="647"/>
      <c r="K58" s="648">
        <f t="shared" si="4"/>
        <v>0</v>
      </c>
    </row>
    <row r="59" spans="1:11" ht="18" customHeight="1" x14ac:dyDescent="0.3">
      <c r="A59" s="639" t="s">
        <v>98</v>
      </c>
      <c r="B59" s="1354"/>
      <c r="C59" s="1355"/>
      <c r="D59" s="1356"/>
      <c r="E59" s="742"/>
      <c r="F59" s="646"/>
      <c r="G59" s="646"/>
      <c r="H59" s="647"/>
      <c r="I59" s="673">
        <v>0</v>
      </c>
      <c r="J59" s="647"/>
      <c r="K59" s="648">
        <f t="shared" si="4"/>
        <v>0</v>
      </c>
    </row>
    <row r="60" spans="1:11" ht="18" customHeight="1" x14ac:dyDescent="0.3">
      <c r="A60" s="639" t="s">
        <v>99</v>
      </c>
      <c r="B60" s="912"/>
      <c r="C60" s="913"/>
      <c r="D60" s="914"/>
      <c r="E60" s="742"/>
      <c r="F60" s="646"/>
      <c r="G60" s="646"/>
      <c r="H60" s="647"/>
      <c r="I60" s="673">
        <v>0</v>
      </c>
      <c r="J60" s="647"/>
      <c r="K60" s="648">
        <f t="shared" si="4"/>
        <v>0</v>
      </c>
    </row>
    <row r="61" spans="1:11" ht="18" customHeight="1" x14ac:dyDescent="0.3">
      <c r="A61" s="639" t="s">
        <v>100</v>
      </c>
      <c r="B61" s="912"/>
      <c r="C61" s="913"/>
      <c r="D61" s="914"/>
      <c r="E61" s="742"/>
      <c r="F61" s="646"/>
      <c r="G61" s="646"/>
      <c r="H61" s="647"/>
      <c r="I61" s="673">
        <v>0</v>
      </c>
      <c r="J61" s="647"/>
      <c r="K61" s="648">
        <f t="shared" si="4"/>
        <v>0</v>
      </c>
    </row>
    <row r="62" spans="1:11" ht="18" customHeight="1" x14ac:dyDescent="0.3">
      <c r="A62" s="639" t="s">
        <v>101</v>
      </c>
      <c r="B62" s="1354"/>
      <c r="C62" s="1355"/>
      <c r="D62" s="1356"/>
      <c r="E62" s="742"/>
      <c r="F62" s="646"/>
      <c r="G62" s="646"/>
      <c r="H62" s="647"/>
      <c r="I62" s="673">
        <v>0</v>
      </c>
      <c r="J62" s="647"/>
      <c r="K62" s="648">
        <f t="shared" si="4"/>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5">SUM(F53:F62)</f>
        <v>0</v>
      </c>
      <c r="G64" s="650">
        <f t="shared" si="5"/>
        <v>28454</v>
      </c>
      <c r="H64" s="648">
        <f t="shared" si="5"/>
        <v>7166014</v>
      </c>
      <c r="I64" s="648">
        <f t="shared" si="5"/>
        <v>0</v>
      </c>
      <c r="J64" s="648">
        <f t="shared" si="5"/>
        <v>48865</v>
      </c>
      <c r="K64" s="648">
        <f t="shared" si="5"/>
        <v>7117149</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912"/>
      <c r="C70" s="913"/>
      <c r="D70" s="914"/>
      <c r="E70" s="636"/>
      <c r="F70" s="658"/>
      <c r="G70" s="658"/>
      <c r="H70" s="659"/>
      <c r="I70" s="673">
        <v>0</v>
      </c>
      <c r="J70" s="659"/>
      <c r="K70" s="648">
        <f>(H70+I70)-J70</f>
        <v>0</v>
      </c>
    </row>
    <row r="71" spans="1:11" ht="18" customHeight="1" x14ac:dyDescent="0.3">
      <c r="A71" s="639" t="s">
        <v>179</v>
      </c>
      <c r="B71" s="912"/>
      <c r="C71" s="913"/>
      <c r="D71" s="914"/>
      <c r="E71" s="636"/>
      <c r="F71" s="658"/>
      <c r="G71" s="658"/>
      <c r="H71" s="659"/>
      <c r="I71" s="673">
        <v>0</v>
      </c>
      <c r="J71" s="659"/>
      <c r="K71" s="648">
        <f>(H71+I71)-J71</f>
        <v>0</v>
      </c>
    </row>
    <row r="72" spans="1:11" ht="18" customHeight="1" x14ac:dyDescent="0.3">
      <c r="A72" s="639" t="s">
        <v>180</v>
      </c>
      <c r="B72" s="930"/>
      <c r="C72" s="929"/>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6">SUM(F68:F72)</f>
        <v>0</v>
      </c>
      <c r="G74" s="653">
        <f t="shared" si="6"/>
        <v>0</v>
      </c>
      <c r="H74" s="653">
        <f t="shared" si="6"/>
        <v>0</v>
      </c>
      <c r="I74" s="676">
        <f t="shared" si="6"/>
        <v>0</v>
      </c>
      <c r="J74" s="653">
        <f t="shared" si="6"/>
        <v>0</v>
      </c>
      <c r="K74" s="649">
        <f t="shared" si="6"/>
        <v>0</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v>28915</v>
      </c>
      <c r="I77" s="673">
        <v>0</v>
      </c>
      <c r="J77" s="647"/>
      <c r="K77" s="648">
        <f>(H77+I77)-J77</f>
        <v>28915</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c r="G79" s="646"/>
      <c r="H79" s="647"/>
      <c r="I79" s="673">
        <v>0</v>
      </c>
      <c r="J79" s="647"/>
      <c r="K79" s="648">
        <f>(H79+I79)-J79</f>
        <v>0</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7">SUM(F77:F80)</f>
        <v>0</v>
      </c>
      <c r="G82" s="653">
        <f t="shared" si="7"/>
        <v>0</v>
      </c>
      <c r="H82" s="649">
        <f t="shared" si="7"/>
        <v>28915</v>
      </c>
      <c r="I82" s="649">
        <f t="shared" si="7"/>
        <v>0</v>
      </c>
      <c r="J82" s="649">
        <f t="shared" si="7"/>
        <v>0</v>
      </c>
      <c r="K82" s="649">
        <f t="shared" si="7"/>
        <v>28915</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v>0</v>
      </c>
      <c r="J86" s="647"/>
      <c r="K86" s="648">
        <f t="shared" ref="K86:K96" si="8">(H86+I86)-J86</f>
        <v>0</v>
      </c>
    </row>
    <row r="87" spans="1:11" ht="18" customHeight="1" x14ac:dyDescent="0.3">
      <c r="A87" s="639" t="s">
        <v>114</v>
      </c>
      <c r="B87" s="635" t="s">
        <v>14</v>
      </c>
      <c r="C87" s="742"/>
      <c r="D87" s="742"/>
      <c r="E87" s="742"/>
      <c r="F87" s="646"/>
      <c r="G87" s="646"/>
      <c r="H87" s="647"/>
      <c r="I87" s="673">
        <v>0</v>
      </c>
      <c r="J87" s="647"/>
      <c r="K87" s="648">
        <f t="shared" si="8"/>
        <v>0</v>
      </c>
    </row>
    <row r="88" spans="1:11" ht="18" customHeight="1" x14ac:dyDescent="0.3">
      <c r="A88" s="639" t="s">
        <v>115</v>
      </c>
      <c r="B88" s="635" t="s">
        <v>116</v>
      </c>
      <c r="C88" s="742"/>
      <c r="D88" s="742"/>
      <c r="E88" s="742"/>
      <c r="F88" s="646"/>
      <c r="G88" s="646"/>
      <c r="H88" s="647"/>
      <c r="I88" s="673">
        <v>0</v>
      </c>
      <c r="J88" s="647"/>
      <c r="K88" s="648">
        <f t="shared" si="8"/>
        <v>0</v>
      </c>
    </row>
    <row r="89" spans="1:11" ht="18" customHeight="1" x14ac:dyDescent="0.3">
      <c r="A89" s="639" t="s">
        <v>117</v>
      </c>
      <c r="B89" s="635" t="s">
        <v>58</v>
      </c>
      <c r="C89" s="742"/>
      <c r="D89" s="742"/>
      <c r="E89" s="742"/>
      <c r="F89" s="646"/>
      <c r="G89" s="646"/>
      <c r="H89" s="647"/>
      <c r="I89" s="673">
        <v>0</v>
      </c>
      <c r="J89" s="647"/>
      <c r="K89" s="648">
        <f t="shared" si="8"/>
        <v>0</v>
      </c>
    </row>
    <row r="90" spans="1:11" ht="18" customHeight="1" x14ac:dyDescent="0.3">
      <c r="A90" s="639" t="s">
        <v>118</v>
      </c>
      <c r="B90" s="1359" t="s">
        <v>59</v>
      </c>
      <c r="C90" s="1359"/>
      <c r="D90" s="742"/>
      <c r="E90" s="742"/>
      <c r="F90" s="646"/>
      <c r="G90" s="646"/>
      <c r="H90" s="647"/>
      <c r="I90" s="673">
        <v>0</v>
      </c>
      <c r="J90" s="647"/>
      <c r="K90" s="648">
        <f t="shared" si="8"/>
        <v>0</v>
      </c>
    </row>
    <row r="91" spans="1:11" ht="18" customHeight="1" x14ac:dyDescent="0.3">
      <c r="A91" s="639" t="s">
        <v>119</v>
      </c>
      <c r="B91" s="635" t="s">
        <v>60</v>
      </c>
      <c r="C91" s="742"/>
      <c r="D91" s="742"/>
      <c r="E91" s="742"/>
      <c r="F91" s="646"/>
      <c r="G91" s="646"/>
      <c r="H91" s="647"/>
      <c r="I91" s="673">
        <v>0</v>
      </c>
      <c r="J91" s="647"/>
      <c r="K91" s="648">
        <f t="shared" si="8"/>
        <v>0</v>
      </c>
    </row>
    <row r="92" spans="1:11" ht="18" customHeight="1" x14ac:dyDescent="0.3">
      <c r="A92" s="639" t="s">
        <v>120</v>
      </c>
      <c r="B92" s="635" t="s">
        <v>121</v>
      </c>
      <c r="C92" s="742"/>
      <c r="D92" s="742"/>
      <c r="E92" s="742"/>
      <c r="F92" s="661">
        <v>13.8</v>
      </c>
      <c r="G92" s="661">
        <v>99</v>
      </c>
      <c r="H92" s="662">
        <v>27063</v>
      </c>
      <c r="I92" s="673">
        <v>0</v>
      </c>
      <c r="J92" s="662"/>
      <c r="K92" s="648">
        <f t="shared" si="8"/>
        <v>27063</v>
      </c>
    </row>
    <row r="93" spans="1:11" ht="18" customHeight="1" x14ac:dyDescent="0.3">
      <c r="A93" s="639" t="s">
        <v>122</v>
      </c>
      <c r="B93" s="635" t="s">
        <v>123</v>
      </c>
      <c r="C93" s="742"/>
      <c r="D93" s="742"/>
      <c r="E93" s="742"/>
      <c r="F93" s="646">
        <v>14694</v>
      </c>
      <c r="G93" s="646">
        <v>1924</v>
      </c>
      <c r="H93" s="647">
        <v>745843</v>
      </c>
      <c r="I93" s="673">
        <v>589213</v>
      </c>
      <c r="J93" s="647"/>
      <c r="K93" s="648">
        <f t="shared" si="8"/>
        <v>1335056</v>
      </c>
    </row>
    <row r="94" spans="1:11" ht="18" customHeight="1" x14ac:dyDescent="0.3">
      <c r="A94" s="639" t="s">
        <v>124</v>
      </c>
      <c r="B94" s="1354"/>
      <c r="C94" s="1355"/>
      <c r="D94" s="1356"/>
      <c r="E94" s="742"/>
      <c r="F94" s="646"/>
      <c r="G94" s="646"/>
      <c r="H94" s="647"/>
      <c r="I94" s="673">
        <v>0</v>
      </c>
      <c r="J94" s="647"/>
      <c r="K94" s="648">
        <f t="shared" si="8"/>
        <v>0</v>
      </c>
    </row>
    <row r="95" spans="1:11" ht="18" customHeight="1" x14ac:dyDescent="0.3">
      <c r="A95" s="639" t="s">
        <v>125</v>
      </c>
      <c r="B95" s="1354"/>
      <c r="C95" s="1355"/>
      <c r="D95" s="1356"/>
      <c r="E95" s="742"/>
      <c r="F95" s="646"/>
      <c r="G95" s="646"/>
      <c r="H95" s="647"/>
      <c r="I95" s="673">
        <v>0</v>
      </c>
      <c r="J95" s="647"/>
      <c r="K95" s="648">
        <f t="shared" si="8"/>
        <v>0</v>
      </c>
    </row>
    <row r="96" spans="1:11" ht="18" customHeight="1" x14ac:dyDescent="0.3">
      <c r="A96" s="639" t="s">
        <v>126</v>
      </c>
      <c r="B96" s="1354"/>
      <c r="C96" s="1355"/>
      <c r="D96" s="1356"/>
      <c r="E96" s="742"/>
      <c r="F96" s="646"/>
      <c r="G96" s="646"/>
      <c r="H96" s="647"/>
      <c r="I96" s="673">
        <v>0</v>
      </c>
      <c r="J96" s="647"/>
      <c r="K96" s="648">
        <f t="shared" si="8"/>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9">SUM(F86:F96)</f>
        <v>14707.8</v>
      </c>
      <c r="G98" s="650">
        <f t="shared" si="9"/>
        <v>2023</v>
      </c>
      <c r="H98" s="650">
        <f t="shared" si="9"/>
        <v>772906</v>
      </c>
      <c r="I98" s="650">
        <f t="shared" si="9"/>
        <v>589213</v>
      </c>
      <c r="J98" s="650">
        <f t="shared" si="9"/>
        <v>0</v>
      </c>
      <c r="K98" s="650">
        <f t="shared" si="9"/>
        <v>1362119</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10901</v>
      </c>
      <c r="G102" s="646"/>
      <c r="H102" s="647">
        <v>493985</v>
      </c>
      <c r="I102" s="673">
        <v>390248</v>
      </c>
      <c r="J102" s="647"/>
      <c r="K102" s="648">
        <f>(H102+I102)-J102</f>
        <v>884233</v>
      </c>
    </row>
    <row r="103" spans="1:11" ht="18" customHeight="1" x14ac:dyDescent="0.3">
      <c r="A103" s="639" t="s">
        <v>132</v>
      </c>
      <c r="B103" s="1357" t="s">
        <v>62</v>
      </c>
      <c r="C103" s="1357"/>
      <c r="D103" s="742"/>
      <c r="E103" s="742"/>
      <c r="F103" s="646"/>
      <c r="G103" s="646"/>
      <c r="H103" s="647"/>
      <c r="I103" s="673">
        <v>0</v>
      </c>
      <c r="J103" s="647"/>
      <c r="K103" s="648">
        <f>(H103+I103)-J103</f>
        <v>0</v>
      </c>
    </row>
    <row r="104" spans="1:11" ht="18" customHeight="1" x14ac:dyDescent="0.3">
      <c r="A104" s="639" t="s">
        <v>128</v>
      </c>
      <c r="B104" s="1455" t="s">
        <v>850</v>
      </c>
      <c r="C104" s="1456"/>
      <c r="D104" s="1457"/>
      <c r="E104" s="742"/>
      <c r="F104" s="646">
        <v>8</v>
      </c>
      <c r="G104" s="646"/>
      <c r="H104" s="647">
        <v>216</v>
      </c>
      <c r="I104" s="673">
        <v>171</v>
      </c>
      <c r="J104" s="647"/>
      <c r="K104" s="648">
        <f>(H104+I104)-J104</f>
        <v>387</v>
      </c>
    </row>
    <row r="105" spans="1:11" ht="18" customHeight="1" x14ac:dyDescent="0.3">
      <c r="A105" s="639" t="s">
        <v>127</v>
      </c>
      <c r="B105" s="1354"/>
      <c r="C105" s="1355"/>
      <c r="D105" s="1356"/>
      <c r="E105" s="742"/>
      <c r="F105" s="646"/>
      <c r="G105" s="646"/>
      <c r="H105" s="647"/>
      <c r="I105" s="673">
        <v>0</v>
      </c>
      <c r="J105" s="647"/>
      <c r="K105" s="648">
        <f>(H105+I105)-J105</f>
        <v>0</v>
      </c>
    </row>
    <row r="106" spans="1:11" ht="18" customHeight="1" x14ac:dyDescent="0.3">
      <c r="A106" s="639" t="s">
        <v>129</v>
      </c>
      <c r="B106" s="1354"/>
      <c r="C106" s="1355"/>
      <c r="D106" s="1356"/>
      <c r="E106" s="742"/>
      <c r="F106" s="646"/>
      <c r="G106" s="646"/>
      <c r="H106" s="647"/>
      <c r="I106" s="673">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0">SUM(F102:F106)</f>
        <v>10909</v>
      </c>
      <c r="G108" s="650">
        <f t="shared" si="10"/>
        <v>0</v>
      </c>
      <c r="H108" s="648">
        <f t="shared" si="10"/>
        <v>494201</v>
      </c>
      <c r="I108" s="648">
        <f t="shared" si="10"/>
        <v>390419</v>
      </c>
      <c r="J108" s="648">
        <f t="shared" si="10"/>
        <v>0</v>
      </c>
      <c r="K108" s="648">
        <f t="shared" si="10"/>
        <v>884620</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3014042</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v>0.78949999999999998</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238070084</v>
      </c>
      <c r="G117" s="740"/>
      <c r="H117" s="740"/>
      <c r="I117" s="740"/>
      <c r="J117" s="740"/>
      <c r="K117" s="740"/>
    </row>
    <row r="118" spans="1:11" ht="18" customHeight="1" x14ac:dyDescent="0.3">
      <c r="A118" s="639" t="s">
        <v>173</v>
      </c>
      <c r="B118" s="742" t="s">
        <v>18</v>
      </c>
      <c r="C118" s="742"/>
      <c r="D118" s="742"/>
      <c r="E118" s="742"/>
      <c r="F118" s="647">
        <v>10165798</v>
      </c>
      <c r="G118" s="740"/>
      <c r="H118" s="740"/>
      <c r="I118" s="740"/>
      <c r="J118" s="740"/>
      <c r="K118" s="740"/>
    </row>
    <row r="119" spans="1:11" ht="18" customHeight="1" x14ac:dyDescent="0.3">
      <c r="A119" s="639" t="s">
        <v>174</v>
      </c>
      <c r="B119" s="636" t="s">
        <v>19</v>
      </c>
      <c r="C119" s="742"/>
      <c r="D119" s="742"/>
      <c r="E119" s="742"/>
      <c r="F119" s="649">
        <f>SUM(F117:F118)</f>
        <v>248235882</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243629886</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f>+F119-F121</f>
        <v>4605996</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57645</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f>+F123+F125-1</f>
        <v>4663640</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1">SUM(F131:F135)</f>
        <v>0</v>
      </c>
      <c r="G137" s="650">
        <f t="shared" si="11"/>
        <v>0</v>
      </c>
      <c r="H137" s="648">
        <f t="shared" si="11"/>
        <v>0</v>
      </c>
      <c r="I137" s="648">
        <f t="shared" si="11"/>
        <v>0</v>
      </c>
      <c r="J137" s="648">
        <f t="shared" si="11"/>
        <v>0</v>
      </c>
      <c r="K137" s="648">
        <f t="shared" si="11"/>
        <v>0</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2">F36</f>
        <v>6740</v>
      </c>
      <c r="G141" s="664">
        <f t="shared" si="12"/>
        <v>20101</v>
      </c>
      <c r="H141" s="664">
        <f t="shared" si="12"/>
        <v>404621</v>
      </c>
      <c r="I141" s="664">
        <f t="shared" si="12"/>
        <v>93449</v>
      </c>
      <c r="J141" s="664">
        <f t="shared" si="12"/>
        <v>0</v>
      </c>
      <c r="K141" s="664">
        <f t="shared" si="12"/>
        <v>498070</v>
      </c>
    </row>
    <row r="142" spans="1:11" ht="18" customHeight="1" x14ac:dyDescent="0.3">
      <c r="A142" s="639" t="s">
        <v>142</v>
      </c>
      <c r="B142" s="636" t="s">
        <v>65</v>
      </c>
      <c r="C142" s="742"/>
      <c r="D142" s="742"/>
      <c r="E142" s="742"/>
      <c r="F142" s="664">
        <f t="shared" ref="F142:K142" si="13">F49</f>
        <v>40218.5</v>
      </c>
      <c r="G142" s="664">
        <f t="shared" si="13"/>
        <v>280</v>
      </c>
      <c r="H142" s="664">
        <f t="shared" si="13"/>
        <v>1040780</v>
      </c>
      <c r="I142" s="664">
        <f t="shared" si="13"/>
        <v>822218</v>
      </c>
      <c r="J142" s="664">
        <f t="shared" si="13"/>
        <v>0</v>
      </c>
      <c r="K142" s="664">
        <f t="shared" si="13"/>
        <v>1862998</v>
      </c>
    </row>
    <row r="143" spans="1:11" ht="18" customHeight="1" x14ac:dyDescent="0.3">
      <c r="A143" s="639" t="s">
        <v>144</v>
      </c>
      <c r="B143" s="636" t="s">
        <v>66</v>
      </c>
      <c r="C143" s="742"/>
      <c r="D143" s="742"/>
      <c r="E143" s="742"/>
      <c r="F143" s="664">
        <f t="shared" ref="F143:K143" si="14">F64</f>
        <v>0</v>
      </c>
      <c r="G143" s="664">
        <f t="shared" si="14"/>
        <v>28454</v>
      </c>
      <c r="H143" s="664">
        <f t="shared" si="14"/>
        <v>7166014</v>
      </c>
      <c r="I143" s="664">
        <f t="shared" si="14"/>
        <v>0</v>
      </c>
      <c r="J143" s="664">
        <f t="shared" si="14"/>
        <v>48865</v>
      </c>
      <c r="K143" s="664">
        <f t="shared" si="14"/>
        <v>7117149</v>
      </c>
    </row>
    <row r="144" spans="1:11" ht="18" customHeight="1" x14ac:dyDescent="0.3">
      <c r="A144" s="639" t="s">
        <v>146</v>
      </c>
      <c r="B144" s="636" t="s">
        <v>67</v>
      </c>
      <c r="C144" s="742"/>
      <c r="D144" s="742"/>
      <c r="E144" s="742"/>
      <c r="F144" s="664">
        <f t="shared" ref="F144:K144" si="15">F74</f>
        <v>0</v>
      </c>
      <c r="G144" s="664">
        <f t="shared" si="15"/>
        <v>0</v>
      </c>
      <c r="H144" s="664">
        <f t="shared" si="15"/>
        <v>0</v>
      </c>
      <c r="I144" s="664">
        <f t="shared" si="15"/>
        <v>0</v>
      </c>
      <c r="J144" s="664">
        <f t="shared" si="15"/>
        <v>0</v>
      </c>
      <c r="K144" s="664">
        <f t="shared" si="15"/>
        <v>0</v>
      </c>
    </row>
    <row r="145" spans="1:11" ht="18" customHeight="1" x14ac:dyDescent="0.3">
      <c r="A145" s="639" t="s">
        <v>148</v>
      </c>
      <c r="B145" s="636" t="s">
        <v>68</v>
      </c>
      <c r="C145" s="742"/>
      <c r="D145" s="742"/>
      <c r="E145" s="742"/>
      <c r="F145" s="664">
        <f t="shared" ref="F145:K145" si="16">F82</f>
        <v>0</v>
      </c>
      <c r="G145" s="664">
        <f t="shared" si="16"/>
        <v>0</v>
      </c>
      <c r="H145" s="664">
        <f t="shared" si="16"/>
        <v>28915</v>
      </c>
      <c r="I145" s="664">
        <f t="shared" si="16"/>
        <v>0</v>
      </c>
      <c r="J145" s="664">
        <f t="shared" si="16"/>
        <v>0</v>
      </c>
      <c r="K145" s="664">
        <f t="shared" si="16"/>
        <v>28915</v>
      </c>
    </row>
    <row r="146" spans="1:11" ht="18" customHeight="1" x14ac:dyDescent="0.3">
      <c r="A146" s="639" t="s">
        <v>150</v>
      </c>
      <c r="B146" s="636" t="s">
        <v>69</v>
      </c>
      <c r="C146" s="742"/>
      <c r="D146" s="742"/>
      <c r="E146" s="742"/>
      <c r="F146" s="664">
        <f t="shared" ref="F146:K146" si="17">F98</f>
        <v>14707.8</v>
      </c>
      <c r="G146" s="664">
        <f t="shared" si="17"/>
        <v>2023</v>
      </c>
      <c r="H146" s="664">
        <f t="shared" si="17"/>
        <v>772906</v>
      </c>
      <c r="I146" s="664">
        <f t="shared" si="17"/>
        <v>589213</v>
      </c>
      <c r="J146" s="664">
        <f t="shared" si="17"/>
        <v>0</v>
      </c>
      <c r="K146" s="664">
        <f t="shared" si="17"/>
        <v>1362119</v>
      </c>
    </row>
    <row r="147" spans="1:11" ht="18" customHeight="1" x14ac:dyDescent="0.3">
      <c r="A147" s="639" t="s">
        <v>153</v>
      </c>
      <c r="B147" s="636" t="s">
        <v>61</v>
      </c>
      <c r="C147" s="742"/>
      <c r="D147" s="742"/>
      <c r="E147" s="742"/>
      <c r="F147" s="650">
        <f t="shared" ref="F147:K147" si="18">F108</f>
        <v>10909</v>
      </c>
      <c r="G147" s="650">
        <f t="shared" si="18"/>
        <v>0</v>
      </c>
      <c r="H147" s="650">
        <f t="shared" si="18"/>
        <v>494201</v>
      </c>
      <c r="I147" s="650">
        <f t="shared" si="18"/>
        <v>390419</v>
      </c>
      <c r="J147" s="650">
        <f t="shared" si="18"/>
        <v>0</v>
      </c>
      <c r="K147" s="650">
        <f t="shared" si="18"/>
        <v>884620</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3014042</v>
      </c>
    </row>
    <row r="149" spans="1:11" ht="18" customHeight="1" x14ac:dyDescent="0.3">
      <c r="A149" s="639" t="s">
        <v>163</v>
      </c>
      <c r="B149" s="636" t="s">
        <v>71</v>
      </c>
      <c r="C149" s="742"/>
      <c r="D149" s="742"/>
      <c r="E149" s="742"/>
      <c r="F149" s="650">
        <f t="shared" ref="F149:K149" si="19">F137</f>
        <v>0</v>
      </c>
      <c r="G149" s="650">
        <f t="shared" si="19"/>
        <v>0</v>
      </c>
      <c r="H149" s="650">
        <f t="shared" si="19"/>
        <v>0</v>
      </c>
      <c r="I149" s="650">
        <f t="shared" si="19"/>
        <v>0</v>
      </c>
      <c r="J149" s="650">
        <f t="shared" si="19"/>
        <v>0</v>
      </c>
      <c r="K149" s="650">
        <f t="shared" si="19"/>
        <v>0</v>
      </c>
    </row>
    <row r="150" spans="1:11" ht="18" customHeight="1" x14ac:dyDescent="0.3">
      <c r="A150" s="639" t="s">
        <v>185</v>
      </c>
      <c r="B150" s="636" t="s">
        <v>186</v>
      </c>
      <c r="C150" s="742"/>
      <c r="D150" s="742"/>
      <c r="E150" s="742"/>
      <c r="F150" s="665" t="s">
        <v>73</v>
      </c>
      <c r="G150" s="665" t="s">
        <v>73</v>
      </c>
      <c r="H150" s="650">
        <f>H18</f>
        <v>5981790</v>
      </c>
      <c r="I150" s="650">
        <f>I18</f>
        <v>0</v>
      </c>
      <c r="J150" s="650">
        <f>J18</f>
        <v>5055793</v>
      </c>
      <c r="K150" s="650">
        <f>K18</f>
        <v>925997</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0">SUM(F141:F150)</f>
        <v>72575.3</v>
      </c>
      <c r="G152" s="672">
        <f t="shared" si="20"/>
        <v>50858</v>
      </c>
      <c r="H152" s="672">
        <f t="shared" si="20"/>
        <v>15889227</v>
      </c>
      <c r="I152" s="672">
        <f t="shared" si="20"/>
        <v>1895299</v>
      </c>
      <c r="J152" s="672">
        <f t="shared" si="20"/>
        <v>5104658</v>
      </c>
      <c r="K152" s="672">
        <f t="shared" si="20"/>
        <v>15693910</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6.44170149141719E-2</v>
      </c>
      <c r="G154" s="742"/>
      <c r="H154" s="742"/>
      <c r="I154" s="742"/>
      <c r="J154" s="742"/>
      <c r="K154" s="742"/>
    </row>
    <row r="155" spans="1:11" ht="18" customHeight="1" x14ac:dyDescent="0.3">
      <c r="A155" s="639" t="s">
        <v>169</v>
      </c>
      <c r="B155" s="636" t="s">
        <v>72</v>
      </c>
      <c r="C155" s="742"/>
      <c r="D155" s="742"/>
      <c r="E155" s="742"/>
      <c r="F155" s="687">
        <f>K152/F127</f>
        <v>3.3651632630305941</v>
      </c>
      <c r="G155" s="636"/>
      <c r="H155" s="742"/>
      <c r="I155" s="742"/>
      <c r="J155" s="742"/>
      <c r="K155" s="742"/>
    </row>
    <row r="156" spans="1:11" ht="18" customHeight="1" x14ac:dyDescent="0.3">
      <c r="A156" s="633"/>
      <c r="B156" s="500"/>
      <c r="C156" s="500"/>
      <c r="D156" s="500"/>
      <c r="E156" s="500"/>
      <c r="F156" s="500"/>
      <c r="G156" s="501"/>
      <c r="H156" s="500"/>
      <c r="I156" s="500"/>
      <c r="J156" s="500"/>
      <c r="K156" s="500"/>
    </row>
  </sheetData>
  <sheetProtection sheet="1" objects="1" scenarios="1"/>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F59"/>
  <sheetViews>
    <sheetView topLeftCell="A22" zoomScaleNormal="100" workbookViewId="0">
      <selection activeCell="D34" sqref="D34"/>
    </sheetView>
  </sheetViews>
  <sheetFormatPr defaultColWidth="9.26953125" defaultRowHeight="12.5" x14ac:dyDescent="0.25"/>
  <cols>
    <col min="1" max="1" width="11.54296875" customWidth="1"/>
    <col min="2" max="2" width="40.26953125" bestFit="1" customWidth="1"/>
    <col min="3" max="3" width="19.26953125" bestFit="1" customWidth="1"/>
    <col min="4" max="4" width="20.54296875" customWidth="1"/>
    <col min="5" max="5" width="23.26953125" customWidth="1"/>
    <col min="6" max="6" width="25" customWidth="1"/>
  </cols>
  <sheetData>
    <row r="1" spans="1:6" ht="23.5" x14ac:dyDescent="0.55000000000000004">
      <c r="A1" s="1290" t="s">
        <v>894</v>
      </c>
      <c r="B1" s="791"/>
      <c r="C1" s="791"/>
      <c r="D1" s="792"/>
      <c r="E1" s="793"/>
      <c r="F1" s="790"/>
    </row>
    <row r="2" spans="1:6" ht="29" x14ac:dyDescent="0.35">
      <c r="A2" s="1297" t="s">
        <v>888</v>
      </c>
      <c r="B2" s="1297" t="s">
        <v>206</v>
      </c>
      <c r="C2" s="1298" t="s">
        <v>209</v>
      </c>
      <c r="D2" s="1299" t="s">
        <v>584</v>
      </c>
      <c r="E2" s="1298" t="s">
        <v>656</v>
      </c>
      <c r="F2" s="1300" t="s">
        <v>519</v>
      </c>
    </row>
    <row r="3" spans="1:6" ht="14.5" x14ac:dyDescent="0.35">
      <c r="A3" s="1259">
        <v>1</v>
      </c>
      <c r="B3" s="1259" t="s">
        <v>197</v>
      </c>
      <c r="C3" s="1265">
        <f>'DME_NSPI-all'!C3</f>
        <v>0</v>
      </c>
      <c r="D3" s="1265">
        <f>'DME_NSPI-all'!D3</f>
        <v>312302.40000000002</v>
      </c>
      <c r="E3" s="1265">
        <f>'Charity in Rates'!C3</f>
        <v>5542695.8495827625</v>
      </c>
      <c r="F3" s="1265">
        <f t="shared" ref="F3:F54" si="0">C3+D3+E3</f>
        <v>5854998.2495827628</v>
      </c>
    </row>
    <row r="4" spans="1:6" ht="14.5" x14ac:dyDescent="0.35">
      <c r="A4" s="1260" t="s">
        <v>657</v>
      </c>
      <c r="B4" s="1259" t="s">
        <v>658</v>
      </c>
      <c r="C4" s="1265">
        <f>'DME_NSPI-all'!C4</f>
        <v>120151365.868178</v>
      </c>
      <c r="D4" s="1265">
        <f>'DME_NSPI-all'!D4</f>
        <v>1511612.2</v>
      </c>
      <c r="E4" s="1261">
        <f>'Charity in Rates'!C4</f>
        <v>13493926.50710593</v>
      </c>
      <c r="F4" s="1261">
        <f t="shared" si="0"/>
        <v>135156904.57528391</v>
      </c>
    </row>
    <row r="5" spans="1:6" ht="14.5" x14ac:dyDescent="0.35">
      <c r="A5" s="1259">
        <v>3</v>
      </c>
      <c r="B5" s="1306" t="s">
        <v>904</v>
      </c>
      <c r="C5" s="1265">
        <f>'DME_NSPI-all'!C5</f>
        <v>6074693.9999999991</v>
      </c>
      <c r="D5" s="1265">
        <f>'DME_NSPI-all'!D5</f>
        <v>279091</v>
      </c>
      <c r="E5" s="1261">
        <f>'Charity in Rates'!C5</f>
        <v>10629273.472930619</v>
      </c>
      <c r="F5" s="1261">
        <f t="shared" si="0"/>
        <v>16983058.472930618</v>
      </c>
    </row>
    <row r="6" spans="1:6" ht="14.5" x14ac:dyDescent="0.35">
      <c r="A6" s="1259">
        <v>4</v>
      </c>
      <c r="B6" s="1259" t="s">
        <v>238</v>
      </c>
      <c r="C6" s="1265">
        <f>'DME_NSPI-all'!C6</f>
        <v>2634916.6277450002</v>
      </c>
      <c r="D6" s="1265">
        <f>'DME_NSPI-all'!D6</f>
        <v>480562.3</v>
      </c>
      <c r="E6" s="1261">
        <f>'Charity in Rates'!C6</f>
        <v>27292402.81466544</v>
      </c>
      <c r="F6" s="1261">
        <f t="shared" si="0"/>
        <v>30407881.74241044</v>
      </c>
    </row>
    <row r="7" spans="1:6" ht="14.5" x14ac:dyDescent="0.35">
      <c r="A7" s="1259">
        <v>5</v>
      </c>
      <c r="B7" s="1259" t="s">
        <v>198</v>
      </c>
      <c r="C7" s="1265">
        <f>'DME_NSPI-all'!C7</f>
        <v>0</v>
      </c>
      <c r="D7" s="1265">
        <f>'DME_NSPI-all'!D7</f>
        <v>346609.902</v>
      </c>
      <c r="E7" s="1261">
        <f>'Charity in Rates'!C7</f>
        <v>6904878.6822715523</v>
      </c>
      <c r="F7" s="1261">
        <f t="shared" si="0"/>
        <v>7251488.584271552</v>
      </c>
    </row>
    <row r="8" spans="1:6" ht="14.5" x14ac:dyDescent="0.35">
      <c r="A8" s="1259">
        <v>6</v>
      </c>
      <c r="B8" s="1262" t="s">
        <v>239</v>
      </c>
      <c r="C8" s="1265">
        <f>'DME_NSPI-all'!C8</f>
        <v>0</v>
      </c>
      <c r="D8" s="1265">
        <f>'DME_NSPI-all'!D8</f>
        <v>104703.7</v>
      </c>
      <c r="E8" s="1261">
        <f>'Charity in Rates'!C8</f>
        <v>2096121.0420276222</v>
      </c>
      <c r="F8" s="1263">
        <f t="shared" si="0"/>
        <v>2200824.7420276222</v>
      </c>
    </row>
    <row r="9" spans="1:6" ht="14.5" x14ac:dyDescent="0.35">
      <c r="A9" s="1259">
        <v>8</v>
      </c>
      <c r="B9" s="1259" t="s">
        <v>240</v>
      </c>
      <c r="C9" s="1265">
        <f>'DME_NSPI-all'!C9</f>
        <v>4838568.8813399989</v>
      </c>
      <c r="D9" s="1265">
        <f>'DME_NSPI-all'!D9</f>
        <v>495805.9</v>
      </c>
      <c r="E9" s="1261">
        <f>'Charity in Rates'!C9</f>
        <v>18749304.886954721</v>
      </c>
      <c r="F9" s="1261">
        <f t="shared" si="0"/>
        <v>24083679.66829472</v>
      </c>
    </row>
    <row r="10" spans="1:6" ht="14.5" x14ac:dyDescent="0.35">
      <c r="A10" s="1259">
        <v>9</v>
      </c>
      <c r="B10" s="1259" t="s">
        <v>241</v>
      </c>
      <c r="C10" s="1265">
        <f>'DME_NSPI-all'!C10</f>
        <v>115867629.99999997</v>
      </c>
      <c r="D10" s="1265">
        <f>'DME_NSPI-all'!D10</f>
        <v>2209868.5</v>
      </c>
      <c r="E10" s="1261">
        <f>'Charity in Rates'!C10</f>
        <v>24954380.842761423</v>
      </c>
      <c r="F10" s="1261">
        <f t="shared" si="0"/>
        <v>143031879.3427614</v>
      </c>
    </row>
    <row r="11" spans="1:6" ht="14.5" x14ac:dyDescent="0.35">
      <c r="A11" s="1259">
        <v>10</v>
      </c>
      <c r="B11" s="1259" t="s">
        <v>242</v>
      </c>
      <c r="C11" s="1265">
        <f>'DME_NSPI-all'!C11</f>
        <v>0</v>
      </c>
      <c r="D11" s="1265">
        <f>'DME_NSPI-all'!D11</f>
        <v>56007.200000000004</v>
      </c>
      <c r="E11" s="1261">
        <f>'Charity in Rates'!C11</f>
        <v>783716.15090987051</v>
      </c>
      <c r="F11" s="1261">
        <f t="shared" si="0"/>
        <v>839723.35090987047</v>
      </c>
    </row>
    <row r="12" spans="1:6" ht="14.5" x14ac:dyDescent="0.35">
      <c r="A12" s="1259">
        <v>11</v>
      </c>
      <c r="B12" s="1259" t="s">
        <v>199</v>
      </c>
      <c r="C12" s="1265">
        <f>'DME_NSPI-all'!C12</f>
        <v>7476727.5782749997</v>
      </c>
      <c r="D12" s="1265">
        <f>'DME_NSPI-all'!D12</f>
        <v>418876.8</v>
      </c>
      <c r="E12" s="1261">
        <f>'Charity in Rates'!C12</f>
        <v>27150173.158867747</v>
      </c>
      <c r="F12" s="1261">
        <f t="shared" si="0"/>
        <v>35045777.537142746</v>
      </c>
    </row>
    <row r="13" spans="1:6" ht="14.5" x14ac:dyDescent="0.35">
      <c r="A13" s="1259">
        <v>12</v>
      </c>
      <c r="B13" s="1259" t="s">
        <v>243</v>
      </c>
      <c r="C13" s="1265">
        <f>'DME_NSPI-all'!C13</f>
        <v>15229309.218142999</v>
      </c>
      <c r="D13" s="1265">
        <f>'DME_NSPI-all'!D13</f>
        <v>717312.4</v>
      </c>
      <c r="E13" s="1261">
        <f>'Charity in Rates'!C13</f>
        <v>8472594.4311740473</v>
      </c>
      <c r="F13" s="1261">
        <f t="shared" si="0"/>
        <v>24419216.049317047</v>
      </c>
    </row>
    <row r="14" spans="1:6" ht="14.5" x14ac:dyDescent="0.35">
      <c r="A14" s="1259">
        <v>13</v>
      </c>
      <c r="B14" s="1259" t="s">
        <v>200</v>
      </c>
      <c r="C14" s="1265">
        <f>'DME_NSPI-all'!C14</f>
        <v>0</v>
      </c>
      <c r="D14" s="1265">
        <f>'DME_NSPI-all'!D14</f>
        <v>117217.8</v>
      </c>
      <c r="E14" s="1261">
        <f>'Charity in Rates'!C14</f>
        <v>899677.67436526262</v>
      </c>
      <c r="F14" s="1261">
        <f t="shared" si="0"/>
        <v>1016895.4743652627</v>
      </c>
    </row>
    <row r="15" spans="1:6" ht="14.5" x14ac:dyDescent="0.35">
      <c r="A15" s="1259">
        <v>15</v>
      </c>
      <c r="B15" s="1259" t="s">
        <v>244</v>
      </c>
      <c r="C15" s="1265">
        <f>'DME_NSPI-all'!C15</f>
        <v>11655216.028478</v>
      </c>
      <c r="D15" s="1265">
        <f>'DME_NSPI-all'!D15</f>
        <v>491172.8</v>
      </c>
      <c r="E15" s="1261">
        <f>'Charity in Rates'!C15</f>
        <v>6811737.4396060817</v>
      </c>
      <c r="F15" s="1261">
        <f t="shared" si="0"/>
        <v>18958126.268084083</v>
      </c>
    </row>
    <row r="16" spans="1:6" ht="14.5" x14ac:dyDescent="0.35">
      <c r="A16" s="1259">
        <v>16</v>
      </c>
      <c r="B16" s="1259" t="s">
        <v>245</v>
      </c>
      <c r="C16" s="1265">
        <f>'DME_NSPI-all'!C16</f>
        <v>0</v>
      </c>
      <c r="D16" s="1265">
        <f>'DME_NSPI-all'!D16</f>
        <v>260621.90000000002</v>
      </c>
      <c r="E16" s="1261">
        <f>'Charity in Rates'!C16</f>
        <v>8684110.9670214318</v>
      </c>
      <c r="F16" s="1261">
        <f t="shared" si="0"/>
        <v>8944732.8670214321</v>
      </c>
    </row>
    <row r="17" spans="1:6" ht="14.5" x14ac:dyDescent="0.35">
      <c r="A17" s="1259">
        <v>17</v>
      </c>
      <c r="B17" s="1262" t="s">
        <v>246</v>
      </c>
      <c r="C17" s="1265">
        <f>'DME_NSPI-all'!C17</f>
        <v>0</v>
      </c>
      <c r="D17" s="1265">
        <f>'DME_NSPI-all'!D17</f>
        <v>44693.600000000006</v>
      </c>
      <c r="E17" s="1261">
        <f>'Charity in Rates'!C17</f>
        <v>1546472.6635383181</v>
      </c>
      <c r="F17" s="1263">
        <f t="shared" si="0"/>
        <v>1591166.2635383182</v>
      </c>
    </row>
    <row r="18" spans="1:6" ht="14.5" x14ac:dyDescent="0.35">
      <c r="A18" s="1259">
        <v>18</v>
      </c>
      <c r="B18" s="1259" t="s">
        <v>247</v>
      </c>
      <c r="C18" s="1265">
        <f>'DME_NSPI-all'!C18</f>
        <v>0</v>
      </c>
      <c r="D18" s="1265">
        <f>'DME_NSPI-all'!D18</f>
        <v>174302.2</v>
      </c>
      <c r="E18" s="1261">
        <f>'Charity in Rates'!C18</f>
        <v>1992944.4859633246</v>
      </c>
      <c r="F18" s="1261">
        <f t="shared" si="0"/>
        <v>2167246.6859633247</v>
      </c>
    </row>
    <row r="19" spans="1:6" ht="14.5" x14ac:dyDescent="0.35">
      <c r="A19" s="1259">
        <v>19</v>
      </c>
      <c r="B19" s="1259" t="s">
        <v>248</v>
      </c>
      <c r="C19" s="1265">
        <f>'DME_NSPI-all'!C19</f>
        <v>0</v>
      </c>
      <c r="D19" s="1265">
        <f>'DME_NSPI-all'!D19</f>
        <v>422383.5</v>
      </c>
      <c r="E19" s="1261">
        <f>'Charity in Rates'!C19</f>
        <v>6620688.7725204509</v>
      </c>
      <c r="F19" s="1261">
        <f t="shared" si="0"/>
        <v>7043072.2725204509</v>
      </c>
    </row>
    <row r="20" spans="1:6" ht="14.5" x14ac:dyDescent="0.35">
      <c r="A20" s="1259">
        <v>22</v>
      </c>
      <c r="B20" s="1259" t="s">
        <v>249</v>
      </c>
      <c r="C20" s="1265">
        <f>'DME_NSPI-all'!C20</f>
        <v>458560.60593000008</v>
      </c>
      <c r="D20" s="1265">
        <f>'DME_NSPI-all'!D20</f>
        <v>295844.60000000003</v>
      </c>
      <c r="E20" s="1261">
        <f>'Charity in Rates'!C20</f>
        <v>3502959.7919147336</v>
      </c>
      <c r="F20" s="1261">
        <f t="shared" si="0"/>
        <v>4257364.9978447333</v>
      </c>
    </row>
    <row r="21" spans="1:6" ht="14.5" x14ac:dyDescent="0.35">
      <c r="A21" s="1259">
        <v>23</v>
      </c>
      <c r="B21" s="1259" t="s">
        <v>250</v>
      </c>
      <c r="C21" s="1265">
        <f>'DME_NSPI-all'!C21</f>
        <v>0</v>
      </c>
      <c r="D21" s="1265">
        <f>'DME_NSPI-all'!D21</f>
        <v>562952.5</v>
      </c>
      <c r="E21" s="1261">
        <f>'Charity in Rates'!C21</f>
        <v>6335939.2152677672</v>
      </c>
      <c r="F21" s="1261">
        <f t="shared" si="0"/>
        <v>6898891.7152677672</v>
      </c>
    </row>
    <row r="22" spans="1:6" ht="14.5" x14ac:dyDescent="0.35">
      <c r="A22" s="1259">
        <v>24</v>
      </c>
      <c r="B22" s="1259" t="s">
        <v>251</v>
      </c>
      <c r="C22" s="1265">
        <f>'DME_NSPI-all'!C22</f>
        <v>9752670.9755609985</v>
      </c>
      <c r="D22" s="1265">
        <f>'DME_NSPI-all'!D22</f>
        <v>419374.60000000003</v>
      </c>
      <c r="E22" s="1261">
        <f>'Charity in Rates'!C22</f>
        <v>6771319.7197030867</v>
      </c>
      <c r="F22" s="1261">
        <f t="shared" si="0"/>
        <v>16943365.295264084</v>
      </c>
    </row>
    <row r="23" spans="1:6" ht="14.5" x14ac:dyDescent="0.35">
      <c r="A23" s="1259">
        <v>27</v>
      </c>
      <c r="B23" s="1259" t="s">
        <v>252</v>
      </c>
      <c r="C23" s="1265">
        <f>'DME_NSPI-all'!C23</f>
        <v>0</v>
      </c>
      <c r="D23" s="1265">
        <f>'DME_NSPI-all'!D23</f>
        <v>322958.90000000002</v>
      </c>
      <c r="E23" s="1261">
        <f>'Charity in Rates'!C23</f>
        <v>10457098.625142777</v>
      </c>
      <c r="F23" s="1261">
        <f t="shared" si="0"/>
        <v>10780057.525142778</v>
      </c>
    </row>
    <row r="24" spans="1:6" ht="14.5" x14ac:dyDescent="0.35">
      <c r="A24" s="1259">
        <v>28</v>
      </c>
      <c r="B24" s="1259" t="s">
        <v>253</v>
      </c>
      <c r="C24" s="1265">
        <f>'DME_NSPI-all'!C24</f>
        <v>0</v>
      </c>
      <c r="D24" s="1265">
        <f>'DME_NSPI-all'!D24</f>
        <v>166124.09999999998</v>
      </c>
      <c r="E24" s="1261">
        <f>'Charity in Rates'!C24</f>
        <v>3683181.212102381</v>
      </c>
      <c r="F24" s="1261">
        <f t="shared" si="0"/>
        <v>3849305.3121023811</v>
      </c>
    </row>
    <row r="25" spans="1:6" ht="14.5" x14ac:dyDescent="0.35">
      <c r="A25" s="1259">
        <v>29</v>
      </c>
      <c r="B25" s="1259" t="s">
        <v>254</v>
      </c>
      <c r="C25" s="1265">
        <f>'DME_NSPI-all'!C25</f>
        <v>23453199.999999989</v>
      </c>
      <c r="D25" s="1265">
        <f>'DME_NSPI-all'!D25</f>
        <v>618220.80000000005</v>
      </c>
      <c r="E25" s="1261">
        <f>'Charity in Rates'!C25</f>
        <v>26088029.075192656</v>
      </c>
      <c r="F25" s="1261">
        <f t="shared" si="0"/>
        <v>50159449.875192642</v>
      </c>
    </row>
    <row r="26" spans="1:6" ht="14.5" x14ac:dyDescent="0.35">
      <c r="A26" s="1259">
        <v>30</v>
      </c>
      <c r="B26" s="1259" t="s">
        <v>255</v>
      </c>
      <c r="C26" s="1265">
        <f>'DME_NSPI-all'!C26</f>
        <v>0</v>
      </c>
      <c r="D26" s="1265">
        <f>'DME_NSPI-all'!D26</f>
        <v>64477.4</v>
      </c>
      <c r="E26" s="1261">
        <f>'Charity in Rates'!C26</f>
        <v>426072.81436703552</v>
      </c>
      <c r="F26" s="1261">
        <f t="shared" si="0"/>
        <v>490550.21436703554</v>
      </c>
    </row>
    <row r="27" spans="1:6" ht="14.5" x14ac:dyDescent="0.35">
      <c r="A27" s="1259">
        <v>32</v>
      </c>
      <c r="B27" s="1259" t="s">
        <v>256</v>
      </c>
      <c r="C27" s="1265">
        <f>'DME_NSPI-all'!C27</f>
        <v>0</v>
      </c>
      <c r="D27" s="1265">
        <f>'DME_NSPI-all'!D27</f>
        <v>157025</v>
      </c>
      <c r="E27" s="1261">
        <f>'Charity in Rates'!C27</f>
        <v>1727205.6131240712</v>
      </c>
      <c r="F27" s="1261">
        <f t="shared" si="0"/>
        <v>1884230.6131240712</v>
      </c>
    </row>
    <row r="28" spans="1:6" ht="14.5" x14ac:dyDescent="0.35">
      <c r="A28" s="1259">
        <v>33</v>
      </c>
      <c r="B28" s="1259" t="s">
        <v>257</v>
      </c>
      <c r="C28" s="1265">
        <f>'DME_NSPI-all'!C28</f>
        <v>0</v>
      </c>
      <c r="D28" s="1265">
        <f>'DME_NSPI-all'!D28</f>
        <v>254037.7</v>
      </c>
      <c r="E28" s="1261">
        <f>'Charity in Rates'!C28</f>
        <v>1221585.5947425624</v>
      </c>
      <c r="F28" s="1261">
        <f t="shared" si="0"/>
        <v>1475623.2947425623</v>
      </c>
    </row>
    <row r="29" spans="1:6" ht="14.5" x14ac:dyDescent="0.35">
      <c r="A29" s="1259">
        <v>34</v>
      </c>
      <c r="B29" s="1259" t="s">
        <v>258</v>
      </c>
      <c r="C29" s="1265">
        <f>'DME_NSPI-all'!C29</f>
        <v>5343650.5046179993</v>
      </c>
      <c r="D29" s="1265">
        <f>'DME_NSPI-all'!D29</f>
        <v>207452.6</v>
      </c>
      <c r="E29" s="1261">
        <f>'Charity in Rates'!C29</f>
        <v>3417876.3852448049</v>
      </c>
      <c r="F29" s="1261">
        <f t="shared" si="0"/>
        <v>8968979.4898628034</v>
      </c>
    </row>
    <row r="30" spans="1:6" ht="14.5" x14ac:dyDescent="0.35">
      <c r="A30" s="1259">
        <v>35</v>
      </c>
      <c r="B30" s="1259" t="s">
        <v>259</v>
      </c>
      <c r="C30" s="1265">
        <f>'DME_NSPI-all'!C30</f>
        <v>0</v>
      </c>
      <c r="D30" s="1265">
        <f>'DME_NSPI-all'!D30</f>
        <v>148386.40000000002</v>
      </c>
      <c r="E30" s="1261">
        <f>'Charity in Rates'!C30</f>
        <v>1706659.2956248899</v>
      </c>
      <c r="F30" s="1261">
        <f t="shared" si="0"/>
        <v>1855045.6956248898</v>
      </c>
    </row>
    <row r="31" spans="1:6" ht="14.5" x14ac:dyDescent="0.35">
      <c r="A31" s="1259">
        <v>37</v>
      </c>
      <c r="B31" s="1259" t="s">
        <v>260</v>
      </c>
      <c r="C31" s="1265">
        <f>'DME_NSPI-all'!C31</f>
        <v>0</v>
      </c>
      <c r="D31" s="1265">
        <f>'DME_NSPI-all'!D31</f>
        <v>192831.5</v>
      </c>
      <c r="E31" s="1261">
        <f>'Charity in Rates'!C31</f>
        <v>3734948.6340692933</v>
      </c>
      <c r="F31" s="1261">
        <f t="shared" si="0"/>
        <v>3927780.1340692933</v>
      </c>
    </row>
    <row r="32" spans="1:6" ht="14.5" x14ac:dyDescent="0.35">
      <c r="A32" s="1259">
        <v>38</v>
      </c>
      <c r="B32" s="1259" t="s">
        <v>261</v>
      </c>
      <c r="C32" s="1265">
        <f>'DME_NSPI-all'!C32</f>
        <v>3978732.6140000001</v>
      </c>
      <c r="D32" s="1265">
        <f>'DME_NSPI-all'!D32</f>
        <v>228795.7</v>
      </c>
      <c r="E32" s="1261">
        <f>'Charity in Rates'!C32</f>
        <v>5629152.9945777021</v>
      </c>
      <c r="F32" s="1261">
        <f t="shared" si="0"/>
        <v>9836681.3085777014</v>
      </c>
    </row>
    <row r="33" spans="1:6" ht="14.5" x14ac:dyDescent="0.35">
      <c r="A33" s="1259">
        <v>39</v>
      </c>
      <c r="B33" s="1259" t="s">
        <v>262</v>
      </c>
      <c r="C33" s="1265">
        <f>'DME_NSPI-all'!C33</f>
        <v>0</v>
      </c>
      <c r="D33" s="1265">
        <f>'DME_NSPI-all'!D33</f>
        <v>144499.9</v>
      </c>
      <c r="E33" s="1261">
        <f>'Charity in Rates'!C33</f>
        <v>2176000.3293265798</v>
      </c>
      <c r="F33" s="1261">
        <f t="shared" si="0"/>
        <v>2320500.2293265797</v>
      </c>
    </row>
    <row r="34" spans="1:6" ht="14.5" x14ac:dyDescent="0.35">
      <c r="A34" s="1259">
        <v>40</v>
      </c>
      <c r="B34" s="1259" t="s">
        <v>263</v>
      </c>
      <c r="C34" s="1265">
        <f>'DME_NSPI-all'!C34</f>
        <v>0</v>
      </c>
      <c r="D34" s="1265">
        <f>'DME_NSPI-all'!D34</f>
        <v>254115.89999999994</v>
      </c>
      <c r="E34" s="1261">
        <f>'Charity in Rates'!C34</f>
        <v>3595002.9296501488</v>
      </c>
      <c r="F34" s="1261">
        <f t="shared" si="0"/>
        <v>3849118.8296501487</v>
      </c>
    </row>
    <row r="35" spans="1:6" ht="14.5" x14ac:dyDescent="0.35">
      <c r="A35" s="1259">
        <v>43</v>
      </c>
      <c r="B35" s="1259" t="s">
        <v>264</v>
      </c>
      <c r="C35" s="1265">
        <f>'DME_NSPI-all'!C35</f>
        <v>580332.93895700003</v>
      </c>
      <c r="D35" s="1265">
        <f>'DME_NSPI-all'!D35</f>
        <v>402010.8</v>
      </c>
      <c r="E35" s="1261">
        <f>'Charity in Rates'!C35</f>
        <v>5938598.2923664059</v>
      </c>
      <c r="F35" s="1261">
        <f t="shared" si="0"/>
        <v>6920942.0313234059</v>
      </c>
    </row>
    <row r="36" spans="1:6" ht="14.5" x14ac:dyDescent="0.35">
      <c r="A36" s="1259">
        <v>44</v>
      </c>
      <c r="B36" s="1259" t="s">
        <v>201</v>
      </c>
      <c r="C36" s="1265">
        <f>'DME_NSPI-all'!C36</f>
        <v>4194879.8708899999</v>
      </c>
      <c r="D36" s="1265">
        <f>'DME_NSPI-all'!D36</f>
        <v>432707.7</v>
      </c>
      <c r="E36" s="1261">
        <f>'Charity in Rates'!C36</f>
        <v>1604159.2999321388</v>
      </c>
      <c r="F36" s="1261">
        <f t="shared" si="0"/>
        <v>6231746.8708221391</v>
      </c>
    </row>
    <row r="37" spans="1:6" ht="14.5" x14ac:dyDescent="0.35">
      <c r="A37" s="1259">
        <v>45</v>
      </c>
      <c r="B37" s="1259" t="s">
        <v>202</v>
      </c>
      <c r="C37" s="1265">
        <f>'DME_NSPI-all'!C37</f>
        <v>0</v>
      </c>
      <c r="D37" s="1265">
        <f>'DME_NSPI-all'!D37</f>
        <v>15059.800000000001</v>
      </c>
      <c r="E37" s="1261">
        <f>'Charity in Rates'!C37</f>
        <v>367193.8637096085</v>
      </c>
      <c r="F37" s="1261">
        <f t="shared" si="0"/>
        <v>382253.66370960849</v>
      </c>
    </row>
    <row r="38" spans="1:6" ht="14.5" x14ac:dyDescent="0.35">
      <c r="A38" s="1259">
        <v>48</v>
      </c>
      <c r="B38" s="1259" t="s">
        <v>265</v>
      </c>
      <c r="C38" s="1265">
        <f>'DME_NSPI-all'!C38</f>
        <v>0</v>
      </c>
      <c r="D38" s="1265">
        <f>'DME_NSPI-all'!D38</f>
        <v>286302.8</v>
      </c>
      <c r="E38" s="1261">
        <f>'Charity in Rates'!C38</f>
        <v>5158529.8507885169</v>
      </c>
      <c r="F38" s="1261">
        <f t="shared" si="0"/>
        <v>5444832.6507885167</v>
      </c>
    </row>
    <row r="39" spans="1:6" ht="14.5" x14ac:dyDescent="0.35">
      <c r="A39" s="1259">
        <v>49</v>
      </c>
      <c r="B39" s="1259" t="s">
        <v>266</v>
      </c>
      <c r="C39" s="1265">
        <f>'DME_NSPI-all'!C39</f>
        <v>0</v>
      </c>
      <c r="D39" s="1265">
        <f>'DME_NSPI-all'!D39</f>
        <v>320267.60000000003</v>
      </c>
      <c r="E39" s="1261">
        <f>'Charity in Rates'!C39</f>
        <v>3839873.4652191037</v>
      </c>
      <c r="F39" s="1261">
        <f t="shared" si="0"/>
        <v>4160141.0652191038</v>
      </c>
    </row>
    <row r="40" spans="1:6" ht="14.5" x14ac:dyDescent="0.35">
      <c r="A40" s="1259">
        <v>51</v>
      </c>
      <c r="B40" s="1262" t="s">
        <v>267</v>
      </c>
      <c r="C40" s="1265">
        <f>'DME_NSPI-all'!C40</f>
        <v>0</v>
      </c>
      <c r="D40" s="1265">
        <f>'DME_NSPI-all'!D40</f>
        <v>226462.5</v>
      </c>
      <c r="E40" s="1261">
        <f>'Charity in Rates'!C40</f>
        <v>9468194.4903888032</v>
      </c>
      <c r="F40" s="1263">
        <f t="shared" si="0"/>
        <v>9694656.9903888032</v>
      </c>
    </row>
    <row r="41" spans="1:6" ht="14.5" x14ac:dyDescent="0.35">
      <c r="A41" s="1259">
        <v>55</v>
      </c>
      <c r="B41" s="1306" t="s">
        <v>905</v>
      </c>
      <c r="C41" s="1265">
        <f>'DME_NSPI-all'!C41</f>
        <v>0</v>
      </c>
      <c r="D41" s="1265">
        <f>'DME_NSPI-all'!D41</f>
        <v>106467.90000000001</v>
      </c>
      <c r="E41" s="1261">
        <f>'Charity in Rates'!C41</f>
        <v>2371907.1430248367</v>
      </c>
      <c r="F41" s="1261">
        <f t="shared" si="0"/>
        <v>2478375.0430248366</v>
      </c>
    </row>
    <row r="42" spans="1:6" ht="14.5" x14ac:dyDescent="0.35">
      <c r="A42" s="1259">
        <v>60</v>
      </c>
      <c r="B42" s="1259" t="s">
        <v>269</v>
      </c>
      <c r="C42" s="1265">
        <f>'DME_NSPI-all'!C42</f>
        <v>0</v>
      </c>
      <c r="D42" s="1265">
        <f>'DME_NSPI-all'!D42</f>
        <v>48291.191999999995</v>
      </c>
      <c r="E42" s="1261">
        <f>'Charity in Rates'!C42</f>
        <v>768541.8120830484</v>
      </c>
      <c r="F42" s="1261">
        <f t="shared" si="0"/>
        <v>816833.00408304844</v>
      </c>
    </row>
    <row r="43" spans="1:6" ht="14.5" x14ac:dyDescent="0.35">
      <c r="A43" s="1259">
        <v>61</v>
      </c>
      <c r="B43" s="1262" t="s">
        <v>203</v>
      </c>
      <c r="C43" s="1265">
        <f>'DME_NSPI-all'!C43</f>
        <v>0</v>
      </c>
      <c r="D43" s="1265">
        <f>'DME_NSPI-all'!D43</f>
        <v>102371</v>
      </c>
      <c r="E43" s="1261">
        <f>'Charity in Rates'!C43</f>
        <v>2316358.6923045204</v>
      </c>
      <c r="F43" s="1263">
        <f t="shared" si="0"/>
        <v>2418729.6923045204</v>
      </c>
    </row>
    <row r="44" spans="1:6" ht="14.5" x14ac:dyDescent="0.35">
      <c r="A44" s="1259">
        <v>62</v>
      </c>
      <c r="B44" s="1262" t="s">
        <v>270</v>
      </c>
      <c r="C44" s="1265">
        <f>'DME_NSPI-all'!C44</f>
        <v>0</v>
      </c>
      <c r="D44" s="1265">
        <f>'DME_NSPI-all'!D44</f>
        <v>262672.59999999998</v>
      </c>
      <c r="E44" s="1261">
        <f>'Charity in Rates'!C44</f>
        <v>4022183.8521267506</v>
      </c>
      <c r="F44" s="1263">
        <f t="shared" si="0"/>
        <v>4284856.4521267507</v>
      </c>
    </row>
    <row r="45" spans="1:6" ht="14.5" x14ac:dyDescent="0.35">
      <c r="A45" s="1259">
        <v>63</v>
      </c>
      <c r="B45" s="1259" t="s">
        <v>271</v>
      </c>
      <c r="C45" s="1265">
        <f>'DME_NSPI-all'!C45</f>
        <v>0</v>
      </c>
      <c r="D45" s="1265">
        <f>'DME_NSPI-all'!D45</f>
        <v>390826.3</v>
      </c>
      <c r="E45" s="1261">
        <f>'Charity in Rates'!C45</f>
        <v>6174750.3150373138</v>
      </c>
      <c r="F45" s="1261">
        <f t="shared" si="0"/>
        <v>6565576.6150373137</v>
      </c>
    </row>
    <row r="46" spans="1:6" ht="14.5" x14ac:dyDescent="0.35">
      <c r="A46" s="1259">
        <v>64</v>
      </c>
      <c r="B46" s="1259" t="s">
        <v>272</v>
      </c>
      <c r="C46" s="1265">
        <f>'DME_NSPI-all'!C46</f>
        <v>0</v>
      </c>
      <c r="D46" s="1265">
        <f>'DME_NSPI-all'!D46</f>
        <v>59785.478999999999</v>
      </c>
      <c r="E46" s="1261">
        <f>'Charity in Rates'!C46</f>
        <v>0</v>
      </c>
      <c r="F46" s="1263">
        <f t="shared" si="0"/>
        <v>59785.478999999999</v>
      </c>
    </row>
    <row r="47" spans="1:6" s="736" customFormat="1" ht="14.5" x14ac:dyDescent="0.35">
      <c r="A47" s="1262">
        <v>65</v>
      </c>
      <c r="B47" s="1262" t="s">
        <v>570</v>
      </c>
      <c r="C47" s="1266">
        <f>'DME_NSPI-all'!C47</f>
        <v>0</v>
      </c>
      <c r="D47" s="1266">
        <f>'DME_NSPI-all'!D47</f>
        <v>0</v>
      </c>
      <c r="E47" s="1261">
        <f>'Charity in Rates'!C47</f>
        <v>3092349.2001632857</v>
      </c>
      <c r="F47" s="1263">
        <f>C47+D47+E47</f>
        <v>3092349.2001632857</v>
      </c>
    </row>
    <row r="48" spans="1:6" s="736" customFormat="1" ht="14.5" x14ac:dyDescent="0.35">
      <c r="A48" s="1262">
        <v>2001</v>
      </c>
      <c r="B48" s="1262" t="s">
        <v>273</v>
      </c>
      <c r="C48" s="1266">
        <f>'DME_NSPI-all'!C48</f>
        <v>3901174.2492000004</v>
      </c>
      <c r="D48" s="1266">
        <f>'DME_NSPI-all'!D48</f>
        <v>120364.6</v>
      </c>
      <c r="E48" s="1263">
        <f>'Charity in Rates'!C48</f>
        <v>0</v>
      </c>
      <c r="F48" s="1263">
        <f>C48+D48+E48</f>
        <v>4021538.8492000005</v>
      </c>
    </row>
    <row r="49" spans="1:6" ht="14.5" x14ac:dyDescent="0.35">
      <c r="A49" s="1259">
        <v>2004</v>
      </c>
      <c r="B49" s="1262" t="s">
        <v>274</v>
      </c>
      <c r="C49" s="1265">
        <f>'DME_NSPI-all'!C49</f>
        <v>4806656.7515949998</v>
      </c>
      <c r="D49" s="1265">
        <f>'DME_NSPI-all'!D49</f>
        <v>303789.3</v>
      </c>
      <c r="E49" s="1263">
        <f>'Charity in Rates'!C49</f>
        <v>4560785.4201419884</v>
      </c>
      <c r="F49" s="1261">
        <f t="shared" si="0"/>
        <v>9671231.4717369881</v>
      </c>
    </row>
    <row r="50" spans="1:6" ht="14.5" x14ac:dyDescent="0.35">
      <c r="A50" s="1259">
        <v>3029</v>
      </c>
      <c r="B50" s="1262" t="s">
        <v>275</v>
      </c>
      <c r="C50" s="1265">
        <f>'DME_NSPI-all'!C50</f>
        <v>0</v>
      </c>
      <c r="D50" s="1265">
        <f>'DME_NSPI-all'!D50</f>
        <v>68932.729000000007</v>
      </c>
      <c r="E50" s="1261">
        <v>0</v>
      </c>
      <c r="F50" s="1261">
        <f t="shared" si="0"/>
        <v>68932.729000000007</v>
      </c>
    </row>
    <row r="51" spans="1:6" ht="14.5" x14ac:dyDescent="0.35">
      <c r="A51" s="1259">
        <v>4000</v>
      </c>
      <c r="B51" s="1259" t="s">
        <v>208</v>
      </c>
      <c r="C51" s="1265">
        <f>'DME_NSPI-all'!C52</f>
        <v>2371114.08</v>
      </c>
      <c r="D51" s="1265">
        <f>'DME_NSPI-all'!D52</f>
        <v>141516.4</v>
      </c>
      <c r="E51" s="1261">
        <v>0</v>
      </c>
      <c r="F51" s="1261">
        <f t="shared" si="0"/>
        <v>2512630.48</v>
      </c>
    </row>
    <row r="52" spans="1:6" ht="14.5" x14ac:dyDescent="0.35">
      <c r="A52" s="1259">
        <v>4013</v>
      </c>
      <c r="B52" s="1259" t="s">
        <v>235</v>
      </c>
      <c r="C52" s="1265">
        <f>'DME_NSPI-all'!C53</f>
        <v>0</v>
      </c>
      <c r="D52" s="1265">
        <f>'DME_NSPI-all'!D53</f>
        <v>0</v>
      </c>
      <c r="E52" s="1261">
        <v>0</v>
      </c>
      <c r="F52" s="1261">
        <f t="shared" si="0"/>
        <v>0</v>
      </c>
    </row>
    <row r="53" spans="1:6" ht="13.5" customHeight="1" x14ac:dyDescent="0.35">
      <c r="A53" s="1259">
        <v>5034</v>
      </c>
      <c r="B53" s="1259" t="s">
        <v>277</v>
      </c>
      <c r="C53" s="1265">
        <f>'DME_NSPI-all'!C54</f>
        <v>0</v>
      </c>
      <c r="D53" s="1265">
        <f>'DME_NSPI-all'!D54</f>
        <v>60264.802930000013</v>
      </c>
      <c r="E53" s="1264">
        <v>0</v>
      </c>
      <c r="F53" s="1261">
        <f t="shared" si="0"/>
        <v>60264.802930000013</v>
      </c>
    </row>
    <row r="54" spans="1:6" ht="14.5" x14ac:dyDescent="0.35">
      <c r="A54" s="1259">
        <v>5050</v>
      </c>
      <c r="B54" s="1259" t="s">
        <v>278</v>
      </c>
      <c r="C54" s="1265">
        <f>'DME_NSPI-all'!C55</f>
        <v>0</v>
      </c>
      <c r="D54" s="1265">
        <f>'DME_NSPI-all'!D55</f>
        <v>389913.19999999995</v>
      </c>
      <c r="E54" s="1261">
        <f>'Charity in Rates'!C50</f>
        <v>4797542.3124583112</v>
      </c>
      <c r="F54" s="1261">
        <f t="shared" si="0"/>
        <v>5187455.5124583114</v>
      </c>
    </row>
    <row r="55" spans="1:6" ht="14.5" x14ac:dyDescent="0.35">
      <c r="A55" s="1259" t="s">
        <v>204</v>
      </c>
      <c r="B55" s="1259"/>
      <c r="C55" s="1261">
        <f>SUM(C3:C54)</f>
        <v>342769400.79290998</v>
      </c>
      <c r="D55" s="1264">
        <f>SUM(D3:D54)</f>
        <v>16218248.404930003</v>
      </c>
      <c r="E55" s="1261">
        <f>SUM(E3:E54)</f>
        <v>307579100.08206183</v>
      </c>
      <c r="F55" s="1264">
        <f>SUM(F3:F54)</f>
        <v>666566749.27990162</v>
      </c>
    </row>
    <row r="56" spans="1:6" ht="14.5" x14ac:dyDescent="0.35">
      <c r="A56" s="790"/>
      <c r="B56" s="790"/>
      <c r="C56" s="793"/>
      <c r="D56" s="792"/>
      <c r="E56" s="793"/>
      <c r="F56" s="790"/>
    </row>
    <row r="57" spans="1:6" ht="14.5" x14ac:dyDescent="0.35">
      <c r="A57" s="790"/>
      <c r="B57" s="790" t="s">
        <v>518</v>
      </c>
      <c r="D57" s="435"/>
      <c r="E57" s="793"/>
      <c r="F57" s="790"/>
    </row>
    <row r="59" spans="1:6" x14ac:dyDescent="0.25">
      <c r="E59" s="435"/>
    </row>
  </sheetData>
  <sheetProtection sheet="1" objects="1" scenarios="1"/>
  <sortState ref="A5:F57">
    <sortCondition ref="A5:A57"/>
  </sortState>
  <pageMargins left="0.7" right="0.7" top="0.75" bottom="0.75" header="0.3" footer="0.3"/>
  <pageSetup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0"/>
    <pageSetUpPr fitToPage="1"/>
  </sheetPr>
  <dimension ref="A1:L156"/>
  <sheetViews>
    <sheetView zoomScale="85" zoomScaleNormal="85" workbookViewId="0">
      <selection activeCell="P40" sqref="P40"/>
    </sheetView>
  </sheetViews>
  <sheetFormatPr defaultColWidth="9.26953125" defaultRowHeight="14.5" x14ac:dyDescent="0.35"/>
  <cols>
    <col min="1" max="1" width="17.54296875" style="1629" customWidth="1"/>
    <col min="2" max="2" width="19.54296875" style="98" customWidth="1"/>
    <col min="3" max="3" width="15.54296875" style="98" customWidth="1"/>
    <col min="4" max="4" width="16.453125" style="98" customWidth="1"/>
    <col min="5" max="5" width="15" style="98" customWidth="1"/>
    <col min="6" max="6" width="20.26953125" style="98" customWidth="1"/>
    <col min="7" max="7" width="16" style="98" customWidth="1"/>
    <col min="8" max="8" width="16.54296875" style="98" customWidth="1"/>
    <col min="9" max="9" width="19.453125" style="98" customWidth="1"/>
    <col min="10" max="10" width="14.7265625" style="98" customWidth="1"/>
    <col min="11" max="11" width="15.26953125" style="98" customWidth="1"/>
    <col min="12" max="16384" width="9.26953125" style="98"/>
  </cols>
  <sheetData>
    <row r="1" spans="1:11" x14ac:dyDescent="0.35">
      <c r="A1" s="1626"/>
      <c r="B1" s="502"/>
      <c r="C1" s="1216"/>
      <c r="D1" s="1217"/>
      <c r="E1" s="1216"/>
      <c r="F1" s="1216"/>
      <c r="G1" s="1216"/>
      <c r="H1" s="1216"/>
      <c r="I1" s="1216"/>
      <c r="J1" s="1216"/>
      <c r="K1" s="1216"/>
    </row>
    <row r="2" spans="1:11" ht="15.5" x14ac:dyDescent="0.35">
      <c r="A2" s="1626"/>
      <c r="B2" s="502"/>
      <c r="C2" s="502"/>
      <c r="D2" s="1587" t="s">
        <v>700</v>
      </c>
      <c r="E2" s="1587"/>
      <c r="F2" s="1587"/>
      <c r="G2" s="1587"/>
      <c r="H2" s="1587"/>
      <c r="I2" s="502"/>
      <c r="J2" s="502"/>
      <c r="K2" s="502"/>
    </row>
    <row r="3" spans="1:11" x14ac:dyDescent="0.35">
      <c r="A3" s="1626"/>
      <c r="B3" s="503" t="s">
        <v>0</v>
      </c>
      <c r="C3" s="502"/>
      <c r="D3" s="502"/>
      <c r="E3" s="502"/>
      <c r="F3" s="502"/>
      <c r="G3" s="502"/>
      <c r="H3" s="502"/>
      <c r="I3" s="502"/>
      <c r="J3" s="502"/>
      <c r="K3" s="502"/>
    </row>
    <row r="4" spans="1:11" x14ac:dyDescent="0.35">
      <c r="A4" s="1626"/>
      <c r="B4" s="502"/>
      <c r="C4" s="502"/>
      <c r="D4" s="502"/>
      <c r="E4" s="502"/>
      <c r="F4" s="502"/>
      <c r="G4" s="502"/>
      <c r="H4" s="502"/>
      <c r="I4" s="502"/>
      <c r="J4" s="502"/>
      <c r="K4" s="502"/>
    </row>
    <row r="5" spans="1:11" x14ac:dyDescent="0.35">
      <c r="A5" s="1626"/>
      <c r="B5" s="504" t="s">
        <v>40</v>
      </c>
      <c r="C5" s="1588" t="s">
        <v>459</v>
      </c>
      <c r="D5" s="1589"/>
      <c r="E5" s="1589"/>
      <c r="F5" s="1589"/>
      <c r="G5" s="1590"/>
      <c r="H5" s="502"/>
      <c r="I5" s="502"/>
      <c r="J5" s="502"/>
      <c r="K5" s="502"/>
    </row>
    <row r="6" spans="1:11" x14ac:dyDescent="0.35">
      <c r="A6" s="1626"/>
      <c r="B6" s="504" t="s">
        <v>3</v>
      </c>
      <c r="C6" s="1591" t="s">
        <v>460</v>
      </c>
      <c r="D6" s="1592"/>
      <c r="E6" s="1592"/>
      <c r="F6" s="1592"/>
      <c r="G6" s="1593"/>
      <c r="H6" s="502"/>
      <c r="I6" s="502"/>
      <c r="J6" s="502"/>
      <c r="K6" s="502"/>
    </row>
    <row r="7" spans="1:11" x14ac:dyDescent="0.35">
      <c r="A7" s="1626"/>
      <c r="B7" s="504" t="s">
        <v>4</v>
      </c>
      <c r="C7" s="1594">
        <v>2434</v>
      </c>
      <c r="D7" s="1595"/>
      <c r="E7" s="1595"/>
      <c r="F7" s="1595"/>
      <c r="G7" s="1596"/>
      <c r="H7" s="502"/>
      <c r="I7" s="502"/>
      <c r="J7" s="502"/>
      <c r="K7" s="502"/>
    </row>
    <row r="8" spans="1:11" x14ac:dyDescent="0.35">
      <c r="A8" s="1626"/>
      <c r="B8" s="502"/>
      <c r="C8" s="502"/>
      <c r="D8" s="502"/>
      <c r="E8" s="502"/>
      <c r="F8" s="502"/>
      <c r="G8" s="502"/>
      <c r="H8" s="502"/>
      <c r="I8" s="502"/>
      <c r="J8" s="502"/>
      <c r="K8" s="502"/>
    </row>
    <row r="9" spans="1:11" x14ac:dyDescent="0.35">
      <c r="A9" s="1626"/>
      <c r="B9" s="504" t="s">
        <v>1</v>
      </c>
      <c r="C9" s="1588" t="s">
        <v>533</v>
      </c>
      <c r="D9" s="1589"/>
      <c r="E9" s="1589"/>
      <c r="F9" s="1589"/>
      <c r="G9" s="1590"/>
      <c r="H9" s="502"/>
      <c r="I9" s="502"/>
      <c r="J9" s="502"/>
      <c r="K9" s="502"/>
    </row>
    <row r="10" spans="1:11" x14ac:dyDescent="0.35">
      <c r="A10" s="1626"/>
      <c r="B10" s="504" t="s">
        <v>2</v>
      </c>
      <c r="C10" s="1597" t="s">
        <v>532</v>
      </c>
      <c r="D10" s="1598"/>
      <c r="E10" s="1598"/>
      <c r="F10" s="1598"/>
      <c r="G10" s="1599"/>
      <c r="H10" s="502"/>
      <c r="I10" s="502"/>
      <c r="J10" s="502"/>
      <c r="K10" s="502"/>
    </row>
    <row r="11" spans="1:11" x14ac:dyDescent="0.35">
      <c r="A11" s="1626"/>
      <c r="B11" s="504" t="s">
        <v>32</v>
      </c>
      <c r="C11" s="1415" t="s">
        <v>851</v>
      </c>
      <c r="D11" s="1416"/>
      <c r="E11" s="1416"/>
      <c r="F11" s="1416"/>
      <c r="G11" s="1416"/>
      <c r="H11" s="502"/>
      <c r="I11" s="502"/>
      <c r="J11" s="502"/>
      <c r="K11" s="502"/>
    </row>
    <row r="12" spans="1:11" s="102" customFormat="1" x14ac:dyDescent="0.35">
      <c r="A12" s="1626"/>
      <c r="B12" s="504"/>
      <c r="C12" s="504"/>
      <c r="D12" s="504"/>
      <c r="E12" s="504"/>
      <c r="F12" s="504"/>
      <c r="G12" s="504"/>
      <c r="H12" s="502"/>
      <c r="I12" s="502"/>
      <c r="J12" s="502"/>
      <c r="K12" s="502"/>
    </row>
    <row r="13" spans="1:11" s="102" customFormat="1" x14ac:dyDescent="0.35">
      <c r="A13" s="1626"/>
      <c r="B13" s="1600"/>
      <c r="C13" s="1600"/>
      <c r="D13" s="1600"/>
      <c r="E13" s="1600"/>
      <c r="F13" s="1600"/>
      <c r="G13" s="1600"/>
      <c r="H13" s="1600"/>
      <c r="I13" s="1216"/>
      <c r="J13" s="502"/>
      <c r="K13" s="502"/>
    </row>
    <row r="14" spans="1:11" x14ac:dyDescent="0.35">
      <c r="A14" s="1626"/>
      <c r="B14" s="505"/>
      <c r="C14" s="502"/>
      <c r="D14" s="502"/>
      <c r="E14" s="502"/>
      <c r="F14" s="502"/>
      <c r="G14" s="502"/>
      <c r="H14" s="502"/>
      <c r="I14" s="502"/>
      <c r="J14" s="502"/>
      <c r="K14" s="502"/>
    </row>
    <row r="15" spans="1:11" x14ac:dyDescent="0.35">
      <c r="A15" s="1626"/>
      <c r="B15" s="505"/>
      <c r="C15" s="502"/>
      <c r="D15" s="502"/>
      <c r="E15" s="502"/>
      <c r="F15" s="502"/>
      <c r="G15" s="502"/>
      <c r="H15" s="502"/>
      <c r="I15" s="502"/>
      <c r="J15" s="502"/>
      <c r="K15" s="502"/>
    </row>
    <row r="16" spans="1:11" ht="39.5" x14ac:dyDescent="0.35">
      <c r="A16" s="1627" t="s">
        <v>181</v>
      </c>
      <c r="B16" s="1216"/>
      <c r="C16" s="1216"/>
      <c r="D16" s="1216"/>
      <c r="E16" s="1216"/>
      <c r="F16" s="506" t="s">
        <v>9</v>
      </c>
      <c r="G16" s="506" t="s">
        <v>37</v>
      </c>
      <c r="H16" s="506" t="s">
        <v>29</v>
      </c>
      <c r="I16" s="506" t="s">
        <v>30</v>
      </c>
      <c r="J16" s="506" t="s">
        <v>33</v>
      </c>
      <c r="K16" s="506" t="s">
        <v>34</v>
      </c>
    </row>
    <row r="17" spans="1:11" x14ac:dyDescent="0.35">
      <c r="A17" s="1627" t="s">
        <v>184</v>
      </c>
      <c r="B17" s="503" t="s">
        <v>182</v>
      </c>
      <c r="C17" s="502"/>
      <c r="D17" s="502"/>
      <c r="E17" s="502"/>
      <c r="F17" s="502"/>
      <c r="G17" s="502"/>
      <c r="H17" s="502"/>
      <c r="I17" s="502"/>
      <c r="J17" s="502"/>
      <c r="K17" s="502"/>
    </row>
    <row r="18" spans="1:11" x14ac:dyDescent="0.35">
      <c r="A18" s="1627" t="s">
        <v>185</v>
      </c>
      <c r="B18" s="507" t="s">
        <v>183</v>
      </c>
      <c r="C18" s="502"/>
      <c r="D18" s="502"/>
      <c r="E18" s="502"/>
      <c r="F18" s="508" t="s">
        <v>73</v>
      </c>
      <c r="G18" s="508" t="s">
        <v>73</v>
      </c>
      <c r="H18" s="509">
        <v>8901411.0389227066</v>
      </c>
      <c r="I18" s="509">
        <v>0</v>
      </c>
      <c r="J18" s="509">
        <v>7523448.845349025</v>
      </c>
      <c r="K18" s="510">
        <f>(H18+I18)-J18</f>
        <v>1377962.1935736816</v>
      </c>
    </row>
    <row r="19" spans="1:11" ht="39.5" x14ac:dyDescent="0.35">
      <c r="A19" s="1627" t="s">
        <v>8</v>
      </c>
      <c r="B19" s="1216"/>
      <c r="C19" s="1216"/>
      <c r="D19" s="1216"/>
      <c r="E19" s="1216"/>
      <c r="F19" s="506" t="s">
        <v>9</v>
      </c>
      <c r="G19" s="506" t="s">
        <v>37</v>
      </c>
      <c r="H19" s="506" t="s">
        <v>29</v>
      </c>
      <c r="I19" s="506" t="s">
        <v>30</v>
      </c>
      <c r="J19" s="506" t="s">
        <v>33</v>
      </c>
      <c r="K19" s="506" t="s">
        <v>34</v>
      </c>
    </row>
    <row r="20" spans="1:11" x14ac:dyDescent="0.35">
      <c r="A20" s="1627" t="s">
        <v>74</v>
      </c>
      <c r="B20" s="503" t="s">
        <v>41</v>
      </c>
      <c r="C20" s="502"/>
      <c r="D20" s="502"/>
      <c r="E20" s="502"/>
      <c r="F20" s="502"/>
      <c r="G20" s="502"/>
      <c r="H20" s="502"/>
      <c r="I20" s="502"/>
      <c r="J20" s="502"/>
      <c r="K20" s="502"/>
    </row>
    <row r="21" spans="1:11" x14ac:dyDescent="0.35">
      <c r="A21" s="1627" t="s">
        <v>75</v>
      </c>
      <c r="B21" s="507" t="s">
        <v>42</v>
      </c>
      <c r="C21" s="502"/>
      <c r="D21" s="502"/>
      <c r="E21" s="502"/>
      <c r="F21" s="508">
        <v>2139.5</v>
      </c>
      <c r="G21" s="508">
        <v>8785</v>
      </c>
      <c r="H21" s="508">
        <v>126148.10500000001</v>
      </c>
      <c r="I21" s="511">
        <v>72956.395539224177</v>
      </c>
      <c r="J21" s="508">
        <v>4564</v>
      </c>
      <c r="K21" s="510">
        <f t="shared" ref="K21:K34" si="0">(H21+I21)-J21</f>
        <v>194540.50053922419</v>
      </c>
    </row>
    <row r="22" spans="1:11" x14ac:dyDescent="0.35">
      <c r="A22" s="1627" t="s">
        <v>76</v>
      </c>
      <c r="B22" s="502" t="s">
        <v>6</v>
      </c>
      <c r="C22" s="502"/>
      <c r="D22" s="502"/>
      <c r="E22" s="502"/>
      <c r="F22" s="508">
        <v>223</v>
      </c>
      <c r="G22" s="508">
        <v>541</v>
      </c>
      <c r="H22" s="508">
        <v>10701.77</v>
      </c>
      <c r="I22" s="511">
        <v>6189.2532201716631</v>
      </c>
      <c r="J22" s="508">
        <v>0</v>
      </c>
      <c r="K22" s="510">
        <f t="shared" si="0"/>
        <v>16891.023220171664</v>
      </c>
    </row>
    <row r="23" spans="1:11" x14ac:dyDescent="0.35">
      <c r="A23" s="1627" t="s">
        <v>77</v>
      </c>
      <c r="B23" s="502" t="s">
        <v>43</v>
      </c>
      <c r="C23" s="502"/>
      <c r="D23" s="502"/>
      <c r="E23" s="502"/>
      <c r="F23" s="508">
        <v>0</v>
      </c>
      <c r="G23" s="508">
        <v>0</v>
      </c>
      <c r="H23" s="508">
        <v>0</v>
      </c>
      <c r="I23" s="511">
        <v>0</v>
      </c>
      <c r="J23" s="508">
        <v>0</v>
      </c>
      <c r="K23" s="510">
        <f t="shared" si="0"/>
        <v>0</v>
      </c>
    </row>
    <row r="24" spans="1:11" x14ac:dyDescent="0.35">
      <c r="A24" s="1627" t="s">
        <v>78</v>
      </c>
      <c r="B24" s="502" t="s">
        <v>44</v>
      </c>
      <c r="C24" s="502"/>
      <c r="D24" s="502"/>
      <c r="E24" s="502"/>
      <c r="F24" s="508">
        <v>729.41693234148067</v>
      </c>
      <c r="G24" s="508">
        <v>1392</v>
      </c>
      <c r="H24" s="508">
        <v>13809.49</v>
      </c>
      <c r="I24" s="511">
        <v>7986.569553581171</v>
      </c>
      <c r="J24" s="508">
        <v>0</v>
      </c>
      <c r="K24" s="510">
        <f t="shared" si="0"/>
        <v>21796.05955358117</v>
      </c>
    </row>
    <row r="25" spans="1:11" x14ac:dyDescent="0.35">
      <c r="A25" s="1627" t="s">
        <v>79</v>
      </c>
      <c r="B25" s="502" t="s">
        <v>5</v>
      </c>
      <c r="C25" s="502"/>
      <c r="D25" s="502"/>
      <c r="E25" s="502"/>
      <c r="F25" s="508">
        <v>108</v>
      </c>
      <c r="G25" s="508">
        <v>284</v>
      </c>
      <c r="H25" s="508">
        <v>852</v>
      </c>
      <c r="I25" s="511">
        <v>492.74500793665499</v>
      </c>
      <c r="J25" s="508">
        <v>0</v>
      </c>
      <c r="K25" s="510">
        <f t="shared" si="0"/>
        <v>1344.7450079366549</v>
      </c>
    </row>
    <row r="26" spans="1:11" x14ac:dyDescent="0.35">
      <c r="A26" s="1627" t="s">
        <v>80</v>
      </c>
      <c r="B26" s="502" t="s">
        <v>45</v>
      </c>
      <c r="C26" s="502"/>
      <c r="D26" s="502"/>
      <c r="E26" s="502"/>
      <c r="F26" s="508">
        <v>315</v>
      </c>
      <c r="G26" s="508">
        <v>5456</v>
      </c>
      <c r="H26" s="508">
        <v>35944</v>
      </c>
      <c r="I26" s="511">
        <v>20787.824607130431</v>
      </c>
      <c r="J26" s="508">
        <v>0</v>
      </c>
      <c r="K26" s="510">
        <f t="shared" si="0"/>
        <v>56731.824607130431</v>
      </c>
    </row>
    <row r="27" spans="1:11" x14ac:dyDescent="0.35">
      <c r="A27" s="1627" t="s">
        <v>81</v>
      </c>
      <c r="B27" s="502" t="s">
        <v>46</v>
      </c>
      <c r="C27" s="502"/>
      <c r="D27" s="502"/>
      <c r="E27" s="502"/>
      <c r="F27" s="508">
        <v>0</v>
      </c>
      <c r="G27" s="508">
        <v>0</v>
      </c>
      <c r="H27" s="508">
        <v>1095859</v>
      </c>
      <c r="I27" s="511">
        <v>633778.22963903146</v>
      </c>
      <c r="J27" s="508">
        <v>75982.876910000006</v>
      </c>
      <c r="K27" s="510">
        <f t="shared" si="0"/>
        <v>1653654.3527290314</v>
      </c>
    </row>
    <row r="28" spans="1:11" x14ac:dyDescent="0.35">
      <c r="A28" s="1627" t="s">
        <v>82</v>
      </c>
      <c r="B28" s="502" t="s">
        <v>47</v>
      </c>
      <c r="C28" s="502"/>
      <c r="D28" s="502"/>
      <c r="E28" s="502"/>
      <c r="F28" s="508">
        <v>0</v>
      </c>
      <c r="G28" s="508">
        <v>0</v>
      </c>
      <c r="H28" s="508">
        <v>0</v>
      </c>
      <c r="I28" s="511">
        <v>0</v>
      </c>
      <c r="J28" s="508">
        <v>0</v>
      </c>
      <c r="K28" s="510">
        <f t="shared" si="0"/>
        <v>0</v>
      </c>
    </row>
    <row r="29" spans="1:11" x14ac:dyDescent="0.35">
      <c r="A29" s="1627" t="s">
        <v>83</v>
      </c>
      <c r="B29" s="502" t="s">
        <v>48</v>
      </c>
      <c r="C29" s="502"/>
      <c r="D29" s="502"/>
      <c r="E29" s="502"/>
      <c r="F29" s="508">
        <v>328.5</v>
      </c>
      <c r="G29" s="508">
        <v>448</v>
      </c>
      <c r="H29" s="508">
        <v>5145.6750000000002</v>
      </c>
      <c r="I29" s="511">
        <v>2975.9456205568631</v>
      </c>
      <c r="J29" s="508">
        <v>0</v>
      </c>
      <c r="K29" s="510">
        <f t="shared" si="0"/>
        <v>8121.6206205568633</v>
      </c>
    </row>
    <row r="30" spans="1:11" x14ac:dyDescent="0.35">
      <c r="A30" s="1627" t="s">
        <v>84</v>
      </c>
      <c r="B30" s="1578"/>
      <c r="C30" s="1579"/>
      <c r="D30" s="1580"/>
      <c r="E30" s="502"/>
      <c r="F30" s="508"/>
      <c r="G30" s="508"/>
      <c r="H30" s="508"/>
      <c r="I30" s="511">
        <v>0</v>
      </c>
      <c r="J30" s="509"/>
      <c r="K30" s="510">
        <f t="shared" si="0"/>
        <v>0</v>
      </c>
    </row>
    <row r="31" spans="1:11" x14ac:dyDescent="0.35">
      <c r="A31" s="1627" t="s">
        <v>133</v>
      </c>
      <c r="B31" s="1578"/>
      <c r="C31" s="1579"/>
      <c r="D31" s="1580"/>
      <c r="E31" s="502"/>
      <c r="F31" s="508"/>
      <c r="G31" s="508"/>
      <c r="H31" s="508"/>
      <c r="I31" s="511">
        <v>0</v>
      </c>
      <c r="J31" s="509"/>
      <c r="K31" s="510">
        <f t="shared" si="0"/>
        <v>0</v>
      </c>
    </row>
    <row r="32" spans="1:11" x14ac:dyDescent="0.35">
      <c r="A32" s="1627" t="s">
        <v>134</v>
      </c>
      <c r="B32" s="945"/>
      <c r="C32" s="946"/>
      <c r="D32" s="947"/>
      <c r="E32" s="502"/>
      <c r="F32" s="508"/>
      <c r="G32" s="508"/>
      <c r="H32" s="508"/>
      <c r="I32" s="511">
        <v>0</v>
      </c>
      <c r="J32" s="509"/>
      <c r="K32" s="510">
        <f t="shared" si="0"/>
        <v>0</v>
      </c>
    </row>
    <row r="33" spans="1:11" x14ac:dyDescent="0.35">
      <c r="A33" s="1627" t="s">
        <v>135</v>
      </c>
      <c r="B33" s="945"/>
      <c r="C33" s="946"/>
      <c r="D33" s="947"/>
      <c r="E33" s="502"/>
      <c r="F33" s="508"/>
      <c r="G33" s="508"/>
      <c r="H33" s="508"/>
      <c r="I33" s="511">
        <v>0</v>
      </c>
      <c r="J33" s="509"/>
      <c r="K33" s="510">
        <f t="shared" si="0"/>
        <v>0</v>
      </c>
    </row>
    <row r="34" spans="1:11" x14ac:dyDescent="0.35">
      <c r="A34" s="1627" t="s">
        <v>136</v>
      </c>
      <c r="B34" s="1578"/>
      <c r="C34" s="1579"/>
      <c r="D34" s="1580"/>
      <c r="E34" s="502"/>
      <c r="F34" s="508"/>
      <c r="G34" s="508"/>
      <c r="H34" s="508"/>
      <c r="I34" s="511">
        <v>0</v>
      </c>
      <c r="J34" s="509"/>
      <c r="K34" s="510">
        <f t="shared" si="0"/>
        <v>0</v>
      </c>
    </row>
    <row r="35" spans="1:11" x14ac:dyDescent="0.35">
      <c r="A35" s="1626"/>
      <c r="B35" s="502"/>
      <c r="C35" s="502"/>
      <c r="D35" s="502"/>
      <c r="E35" s="502"/>
      <c r="F35" s="502"/>
      <c r="G35" s="502"/>
      <c r="H35" s="502"/>
      <c r="I35" s="502"/>
      <c r="J35" s="502"/>
      <c r="K35" s="512"/>
    </row>
    <row r="36" spans="1:11" x14ac:dyDescent="0.35">
      <c r="A36" s="1627" t="s">
        <v>137</v>
      </c>
      <c r="B36" s="503" t="s">
        <v>138</v>
      </c>
      <c r="C36" s="502"/>
      <c r="D36" s="502"/>
      <c r="E36" s="503" t="s">
        <v>7</v>
      </c>
      <c r="F36" s="513">
        <f t="shared" ref="F36:K36" si="1">SUM(F21:F34)</f>
        <v>3843.4169323414808</v>
      </c>
      <c r="G36" s="513">
        <f t="shared" si="1"/>
        <v>16906</v>
      </c>
      <c r="H36" s="513">
        <f t="shared" si="1"/>
        <v>1288460.04</v>
      </c>
      <c r="I36" s="510">
        <f t="shared" si="1"/>
        <v>745166.96318763238</v>
      </c>
      <c r="J36" s="510">
        <f t="shared" si="1"/>
        <v>80546.876910000006</v>
      </c>
      <c r="K36" s="510">
        <f t="shared" si="1"/>
        <v>1953080.1262776323</v>
      </c>
    </row>
    <row r="37" spans="1:11" ht="15" thickBot="1" x14ac:dyDescent="0.4">
      <c r="A37" s="1626"/>
      <c r="B37" s="503"/>
      <c r="C37" s="502"/>
      <c r="D37" s="502"/>
      <c r="E37" s="502"/>
      <c r="F37" s="514"/>
      <c r="G37" s="514"/>
      <c r="H37" s="515"/>
      <c r="I37" s="515"/>
      <c r="J37" s="515"/>
      <c r="K37" s="516"/>
    </row>
    <row r="38" spans="1:11" ht="39.5" x14ac:dyDescent="0.35">
      <c r="A38" s="1626"/>
      <c r="B38" s="502"/>
      <c r="C38" s="502"/>
      <c r="D38" s="502"/>
      <c r="E38" s="502"/>
      <c r="F38" s="506" t="s">
        <v>9</v>
      </c>
      <c r="G38" s="506" t="s">
        <v>37</v>
      </c>
      <c r="H38" s="506" t="s">
        <v>29</v>
      </c>
      <c r="I38" s="506" t="s">
        <v>30</v>
      </c>
      <c r="J38" s="506" t="s">
        <v>33</v>
      </c>
      <c r="K38" s="506" t="s">
        <v>34</v>
      </c>
    </row>
    <row r="39" spans="1:11" x14ac:dyDescent="0.35">
      <c r="A39" s="1627" t="s">
        <v>86</v>
      </c>
      <c r="B39" s="503" t="s">
        <v>49</v>
      </c>
      <c r="C39" s="502"/>
      <c r="D39" s="502"/>
      <c r="E39" s="502"/>
      <c r="F39" s="502"/>
      <c r="G39" s="502"/>
      <c r="H39" s="502"/>
      <c r="I39" s="502"/>
      <c r="J39" s="502"/>
      <c r="K39" s="502"/>
    </row>
    <row r="40" spans="1:11" x14ac:dyDescent="0.35">
      <c r="A40" s="1627" t="s">
        <v>87</v>
      </c>
      <c r="B40" s="502" t="s">
        <v>31</v>
      </c>
      <c r="C40" s="502"/>
      <c r="D40" s="502"/>
      <c r="E40" s="502"/>
      <c r="F40" s="508">
        <v>0</v>
      </c>
      <c r="G40" s="508">
        <v>0</v>
      </c>
      <c r="H40" s="508">
        <v>0</v>
      </c>
      <c r="I40" s="508">
        <v>0</v>
      </c>
      <c r="J40" s="508">
        <v>0</v>
      </c>
      <c r="K40" s="510">
        <f t="shared" ref="K40:K47" si="2">(H40+I40)-J40</f>
        <v>0</v>
      </c>
    </row>
    <row r="41" spans="1:11" x14ac:dyDescent="0.35">
      <c r="A41" s="1627" t="s">
        <v>88</v>
      </c>
      <c r="B41" s="1586" t="s">
        <v>50</v>
      </c>
      <c r="C41" s="1586"/>
      <c r="D41" s="502"/>
      <c r="E41" s="502"/>
      <c r="F41" s="508">
        <v>30161</v>
      </c>
      <c r="G41" s="508">
        <v>912</v>
      </c>
      <c r="H41" s="508">
        <v>1838282.9814569049</v>
      </c>
      <c r="I41" s="508">
        <v>1063151.1294457752</v>
      </c>
      <c r="J41" s="508">
        <v>0</v>
      </c>
      <c r="K41" s="510">
        <f t="shared" si="2"/>
        <v>2901434.1109026801</v>
      </c>
    </row>
    <row r="42" spans="1:11" x14ac:dyDescent="0.35">
      <c r="A42" s="1627" t="s">
        <v>89</v>
      </c>
      <c r="B42" s="507" t="s">
        <v>11</v>
      </c>
      <c r="C42" s="502"/>
      <c r="D42" s="502"/>
      <c r="E42" s="502"/>
      <c r="F42" s="508">
        <v>0</v>
      </c>
      <c r="G42" s="508">
        <v>0</v>
      </c>
      <c r="H42" s="508">
        <v>0</v>
      </c>
      <c r="I42" s="508">
        <v>0</v>
      </c>
      <c r="J42" s="508">
        <v>0</v>
      </c>
      <c r="K42" s="510">
        <f t="shared" si="2"/>
        <v>0</v>
      </c>
    </row>
    <row r="43" spans="1:11" x14ac:dyDescent="0.35">
      <c r="A43" s="1627" t="s">
        <v>90</v>
      </c>
      <c r="B43" s="517" t="s">
        <v>10</v>
      </c>
      <c r="C43" s="518"/>
      <c r="D43" s="518"/>
      <c r="E43" s="502"/>
      <c r="F43" s="508">
        <v>0</v>
      </c>
      <c r="G43" s="508">
        <v>0</v>
      </c>
      <c r="H43" s="508">
        <v>0</v>
      </c>
      <c r="I43" s="508">
        <v>0</v>
      </c>
      <c r="J43" s="508">
        <v>0</v>
      </c>
      <c r="K43" s="510">
        <f t="shared" si="2"/>
        <v>0</v>
      </c>
    </row>
    <row r="44" spans="1:11" x14ac:dyDescent="0.35">
      <c r="A44" s="1627" t="s">
        <v>91</v>
      </c>
      <c r="B44" s="1578"/>
      <c r="C44" s="1579"/>
      <c r="D44" s="1580"/>
      <c r="E44" s="502"/>
      <c r="F44" s="508"/>
      <c r="G44" s="508"/>
      <c r="H44" s="508"/>
      <c r="I44" s="519">
        <v>0</v>
      </c>
      <c r="J44" s="520"/>
      <c r="K44" s="521">
        <f t="shared" si="2"/>
        <v>0</v>
      </c>
    </row>
    <row r="45" spans="1:11" x14ac:dyDescent="0.35">
      <c r="A45" s="1627" t="s">
        <v>139</v>
      </c>
      <c r="B45" s="1578"/>
      <c r="C45" s="1579"/>
      <c r="D45" s="1580"/>
      <c r="E45" s="502"/>
      <c r="F45" s="508"/>
      <c r="G45" s="508"/>
      <c r="H45" s="508"/>
      <c r="I45" s="511">
        <v>0</v>
      </c>
      <c r="J45" s="509"/>
      <c r="K45" s="510">
        <f t="shared" si="2"/>
        <v>0</v>
      </c>
    </row>
    <row r="46" spans="1:11" x14ac:dyDescent="0.35">
      <c r="A46" s="1627" t="s">
        <v>140</v>
      </c>
      <c r="B46" s="1578"/>
      <c r="C46" s="1579"/>
      <c r="D46" s="1580"/>
      <c r="E46" s="502"/>
      <c r="F46" s="508"/>
      <c r="G46" s="508"/>
      <c r="H46" s="508"/>
      <c r="I46" s="511">
        <v>0</v>
      </c>
      <c r="J46" s="509"/>
      <c r="K46" s="510">
        <f t="shared" si="2"/>
        <v>0</v>
      </c>
    </row>
    <row r="47" spans="1:11" x14ac:dyDescent="0.35">
      <c r="A47" s="1627" t="s">
        <v>141</v>
      </c>
      <c r="B47" s="1578"/>
      <c r="C47" s="1579"/>
      <c r="D47" s="1580"/>
      <c r="E47" s="502"/>
      <c r="F47" s="508"/>
      <c r="G47" s="508"/>
      <c r="H47" s="508"/>
      <c r="I47" s="511">
        <v>0</v>
      </c>
      <c r="J47" s="509"/>
      <c r="K47" s="510">
        <f t="shared" si="2"/>
        <v>0</v>
      </c>
    </row>
    <row r="48" spans="1:11" x14ac:dyDescent="0.35">
      <c r="A48" s="1626"/>
      <c r="B48" s="502"/>
      <c r="C48" s="502"/>
      <c r="D48" s="502"/>
      <c r="E48" s="502"/>
      <c r="F48" s="502"/>
      <c r="G48" s="502"/>
      <c r="H48" s="502"/>
      <c r="I48" s="502"/>
      <c r="J48" s="502"/>
      <c r="K48" s="502"/>
    </row>
    <row r="49" spans="1:11" x14ac:dyDescent="0.35">
      <c r="A49" s="1627" t="s">
        <v>142</v>
      </c>
      <c r="B49" s="503" t="s">
        <v>143</v>
      </c>
      <c r="C49" s="502"/>
      <c r="D49" s="502"/>
      <c r="E49" s="503" t="s">
        <v>7</v>
      </c>
      <c r="F49" s="522">
        <f t="shared" ref="F49:K49" si="3">SUM(F40:F47)</f>
        <v>30161</v>
      </c>
      <c r="G49" s="522">
        <f t="shared" si="3"/>
        <v>912</v>
      </c>
      <c r="H49" s="510">
        <f t="shared" si="3"/>
        <v>1838282.9814569049</v>
      </c>
      <c r="I49" s="510">
        <f t="shared" si="3"/>
        <v>1063151.1294457752</v>
      </c>
      <c r="J49" s="510">
        <f t="shared" si="3"/>
        <v>0</v>
      </c>
      <c r="K49" s="510">
        <f t="shared" si="3"/>
        <v>2901434.1109026801</v>
      </c>
    </row>
    <row r="50" spans="1:11" ht="15" thickBot="1" x14ac:dyDescent="0.4">
      <c r="A50" s="1626"/>
      <c r="B50" s="502"/>
      <c r="C50" s="502"/>
      <c r="D50" s="502"/>
      <c r="E50" s="502"/>
      <c r="F50" s="502"/>
      <c r="G50" s="523"/>
      <c r="H50" s="523"/>
      <c r="I50" s="523"/>
      <c r="J50" s="523"/>
      <c r="K50" s="523"/>
    </row>
    <row r="51" spans="1:11" ht="39.5" x14ac:dyDescent="0.35">
      <c r="A51" s="1626"/>
      <c r="B51" s="502"/>
      <c r="C51" s="502"/>
      <c r="D51" s="502"/>
      <c r="E51" s="502"/>
      <c r="F51" s="506" t="s">
        <v>9</v>
      </c>
      <c r="G51" s="506" t="s">
        <v>37</v>
      </c>
      <c r="H51" s="506" t="s">
        <v>29</v>
      </c>
      <c r="I51" s="506" t="s">
        <v>30</v>
      </c>
      <c r="J51" s="506" t="s">
        <v>33</v>
      </c>
      <c r="K51" s="506" t="s">
        <v>34</v>
      </c>
    </row>
    <row r="52" spans="1:11" ht="14.5" customHeight="1" x14ac:dyDescent="0.35">
      <c r="A52" s="1627" t="s">
        <v>92</v>
      </c>
      <c r="B52" s="1581" t="s">
        <v>38</v>
      </c>
      <c r="C52" s="1581"/>
      <c r="D52" s="502"/>
      <c r="E52" s="502"/>
      <c r="F52" s="502"/>
      <c r="G52" s="502"/>
      <c r="H52" s="502"/>
      <c r="I52" s="502"/>
      <c r="J52" s="502"/>
      <c r="K52" s="502"/>
    </row>
    <row r="53" spans="1:11" x14ac:dyDescent="0.35">
      <c r="A53" s="1627" t="s">
        <v>51</v>
      </c>
      <c r="B53" s="1572" t="s">
        <v>408</v>
      </c>
      <c r="C53" s="1573"/>
      <c r="D53" s="1574"/>
      <c r="E53" s="502"/>
      <c r="F53" s="508">
        <v>18516.832325460833</v>
      </c>
      <c r="G53" s="508">
        <v>0</v>
      </c>
      <c r="H53" s="508">
        <v>2849925.6632116763</v>
      </c>
      <c r="I53" s="508">
        <v>1648223.7600212607</v>
      </c>
      <c r="J53" s="508">
        <v>0</v>
      </c>
      <c r="K53" s="510">
        <f t="shared" ref="K53:K62" si="4">(H53+I53)-J53</f>
        <v>4498149.4232329372</v>
      </c>
    </row>
    <row r="54" spans="1:11" x14ac:dyDescent="0.35">
      <c r="A54" s="1627" t="s">
        <v>93</v>
      </c>
      <c r="B54" s="948" t="s">
        <v>461</v>
      </c>
      <c r="C54" s="949"/>
      <c r="D54" s="950"/>
      <c r="E54" s="502"/>
      <c r="F54" s="508">
        <v>30651.423509465832</v>
      </c>
      <c r="G54" s="508">
        <v>0</v>
      </c>
      <c r="H54" s="508">
        <v>4717560.5923418859</v>
      </c>
      <c r="I54" s="508">
        <v>2728350.2717314009</v>
      </c>
      <c r="J54" s="508">
        <v>0</v>
      </c>
      <c r="K54" s="510">
        <f t="shared" si="4"/>
        <v>7445910.8640732868</v>
      </c>
    </row>
    <row r="55" spans="1:11" x14ac:dyDescent="0.35">
      <c r="A55" s="1627" t="s">
        <v>94</v>
      </c>
      <c r="B55" s="1572" t="s">
        <v>462</v>
      </c>
      <c r="C55" s="1573"/>
      <c r="D55" s="1574"/>
      <c r="E55" s="502"/>
      <c r="F55" s="508">
        <v>10287.002934993308</v>
      </c>
      <c r="G55" s="508">
        <v>0</v>
      </c>
      <c r="H55" s="508">
        <v>1583272.62172482</v>
      </c>
      <c r="I55" s="508">
        <v>915668.63915221242</v>
      </c>
      <c r="J55" s="508">
        <v>0</v>
      </c>
      <c r="K55" s="510">
        <f t="shared" si="4"/>
        <v>2498941.2608770323</v>
      </c>
    </row>
    <row r="56" spans="1:11" x14ac:dyDescent="0.35">
      <c r="A56" s="1627" t="s">
        <v>95</v>
      </c>
      <c r="B56" s="1572" t="s">
        <v>463</v>
      </c>
      <c r="C56" s="1573"/>
      <c r="D56" s="1574"/>
      <c r="E56" s="502"/>
      <c r="F56" s="508">
        <v>4308.7183437800222</v>
      </c>
      <c r="G56" s="508">
        <v>0</v>
      </c>
      <c r="H56" s="508">
        <v>663154.84029118321</v>
      </c>
      <c r="I56" s="508">
        <v>383528.44723299326</v>
      </c>
      <c r="J56" s="508">
        <v>0</v>
      </c>
      <c r="K56" s="510">
        <f t="shared" si="4"/>
        <v>1046683.2875241765</v>
      </c>
    </row>
    <row r="57" spans="1:11" x14ac:dyDescent="0.35">
      <c r="A57" s="1627" t="s">
        <v>96</v>
      </c>
      <c r="B57" s="1572" t="s">
        <v>445</v>
      </c>
      <c r="C57" s="1573"/>
      <c r="D57" s="1574"/>
      <c r="E57" s="502"/>
      <c r="F57" s="508">
        <v>21835.135731128554</v>
      </c>
      <c r="G57" s="508">
        <v>0</v>
      </c>
      <c r="H57" s="508">
        <v>3360645.7403779957</v>
      </c>
      <c r="I57" s="508">
        <v>1943593.2065901894</v>
      </c>
      <c r="J57" s="508">
        <v>0</v>
      </c>
      <c r="K57" s="510">
        <f t="shared" si="4"/>
        <v>5304238.9469681848</v>
      </c>
    </row>
    <row r="58" spans="1:11" x14ac:dyDescent="0.35">
      <c r="A58" s="1627" t="s">
        <v>97</v>
      </c>
      <c r="B58" s="948" t="s">
        <v>464</v>
      </c>
      <c r="C58" s="949"/>
      <c r="D58" s="950"/>
      <c r="E58" s="502"/>
      <c r="F58" s="508">
        <v>4587.3368031275668</v>
      </c>
      <c r="G58" s="508">
        <v>0</v>
      </c>
      <c r="H58" s="508">
        <v>706280.56338375062</v>
      </c>
      <c r="I58" s="508">
        <v>408469.74390848749</v>
      </c>
      <c r="J58" s="508">
        <v>0</v>
      </c>
      <c r="K58" s="510">
        <f t="shared" si="4"/>
        <v>1114750.3072922381</v>
      </c>
    </row>
    <row r="59" spans="1:11" x14ac:dyDescent="0.35">
      <c r="A59" s="1627" t="s">
        <v>98</v>
      </c>
      <c r="B59" s="1575" t="s">
        <v>465</v>
      </c>
      <c r="C59" s="1576"/>
      <c r="D59" s="1577"/>
      <c r="E59" s="502"/>
      <c r="F59" s="508">
        <v>3787.7909374355554</v>
      </c>
      <c r="G59" s="508">
        <v>0</v>
      </c>
      <c r="H59" s="508">
        <v>582978.90318070631</v>
      </c>
      <c r="I59" s="508">
        <v>337159.55900783988</v>
      </c>
      <c r="J59" s="508">
        <v>0</v>
      </c>
      <c r="K59" s="510">
        <f t="shared" si="4"/>
        <v>920138.4621885462</v>
      </c>
    </row>
    <row r="60" spans="1:11" x14ac:dyDescent="0.35">
      <c r="A60" s="1627" t="s">
        <v>99</v>
      </c>
      <c r="B60" s="941" t="s">
        <v>466</v>
      </c>
      <c r="C60" s="942"/>
      <c r="D60" s="943"/>
      <c r="E60" s="502"/>
      <c r="F60" s="508">
        <v>0</v>
      </c>
      <c r="G60" s="508">
        <v>0</v>
      </c>
      <c r="H60" s="508">
        <v>1060</v>
      </c>
      <c r="I60" s="508">
        <v>613.03956386485243</v>
      </c>
      <c r="J60" s="508">
        <v>0</v>
      </c>
      <c r="K60" s="510">
        <f t="shared" si="4"/>
        <v>1673.0395638648524</v>
      </c>
    </row>
    <row r="61" spans="1:11" x14ac:dyDescent="0.35">
      <c r="A61" s="1627" t="s">
        <v>100</v>
      </c>
      <c r="B61" s="941" t="s">
        <v>467</v>
      </c>
      <c r="C61" s="942"/>
      <c r="D61" s="943"/>
      <c r="E61" s="502"/>
      <c r="F61" s="508">
        <v>1288.8238345438892</v>
      </c>
      <c r="G61" s="508">
        <v>0</v>
      </c>
      <c r="H61" s="508">
        <v>198362.87637464999</v>
      </c>
      <c r="I61" s="508">
        <v>114721.02945254064</v>
      </c>
      <c r="J61" s="508">
        <v>0</v>
      </c>
      <c r="K61" s="510">
        <f t="shared" si="4"/>
        <v>313083.90582719061</v>
      </c>
    </row>
    <row r="62" spans="1:11" x14ac:dyDescent="0.35">
      <c r="A62" s="1627" t="s">
        <v>101</v>
      </c>
      <c r="B62" s="1575" t="s">
        <v>531</v>
      </c>
      <c r="C62" s="1576"/>
      <c r="D62" s="1577"/>
      <c r="E62" s="502"/>
      <c r="F62" s="508">
        <v>4079.160769877768</v>
      </c>
      <c r="G62" s="508">
        <v>0</v>
      </c>
      <c r="H62" s="508">
        <v>627823.63409188727</v>
      </c>
      <c r="I62" s="508">
        <v>363095.02530918614</v>
      </c>
      <c r="J62" s="508">
        <v>0</v>
      </c>
      <c r="K62" s="510">
        <f t="shared" si="4"/>
        <v>990918.65940107335</v>
      </c>
    </row>
    <row r="63" spans="1:11" x14ac:dyDescent="0.35">
      <c r="A63" s="1627"/>
      <c r="B63" s="502"/>
      <c r="C63" s="502"/>
      <c r="D63" s="502"/>
      <c r="E63" s="502"/>
      <c r="F63" s="502"/>
      <c r="G63" s="502"/>
      <c r="H63" s="502"/>
      <c r="I63" s="524"/>
      <c r="J63" s="502"/>
      <c r="K63" s="502"/>
    </row>
    <row r="64" spans="1:11" x14ac:dyDescent="0.35">
      <c r="A64" s="1627" t="s">
        <v>144</v>
      </c>
      <c r="B64" s="503" t="s">
        <v>145</v>
      </c>
      <c r="C64" s="502"/>
      <c r="D64" s="502"/>
      <c r="E64" s="503" t="s">
        <v>7</v>
      </c>
      <c r="F64" s="513">
        <f t="shared" ref="F64:K64" si="5">SUM(F53:F62)</f>
        <v>99342.225189813311</v>
      </c>
      <c r="G64" s="513">
        <f t="shared" si="5"/>
        <v>0</v>
      </c>
      <c r="H64" s="510">
        <f t="shared" si="5"/>
        <v>15291065.434978556</v>
      </c>
      <c r="I64" s="510">
        <f t="shared" si="5"/>
        <v>8843422.7219699752</v>
      </c>
      <c r="J64" s="510">
        <f t="shared" si="5"/>
        <v>0</v>
      </c>
      <c r="K64" s="510">
        <f t="shared" si="5"/>
        <v>24134488.156948529</v>
      </c>
    </row>
    <row r="65" spans="1:11" x14ac:dyDescent="0.35">
      <c r="A65" s="1626"/>
      <c r="B65" s="502"/>
      <c r="C65" s="502"/>
      <c r="D65" s="502"/>
      <c r="E65" s="502"/>
      <c r="F65" s="525"/>
      <c r="G65" s="525"/>
      <c r="H65" s="525"/>
      <c r="I65" s="525"/>
      <c r="J65" s="525"/>
      <c r="K65" s="525"/>
    </row>
    <row r="66" spans="1:11" ht="39.5" x14ac:dyDescent="0.35">
      <c r="A66" s="1626"/>
      <c r="B66" s="502"/>
      <c r="C66" s="502"/>
      <c r="D66" s="502"/>
      <c r="E66" s="502"/>
      <c r="F66" s="526" t="s">
        <v>9</v>
      </c>
      <c r="G66" s="526" t="s">
        <v>37</v>
      </c>
      <c r="H66" s="526" t="s">
        <v>29</v>
      </c>
      <c r="I66" s="526" t="s">
        <v>30</v>
      </c>
      <c r="J66" s="526" t="s">
        <v>33</v>
      </c>
      <c r="K66" s="526" t="s">
        <v>34</v>
      </c>
    </row>
    <row r="67" spans="1:11" x14ac:dyDescent="0.35">
      <c r="A67" s="1627" t="s">
        <v>102</v>
      </c>
      <c r="B67" s="503" t="s">
        <v>12</v>
      </c>
      <c r="C67" s="502"/>
      <c r="D67" s="502"/>
      <c r="E67" s="502"/>
      <c r="F67" s="527"/>
      <c r="G67" s="527"/>
      <c r="H67" s="527"/>
      <c r="I67" s="528"/>
      <c r="J67" s="527"/>
      <c r="K67" s="529"/>
    </row>
    <row r="68" spans="1:11" x14ac:dyDescent="0.35">
      <c r="A68" s="1627" t="s">
        <v>103</v>
      </c>
      <c r="B68" s="502" t="s">
        <v>52</v>
      </c>
      <c r="C68" s="502"/>
      <c r="D68" s="502"/>
      <c r="E68" s="502"/>
      <c r="F68" s="508">
        <v>0</v>
      </c>
      <c r="G68" s="508">
        <v>57</v>
      </c>
      <c r="H68" s="508">
        <v>250481.55343303978</v>
      </c>
      <c r="I68" s="508">
        <v>144863.30403092588</v>
      </c>
      <c r="J68" s="508">
        <v>44808.488549796049</v>
      </c>
      <c r="K68" s="510">
        <f>(H68+I68)-J68</f>
        <v>350536.36891416961</v>
      </c>
    </row>
    <row r="69" spans="1:11" x14ac:dyDescent="0.35">
      <c r="A69" s="1627" t="s">
        <v>104</v>
      </c>
      <c r="B69" s="507" t="s">
        <v>53</v>
      </c>
      <c r="C69" s="502"/>
      <c r="D69" s="502"/>
      <c r="E69" s="502"/>
      <c r="F69" s="508"/>
      <c r="G69" s="508"/>
      <c r="H69" s="508"/>
      <c r="I69" s="508">
        <v>0</v>
      </c>
      <c r="J69" s="508"/>
      <c r="K69" s="510">
        <f>(H69+I69)-J69</f>
        <v>0</v>
      </c>
    </row>
    <row r="70" spans="1:11" x14ac:dyDescent="0.35">
      <c r="A70" s="1627" t="s">
        <v>178</v>
      </c>
      <c r="B70" s="944"/>
      <c r="C70" s="942"/>
      <c r="D70" s="943"/>
      <c r="E70" s="503"/>
      <c r="F70" s="508"/>
      <c r="G70" s="508"/>
      <c r="H70" s="508"/>
      <c r="I70" s="508"/>
      <c r="J70" s="508"/>
      <c r="K70" s="510">
        <f>(H70+I70)-J70</f>
        <v>0</v>
      </c>
    </row>
    <row r="71" spans="1:11" x14ac:dyDescent="0.35">
      <c r="A71" s="1627" t="s">
        <v>179</v>
      </c>
      <c r="B71" s="941"/>
      <c r="C71" s="942"/>
      <c r="D71" s="943"/>
      <c r="E71" s="503"/>
      <c r="F71" s="530"/>
      <c r="G71" s="530"/>
      <c r="H71" s="531"/>
      <c r="I71" s="508">
        <v>0</v>
      </c>
      <c r="J71" s="531"/>
      <c r="K71" s="510">
        <f>(H71+I71)-J71</f>
        <v>0</v>
      </c>
    </row>
    <row r="72" spans="1:11" x14ac:dyDescent="0.35">
      <c r="A72" s="1627" t="s">
        <v>180</v>
      </c>
      <c r="B72" s="532"/>
      <c r="C72" s="533"/>
      <c r="D72" s="534"/>
      <c r="E72" s="503"/>
      <c r="F72" s="508"/>
      <c r="G72" s="508"/>
      <c r="H72" s="509"/>
      <c r="I72" s="508">
        <v>0</v>
      </c>
      <c r="J72" s="509"/>
      <c r="K72" s="510">
        <f>(H72+I72)-J72</f>
        <v>0</v>
      </c>
    </row>
    <row r="73" spans="1:11" x14ac:dyDescent="0.35">
      <c r="A73" s="1627"/>
      <c r="B73" s="507"/>
      <c r="C73" s="502"/>
      <c r="D73" s="502"/>
      <c r="E73" s="503"/>
      <c r="F73" s="535"/>
      <c r="G73" s="535"/>
      <c r="H73" s="536"/>
      <c r="I73" s="528"/>
      <c r="J73" s="536"/>
      <c r="K73" s="529"/>
    </row>
    <row r="74" spans="1:11" x14ac:dyDescent="0.35">
      <c r="A74" s="1627" t="s">
        <v>146</v>
      </c>
      <c r="B74" s="503" t="s">
        <v>147</v>
      </c>
      <c r="C74" s="502"/>
      <c r="D74" s="502"/>
      <c r="E74" s="503" t="s">
        <v>7</v>
      </c>
      <c r="F74" s="537">
        <f t="shared" ref="F74:K74" si="6">SUM(F68:F72)</f>
        <v>0</v>
      </c>
      <c r="G74" s="537">
        <f t="shared" si="6"/>
        <v>57</v>
      </c>
      <c r="H74" s="537">
        <f t="shared" si="6"/>
        <v>250481.55343303978</v>
      </c>
      <c r="I74" s="538">
        <f t="shared" si="6"/>
        <v>144863.30403092588</v>
      </c>
      <c r="J74" s="537">
        <f t="shared" si="6"/>
        <v>44808.488549796049</v>
      </c>
      <c r="K74" s="539">
        <f t="shared" si="6"/>
        <v>350536.36891416961</v>
      </c>
    </row>
    <row r="75" spans="1:11" ht="39.5" x14ac:dyDescent="0.35">
      <c r="A75" s="1626"/>
      <c r="B75" s="502"/>
      <c r="C75" s="502"/>
      <c r="D75" s="502"/>
      <c r="E75" s="502"/>
      <c r="F75" s="506" t="s">
        <v>9</v>
      </c>
      <c r="G75" s="506" t="s">
        <v>37</v>
      </c>
      <c r="H75" s="506" t="s">
        <v>29</v>
      </c>
      <c r="I75" s="506" t="s">
        <v>30</v>
      </c>
      <c r="J75" s="506" t="s">
        <v>33</v>
      </c>
      <c r="K75" s="506" t="s">
        <v>34</v>
      </c>
    </row>
    <row r="76" spans="1:11" x14ac:dyDescent="0.35">
      <c r="A76" s="1627" t="s">
        <v>105</v>
      </c>
      <c r="B76" s="503" t="s">
        <v>106</v>
      </c>
      <c r="C76" s="502"/>
      <c r="D76" s="502"/>
      <c r="E76" s="502"/>
      <c r="F76" s="502"/>
      <c r="G76" s="502"/>
      <c r="H76" s="502"/>
      <c r="I76" s="502"/>
      <c r="J76" s="502"/>
      <c r="K76" s="502"/>
    </row>
    <row r="77" spans="1:11" x14ac:dyDescent="0.35">
      <c r="A77" s="1627" t="s">
        <v>107</v>
      </c>
      <c r="B77" s="507" t="s">
        <v>54</v>
      </c>
      <c r="C77" s="502"/>
      <c r="D77" s="502"/>
      <c r="E77" s="502"/>
      <c r="F77" s="508">
        <v>0</v>
      </c>
      <c r="G77" s="508">
        <v>0</v>
      </c>
      <c r="H77" s="509">
        <v>40000</v>
      </c>
      <c r="I77" s="511">
        <v>23133.568447730282</v>
      </c>
      <c r="J77" s="509">
        <v>0</v>
      </c>
      <c r="K77" s="510">
        <f>(H77+I77)-J77</f>
        <v>63133.568447730286</v>
      </c>
    </row>
    <row r="78" spans="1:11" x14ac:dyDescent="0.35">
      <c r="A78" s="1627" t="s">
        <v>108</v>
      </c>
      <c r="B78" s="507" t="s">
        <v>55</v>
      </c>
      <c r="C78" s="502"/>
      <c r="D78" s="502"/>
      <c r="E78" s="502"/>
      <c r="F78" s="508"/>
      <c r="G78" s="508"/>
      <c r="H78" s="509"/>
      <c r="I78" s="511">
        <v>0</v>
      </c>
      <c r="J78" s="509"/>
      <c r="K78" s="510">
        <f>(H78+I78)-J78</f>
        <v>0</v>
      </c>
    </row>
    <row r="79" spans="1:11" x14ac:dyDescent="0.35">
      <c r="A79" s="1627" t="s">
        <v>109</v>
      </c>
      <c r="B79" s="507" t="s">
        <v>13</v>
      </c>
      <c r="C79" s="502"/>
      <c r="D79" s="502"/>
      <c r="E79" s="502"/>
      <c r="F79" s="508">
        <v>0</v>
      </c>
      <c r="G79" s="508">
        <v>0</v>
      </c>
      <c r="H79" s="509">
        <v>10500</v>
      </c>
      <c r="I79" s="511">
        <v>6072.5617175291991</v>
      </c>
      <c r="J79" s="509">
        <v>0</v>
      </c>
      <c r="K79" s="510">
        <f>(H79+I79)-J79</f>
        <v>16572.561717529199</v>
      </c>
    </row>
    <row r="80" spans="1:11" x14ac:dyDescent="0.35">
      <c r="A80" s="1627" t="s">
        <v>110</v>
      </c>
      <c r="B80" s="507" t="s">
        <v>56</v>
      </c>
      <c r="C80" s="502"/>
      <c r="D80" s="502"/>
      <c r="E80" s="502"/>
      <c r="F80" s="508"/>
      <c r="G80" s="508"/>
      <c r="H80" s="509"/>
      <c r="I80" s="511">
        <v>0</v>
      </c>
      <c r="J80" s="509"/>
      <c r="K80" s="510">
        <f>(H80+I80)-J80</f>
        <v>0</v>
      </c>
    </row>
    <row r="81" spans="1:11" x14ac:dyDescent="0.35">
      <c r="A81" s="1627"/>
      <c r="B81" s="502"/>
      <c r="C81" s="502"/>
      <c r="D81" s="502"/>
      <c r="E81" s="502"/>
      <c r="F81" s="502"/>
      <c r="G81" s="502"/>
      <c r="H81" s="502"/>
      <c r="I81" s="502"/>
      <c r="J81" s="502"/>
      <c r="K81" s="540"/>
    </row>
    <row r="82" spans="1:11" x14ac:dyDescent="0.35">
      <c r="A82" s="1627" t="s">
        <v>148</v>
      </c>
      <c r="B82" s="503" t="s">
        <v>149</v>
      </c>
      <c r="C82" s="502"/>
      <c r="D82" s="502"/>
      <c r="E82" s="503" t="s">
        <v>7</v>
      </c>
      <c r="F82" s="537">
        <f t="shared" ref="F82:K82" si="7">SUM(F77:F80)</f>
        <v>0</v>
      </c>
      <c r="G82" s="537">
        <f t="shared" si="7"/>
        <v>0</v>
      </c>
      <c r="H82" s="539">
        <f t="shared" si="7"/>
        <v>50500</v>
      </c>
      <c r="I82" s="539">
        <f t="shared" si="7"/>
        <v>29206.130165259481</v>
      </c>
      <c r="J82" s="539">
        <f t="shared" si="7"/>
        <v>0</v>
      </c>
      <c r="K82" s="539">
        <f t="shared" si="7"/>
        <v>79706.130165259485</v>
      </c>
    </row>
    <row r="83" spans="1:11" ht="15" thickBot="1" x14ac:dyDescent="0.4">
      <c r="A83" s="1627"/>
      <c r="B83" s="502"/>
      <c r="C83" s="502"/>
      <c r="D83" s="502"/>
      <c r="E83" s="502"/>
      <c r="F83" s="523"/>
      <c r="G83" s="523"/>
      <c r="H83" s="523"/>
      <c r="I83" s="523"/>
      <c r="J83" s="523"/>
      <c r="K83" s="523"/>
    </row>
    <row r="84" spans="1:11" ht="27.4" customHeight="1" x14ac:dyDescent="0.35">
      <c r="A84" s="1626"/>
      <c r="B84" s="502"/>
      <c r="C84" s="502"/>
      <c r="D84" s="502"/>
      <c r="E84" s="502"/>
      <c r="F84" s="506" t="s">
        <v>9</v>
      </c>
      <c r="G84" s="506" t="s">
        <v>37</v>
      </c>
      <c r="H84" s="506" t="s">
        <v>29</v>
      </c>
      <c r="I84" s="506" t="s">
        <v>30</v>
      </c>
      <c r="J84" s="506" t="s">
        <v>33</v>
      </c>
      <c r="K84" s="506" t="s">
        <v>34</v>
      </c>
    </row>
    <row r="85" spans="1:11" x14ac:dyDescent="0.35">
      <c r="A85" s="1627" t="s">
        <v>111</v>
      </c>
      <c r="B85" s="503" t="s">
        <v>57</v>
      </c>
      <c r="C85" s="502"/>
      <c r="D85" s="502"/>
      <c r="E85" s="502"/>
      <c r="F85" s="502"/>
      <c r="G85" s="502"/>
      <c r="H85" s="502"/>
      <c r="I85" s="502"/>
      <c r="J85" s="502"/>
      <c r="K85" s="502"/>
    </row>
    <row r="86" spans="1:11" x14ac:dyDescent="0.35">
      <c r="A86" s="1627" t="s">
        <v>112</v>
      </c>
      <c r="B86" s="507" t="s">
        <v>113</v>
      </c>
      <c r="C86" s="502"/>
      <c r="D86" s="502"/>
      <c r="E86" s="502"/>
      <c r="F86" s="508"/>
      <c r="G86" s="508"/>
      <c r="H86" s="509"/>
      <c r="I86" s="511">
        <v>0</v>
      </c>
      <c r="J86" s="509"/>
      <c r="K86" s="510">
        <f t="shared" ref="K86:K96" si="8">(H86+I86)-J86</f>
        <v>0</v>
      </c>
    </row>
    <row r="87" spans="1:11" x14ac:dyDescent="0.35">
      <c r="A87" s="1627" t="s">
        <v>114</v>
      </c>
      <c r="B87" s="507" t="s">
        <v>14</v>
      </c>
      <c r="C87" s="502"/>
      <c r="D87" s="502"/>
      <c r="E87" s="502"/>
      <c r="F87" s="508"/>
      <c r="G87" s="508"/>
      <c r="H87" s="509"/>
      <c r="I87" s="511">
        <v>0</v>
      </c>
      <c r="J87" s="509"/>
      <c r="K87" s="510">
        <f t="shared" si="8"/>
        <v>0</v>
      </c>
    </row>
    <row r="88" spans="1:11" x14ac:dyDescent="0.35">
      <c r="A88" s="1627" t="s">
        <v>115</v>
      </c>
      <c r="B88" s="507" t="s">
        <v>116</v>
      </c>
      <c r="C88" s="502"/>
      <c r="D88" s="502"/>
      <c r="E88" s="502"/>
      <c r="F88" s="508"/>
      <c r="G88" s="508"/>
      <c r="H88" s="509"/>
      <c r="I88" s="511">
        <v>0</v>
      </c>
      <c r="J88" s="509"/>
      <c r="K88" s="510">
        <f t="shared" si="8"/>
        <v>0</v>
      </c>
    </row>
    <row r="89" spans="1:11" x14ac:dyDescent="0.35">
      <c r="A89" s="1627" t="s">
        <v>117</v>
      </c>
      <c r="B89" s="507" t="s">
        <v>58</v>
      </c>
      <c r="C89" s="502"/>
      <c r="D89" s="502"/>
      <c r="E89" s="502"/>
      <c r="F89" s="508"/>
      <c r="G89" s="508"/>
      <c r="H89" s="509"/>
      <c r="I89" s="511">
        <v>0</v>
      </c>
      <c r="J89" s="509"/>
      <c r="K89" s="510">
        <f t="shared" si="8"/>
        <v>0</v>
      </c>
    </row>
    <row r="90" spans="1:11" x14ac:dyDescent="0.35">
      <c r="A90" s="1627" t="s">
        <v>118</v>
      </c>
      <c r="B90" s="1586" t="s">
        <v>59</v>
      </c>
      <c r="C90" s="1586"/>
      <c r="D90" s="502"/>
      <c r="E90" s="502"/>
      <c r="F90" s="508"/>
      <c r="G90" s="508"/>
      <c r="H90" s="509"/>
      <c r="I90" s="511">
        <v>0</v>
      </c>
      <c r="J90" s="509"/>
      <c r="K90" s="510">
        <f t="shared" si="8"/>
        <v>0</v>
      </c>
    </row>
    <row r="91" spans="1:11" x14ac:dyDescent="0.35">
      <c r="A91" s="1627" t="s">
        <v>119</v>
      </c>
      <c r="B91" s="507" t="s">
        <v>60</v>
      </c>
      <c r="C91" s="502"/>
      <c r="D91" s="502"/>
      <c r="E91" s="502"/>
      <c r="F91" s="508">
        <v>32</v>
      </c>
      <c r="G91" s="508">
        <v>156</v>
      </c>
      <c r="H91" s="508">
        <v>1535.68</v>
      </c>
      <c r="I91" s="511">
        <v>888.14395984526107</v>
      </c>
      <c r="J91" s="508">
        <v>0</v>
      </c>
      <c r="K91" s="510">
        <f t="shared" si="8"/>
        <v>2423.823959845261</v>
      </c>
    </row>
    <row r="92" spans="1:11" x14ac:dyDescent="0.35">
      <c r="A92" s="1627" t="s">
        <v>120</v>
      </c>
      <c r="B92" s="507" t="s">
        <v>121</v>
      </c>
      <c r="C92" s="502"/>
      <c r="D92" s="502"/>
      <c r="E92" s="502"/>
      <c r="F92" s="541"/>
      <c r="G92" s="541"/>
      <c r="H92" s="542"/>
      <c r="I92" s="511">
        <v>0</v>
      </c>
      <c r="J92" s="542"/>
      <c r="K92" s="510">
        <f t="shared" si="8"/>
        <v>0</v>
      </c>
    </row>
    <row r="93" spans="1:11" x14ac:dyDescent="0.35">
      <c r="A93" s="1627" t="s">
        <v>122</v>
      </c>
      <c r="B93" s="507" t="s">
        <v>123</v>
      </c>
      <c r="C93" s="502"/>
      <c r="D93" s="502"/>
      <c r="E93" s="502"/>
      <c r="F93" s="508"/>
      <c r="G93" s="508"/>
      <c r="H93" s="509"/>
      <c r="I93" s="511">
        <v>0</v>
      </c>
      <c r="J93" s="509"/>
      <c r="K93" s="510">
        <f t="shared" si="8"/>
        <v>0</v>
      </c>
    </row>
    <row r="94" spans="1:11" x14ac:dyDescent="0.35">
      <c r="A94" s="1627" t="s">
        <v>124</v>
      </c>
      <c r="B94" s="1582"/>
      <c r="C94" s="1583"/>
      <c r="D94" s="1584"/>
      <c r="E94" s="502"/>
      <c r="F94" s="508"/>
      <c r="G94" s="508"/>
      <c r="H94" s="509"/>
      <c r="I94" s="511">
        <v>0</v>
      </c>
      <c r="J94" s="509"/>
      <c r="K94" s="510">
        <f t="shared" si="8"/>
        <v>0</v>
      </c>
    </row>
    <row r="95" spans="1:11" x14ac:dyDescent="0.35">
      <c r="A95" s="1627" t="s">
        <v>125</v>
      </c>
      <c r="B95" s="1582"/>
      <c r="C95" s="1583"/>
      <c r="D95" s="1584"/>
      <c r="E95" s="502"/>
      <c r="F95" s="508"/>
      <c r="G95" s="508"/>
      <c r="H95" s="509"/>
      <c r="I95" s="511">
        <v>0</v>
      </c>
      <c r="J95" s="509"/>
      <c r="K95" s="510">
        <f t="shared" si="8"/>
        <v>0</v>
      </c>
    </row>
    <row r="96" spans="1:11" x14ac:dyDescent="0.35">
      <c r="A96" s="1627" t="s">
        <v>126</v>
      </c>
      <c r="B96" s="1582"/>
      <c r="C96" s="1583"/>
      <c r="D96" s="1584"/>
      <c r="E96" s="502"/>
      <c r="F96" s="508"/>
      <c r="G96" s="508"/>
      <c r="H96" s="509"/>
      <c r="I96" s="511">
        <v>0</v>
      </c>
      <c r="J96" s="509"/>
      <c r="K96" s="510">
        <f t="shared" si="8"/>
        <v>0</v>
      </c>
    </row>
    <row r="97" spans="1:12" x14ac:dyDescent="0.35">
      <c r="A97" s="1627"/>
      <c r="B97" s="507"/>
      <c r="C97" s="502"/>
      <c r="D97" s="502"/>
      <c r="E97" s="502"/>
      <c r="F97" s="502"/>
      <c r="G97" s="502"/>
      <c r="H97" s="502"/>
      <c r="I97" s="502"/>
      <c r="J97" s="502"/>
      <c r="K97" s="502"/>
    </row>
    <row r="98" spans="1:12" x14ac:dyDescent="0.35">
      <c r="A98" s="1627" t="s">
        <v>150</v>
      </c>
      <c r="B98" s="503" t="s">
        <v>151</v>
      </c>
      <c r="C98" s="502"/>
      <c r="D98" s="502"/>
      <c r="E98" s="503" t="s">
        <v>7</v>
      </c>
      <c r="F98" s="513">
        <f t="shared" ref="F98:K98" si="9">SUM(F86:F96)</f>
        <v>32</v>
      </c>
      <c r="G98" s="513">
        <f t="shared" si="9"/>
        <v>156</v>
      </c>
      <c r="H98" s="513">
        <f t="shared" si="9"/>
        <v>1535.68</v>
      </c>
      <c r="I98" s="513">
        <f t="shared" si="9"/>
        <v>888.14395984526107</v>
      </c>
      <c r="J98" s="513">
        <f t="shared" si="9"/>
        <v>0</v>
      </c>
      <c r="K98" s="513">
        <f t="shared" si="9"/>
        <v>2423.823959845261</v>
      </c>
    </row>
    <row r="99" spans="1:12" ht="15" thickBot="1" x14ac:dyDescent="0.4">
      <c r="A99" s="1626"/>
      <c r="B99" s="503"/>
      <c r="C99" s="502"/>
      <c r="D99" s="502"/>
      <c r="E99" s="502"/>
      <c r="F99" s="523"/>
      <c r="G99" s="523"/>
      <c r="H99" s="523"/>
      <c r="I99" s="523"/>
      <c r="J99" s="523"/>
      <c r="K99" s="523"/>
    </row>
    <row r="100" spans="1:12" ht="39.5" x14ac:dyDescent="0.35">
      <c r="A100" s="1626"/>
      <c r="B100" s="502"/>
      <c r="C100" s="502"/>
      <c r="D100" s="502"/>
      <c r="E100" s="502"/>
      <c r="F100" s="506" t="s">
        <v>9</v>
      </c>
      <c r="G100" s="506" t="s">
        <v>37</v>
      </c>
      <c r="H100" s="506" t="s">
        <v>29</v>
      </c>
      <c r="I100" s="506" t="s">
        <v>30</v>
      </c>
      <c r="J100" s="506" t="s">
        <v>33</v>
      </c>
      <c r="K100" s="506" t="s">
        <v>34</v>
      </c>
    </row>
    <row r="101" spans="1:12" x14ac:dyDescent="0.35">
      <c r="A101" s="1627" t="s">
        <v>130</v>
      </c>
      <c r="B101" s="503" t="s">
        <v>63</v>
      </c>
      <c r="C101" s="502"/>
      <c r="D101" s="502"/>
      <c r="E101" s="502"/>
      <c r="F101" s="502"/>
      <c r="G101" s="502"/>
      <c r="H101" s="502"/>
      <c r="I101" s="502"/>
      <c r="J101" s="502"/>
      <c r="K101" s="502"/>
    </row>
    <row r="102" spans="1:12" x14ac:dyDescent="0.35">
      <c r="A102" s="1627" t="s">
        <v>131</v>
      </c>
      <c r="B102" s="507" t="s">
        <v>152</v>
      </c>
      <c r="C102" s="502"/>
      <c r="D102" s="502"/>
      <c r="E102" s="502"/>
      <c r="F102" s="508"/>
      <c r="G102" s="508"/>
      <c r="H102" s="509"/>
      <c r="I102" s="511">
        <v>0</v>
      </c>
      <c r="J102" s="509"/>
      <c r="K102" s="510">
        <f>(H102+I102)-J102</f>
        <v>0</v>
      </c>
    </row>
    <row r="103" spans="1:12" x14ac:dyDescent="0.35">
      <c r="A103" s="1627" t="s">
        <v>132</v>
      </c>
      <c r="B103" s="1585" t="s">
        <v>62</v>
      </c>
      <c r="C103" s="1585"/>
      <c r="D103" s="502"/>
      <c r="E103" s="502"/>
      <c r="F103" s="508"/>
      <c r="G103" s="508"/>
      <c r="H103" s="509"/>
      <c r="I103" s="511">
        <v>0</v>
      </c>
      <c r="J103" s="509"/>
      <c r="K103" s="510">
        <f>(H103+I103)-J103</f>
        <v>0</v>
      </c>
    </row>
    <row r="104" spans="1:12" x14ac:dyDescent="0.35">
      <c r="A104" s="1627" t="s">
        <v>128</v>
      </c>
      <c r="B104" s="1582"/>
      <c r="C104" s="1583"/>
      <c r="D104" s="1584"/>
      <c r="E104" s="502"/>
      <c r="F104" s="508"/>
      <c r="G104" s="508"/>
      <c r="H104" s="509"/>
      <c r="I104" s="511">
        <v>0</v>
      </c>
      <c r="J104" s="509"/>
      <c r="K104" s="510">
        <f>(H104+I104)-J104</f>
        <v>0</v>
      </c>
    </row>
    <row r="105" spans="1:12" x14ac:dyDescent="0.35">
      <c r="A105" s="1627" t="s">
        <v>127</v>
      </c>
      <c r="B105" s="1582"/>
      <c r="C105" s="1583"/>
      <c r="D105" s="1584"/>
      <c r="E105" s="502"/>
      <c r="F105" s="508"/>
      <c r="G105" s="508"/>
      <c r="H105" s="509"/>
      <c r="I105" s="511">
        <v>0</v>
      </c>
      <c r="J105" s="509"/>
      <c r="K105" s="510">
        <f>(H105+I105)-J105</f>
        <v>0</v>
      </c>
    </row>
    <row r="106" spans="1:12" x14ac:dyDescent="0.35">
      <c r="A106" s="1627" t="s">
        <v>129</v>
      </c>
      <c r="B106" s="1582"/>
      <c r="C106" s="1583"/>
      <c r="D106" s="1584"/>
      <c r="E106" s="502"/>
      <c r="F106" s="508"/>
      <c r="G106" s="508"/>
      <c r="H106" s="509"/>
      <c r="I106" s="511">
        <v>0</v>
      </c>
      <c r="J106" s="509"/>
      <c r="K106" s="510">
        <f>(H106+I106)-J106</f>
        <v>0</v>
      </c>
    </row>
    <row r="107" spans="1:12" x14ac:dyDescent="0.35">
      <c r="A107" s="1626"/>
      <c r="B107" s="503"/>
      <c r="C107" s="502"/>
      <c r="D107" s="502"/>
      <c r="E107" s="502"/>
      <c r="F107" s="502"/>
      <c r="G107" s="502"/>
      <c r="H107" s="502"/>
      <c r="I107" s="502"/>
      <c r="J107" s="502"/>
      <c r="K107" s="502"/>
    </row>
    <row r="108" spans="1:12" x14ac:dyDescent="0.35">
      <c r="A108" s="1627" t="s">
        <v>153</v>
      </c>
      <c r="B108" s="543" t="s">
        <v>154</v>
      </c>
      <c r="C108" s="502"/>
      <c r="D108" s="502"/>
      <c r="E108" s="503" t="s">
        <v>7</v>
      </c>
      <c r="F108" s="513">
        <f t="shared" ref="F108:K108" si="10">SUM(F102:F106)</f>
        <v>0</v>
      </c>
      <c r="G108" s="513">
        <f t="shared" si="10"/>
        <v>0</v>
      </c>
      <c r="H108" s="510">
        <f t="shared" si="10"/>
        <v>0</v>
      </c>
      <c r="I108" s="510">
        <f t="shared" si="10"/>
        <v>0</v>
      </c>
      <c r="J108" s="510">
        <f t="shared" si="10"/>
        <v>0</v>
      </c>
      <c r="K108" s="510">
        <f t="shared" si="10"/>
        <v>0</v>
      </c>
      <c r="L108" s="101"/>
    </row>
    <row r="109" spans="1:12" ht="15" thickBot="1" x14ac:dyDescent="0.4">
      <c r="A109" s="1628"/>
      <c r="B109" s="544"/>
      <c r="C109" s="545"/>
      <c r="D109" s="545"/>
      <c r="E109" s="545"/>
      <c r="F109" s="523"/>
      <c r="G109" s="523"/>
      <c r="H109" s="523"/>
      <c r="I109" s="523"/>
      <c r="J109" s="523"/>
      <c r="K109" s="523"/>
      <c r="L109" s="101"/>
    </row>
    <row r="110" spans="1:12" x14ac:dyDescent="0.35">
      <c r="A110" s="1627" t="s">
        <v>156</v>
      </c>
      <c r="B110" s="503" t="s">
        <v>39</v>
      </c>
      <c r="C110" s="502"/>
      <c r="D110" s="502"/>
      <c r="E110" s="502"/>
      <c r="F110" s="502"/>
      <c r="G110" s="502"/>
      <c r="H110" s="502"/>
      <c r="I110" s="502"/>
      <c r="J110" s="502"/>
      <c r="K110" s="502"/>
      <c r="L110" s="101"/>
    </row>
    <row r="111" spans="1:12" x14ac:dyDescent="0.35">
      <c r="A111" s="1627" t="s">
        <v>155</v>
      </c>
      <c r="B111" s="503" t="s">
        <v>164</v>
      </c>
      <c r="C111" s="502"/>
      <c r="D111" s="502"/>
      <c r="E111" s="503" t="s">
        <v>7</v>
      </c>
      <c r="F111" s="509">
        <v>6105000</v>
      </c>
      <c r="G111" s="502"/>
      <c r="H111" s="502"/>
      <c r="I111" s="502"/>
      <c r="J111" s="502"/>
      <c r="K111" s="502"/>
    </row>
    <row r="112" spans="1:12" x14ac:dyDescent="0.35">
      <c r="A112" s="1626"/>
      <c r="B112" s="503"/>
      <c r="C112" s="502"/>
      <c r="D112" s="502"/>
      <c r="E112" s="503"/>
      <c r="F112" s="546"/>
      <c r="G112" s="502"/>
      <c r="H112" s="502"/>
      <c r="I112" s="502"/>
      <c r="J112" s="502"/>
      <c r="K112" s="502"/>
    </row>
    <row r="113" spans="1:6" x14ac:dyDescent="0.35">
      <c r="A113" s="1627"/>
      <c r="B113" s="503" t="s">
        <v>15</v>
      </c>
      <c r="C113" s="502"/>
      <c r="D113" s="502"/>
      <c r="E113" s="502"/>
      <c r="F113" s="502"/>
    </row>
    <row r="114" spans="1:6" x14ac:dyDescent="0.35">
      <c r="A114" s="1627" t="s">
        <v>171</v>
      </c>
      <c r="B114" s="507" t="s">
        <v>35</v>
      </c>
      <c r="C114" s="502"/>
      <c r="D114" s="502"/>
      <c r="E114" s="502"/>
      <c r="F114" s="509">
        <v>0.57833921119325704</v>
      </c>
    </row>
    <row r="115" spans="1:6" x14ac:dyDescent="0.35">
      <c r="A115" s="1627"/>
      <c r="B115" s="503"/>
      <c r="C115" s="502"/>
      <c r="D115" s="502"/>
      <c r="E115" s="502"/>
      <c r="F115" s="502"/>
    </row>
    <row r="116" spans="1:6" x14ac:dyDescent="0.35">
      <c r="A116" s="1627" t="s">
        <v>170</v>
      </c>
      <c r="B116" s="503" t="s">
        <v>16</v>
      </c>
      <c r="C116" s="502"/>
      <c r="D116" s="502"/>
      <c r="E116" s="502"/>
      <c r="F116" s="502"/>
    </row>
    <row r="117" spans="1:6" x14ac:dyDescent="0.35">
      <c r="A117" s="1627" t="s">
        <v>172</v>
      </c>
      <c r="B117" s="507" t="s">
        <v>17</v>
      </c>
      <c r="C117" s="502"/>
      <c r="D117" s="502"/>
      <c r="E117" s="502"/>
      <c r="F117" s="509">
        <v>359634000</v>
      </c>
    </row>
    <row r="118" spans="1:6" x14ac:dyDescent="0.35">
      <c r="A118" s="1627" t="s">
        <v>173</v>
      </c>
      <c r="B118" s="502" t="s">
        <v>18</v>
      </c>
      <c r="C118" s="502"/>
      <c r="D118" s="502"/>
      <c r="E118" s="502"/>
      <c r="F118" s="509">
        <v>3231000</v>
      </c>
    </row>
    <row r="119" spans="1:6" x14ac:dyDescent="0.35">
      <c r="A119" s="1627" t="s">
        <v>174</v>
      </c>
      <c r="B119" s="503" t="s">
        <v>19</v>
      </c>
      <c r="C119" s="502"/>
      <c r="D119" s="502"/>
      <c r="E119" s="502"/>
      <c r="F119" s="539">
        <f>SUM(F117:F118)</f>
        <v>362865000</v>
      </c>
    </row>
    <row r="120" spans="1:6" x14ac:dyDescent="0.35">
      <c r="A120" s="1627"/>
      <c r="B120" s="503"/>
      <c r="C120" s="502"/>
      <c r="D120" s="502"/>
      <c r="E120" s="502"/>
      <c r="F120" s="502"/>
    </row>
    <row r="121" spans="1:6" x14ac:dyDescent="0.35">
      <c r="A121" s="1627" t="s">
        <v>167</v>
      </c>
      <c r="B121" s="503" t="s">
        <v>36</v>
      </c>
      <c r="C121" s="502"/>
      <c r="D121" s="502"/>
      <c r="E121" s="502"/>
      <c r="F121" s="509">
        <v>341335000</v>
      </c>
    </row>
    <row r="122" spans="1:6" x14ac:dyDescent="0.35">
      <c r="A122" s="1627"/>
      <c r="B122" s="502"/>
      <c r="C122" s="502"/>
      <c r="D122" s="502"/>
      <c r="E122" s="502"/>
      <c r="F122" s="502"/>
    </row>
    <row r="123" spans="1:6" x14ac:dyDescent="0.35">
      <c r="A123" s="1627" t="s">
        <v>175</v>
      </c>
      <c r="B123" s="503" t="s">
        <v>20</v>
      </c>
      <c r="C123" s="502"/>
      <c r="D123" s="502"/>
      <c r="E123" s="502"/>
      <c r="F123" s="509">
        <v>21530000</v>
      </c>
    </row>
    <row r="124" spans="1:6" x14ac:dyDescent="0.35">
      <c r="A124" s="1627"/>
      <c r="B124" s="502"/>
      <c r="C124" s="502"/>
      <c r="D124" s="502"/>
      <c r="E124" s="502"/>
      <c r="F124" s="502"/>
    </row>
    <row r="125" spans="1:6" x14ac:dyDescent="0.35">
      <c r="A125" s="1627" t="s">
        <v>176</v>
      </c>
      <c r="B125" s="503" t="s">
        <v>21</v>
      </c>
      <c r="C125" s="502"/>
      <c r="D125" s="502"/>
      <c r="E125" s="502"/>
      <c r="F125" s="509">
        <v>-964000</v>
      </c>
    </row>
    <row r="126" spans="1:6" x14ac:dyDescent="0.35">
      <c r="A126" s="1627"/>
      <c r="B126" s="502"/>
      <c r="C126" s="502"/>
      <c r="D126" s="502"/>
      <c r="E126" s="502"/>
      <c r="F126" s="502"/>
    </row>
    <row r="127" spans="1:6" x14ac:dyDescent="0.35">
      <c r="A127" s="1627" t="s">
        <v>177</v>
      </c>
      <c r="B127" s="503" t="s">
        <v>22</v>
      </c>
      <c r="C127" s="502"/>
      <c r="D127" s="502"/>
      <c r="E127" s="502"/>
      <c r="F127" s="509">
        <v>20566000</v>
      </c>
    </row>
    <row r="128" spans="1:6" x14ac:dyDescent="0.35">
      <c r="A128" s="1627"/>
      <c r="B128" s="502"/>
      <c r="C128" s="502"/>
      <c r="D128" s="502"/>
      <c r="E128" s="502"/>
      <c r="F128" s="502"/>
    </row>
    <row r="129" spans="1:11" ht="39.5" x14ac:dyDescent="0.35">
      <c r="A129" s="1626"/>
      <c r="B129" s="502"/>
      <c r="C129" s="502"/>
      <c r="D129" s="502"/>
      <c r="E129" s="502"/>
      <c r="F129" s="506" t="s">
        <v>9</v>
      </c>
      <c r="G129" s="506" t="s">
        <v>37</v>
      </c>
      <c r="H129" s="506" t="s">
        <v>29</v>
      </c>
      <c r="I129" s="506" t="s">
        <v>30</v>
      </c>
      <c r="J129" s="506" t="s">
        <v>33</v>
      </c>
      <c r="K129" s="506" t="s">
        <v>34</v>
      </c>
    </row>
    <row r="130" spans="1:11" x14ac:dyDescent="0.35">
      <c r="A130" s="1627" t="s">
        <v>157</v>
      </c>
      <c r="B130" s="503" t="s">
        <v>23</v>
      </c>
      <c r="C130" s="502"/>
      <c r="D130" s="502"/>
      <c r="E130" s="502"/>
      <c r="F130" s="502"/>
      <c r="G130" s="502"/>
      <c r="H130" s="502"/>
      <c r="I130" s="502"/>
      <c r="J130" s="502"/>
      <c r="K130" s="502"/>
    </row>
    <row r="131" spans="1:11" x14ac:dyDescent="0.35">
      <c r="A131" s="1627" t="s">
        <v>158</v>
      </c>
      <c r="B131" s="502" t="s">
        <v>24</v>
      </c>
      <c r="C131" s="502"/>
      <c r="D131" s="502"/>
      <c r="E131" s="502"/>
      <c r="F131" s="508"/>
      <c r="G131" s="508"/>
      <c r="H131" s="509"/>
      <c r="I131" s="511">
        <v>0</v>
      </c>
      <c r="J131" s="509"/>
      <c r="K131" s="510">
        <f>(H131+I131)-J131</f>
        <v>0</v>
      </c>
    </row>
    <row r="132" spans="1:11" x14ac:dyDescent="0.35">
      <c r="A132" s="1627" t="s">
        <v>159</v>
      </c>
      <c r="B132" s="502" t="s">
        <v>25</v>
      </c>
      <c r="C132" s="502"/>
      <c r="D132" s="502"/>
      <c r="E132" s="502"/>
      <c r="F132" s="508"/>
      <c r="G132" s="508"/>
      <c r="H132" s="509"/>
      <c r="I132" s="511">
        <v>0</v>
      </c>
      <c r="J132" s="509"/>
      <c r="K132" s="510">
        <f>(H132+I132)-J132</f>
        <v>0</v>
      </c>
    </row>
    <row r="133" spans="1:11" x14ac:dyDescent="0.35">
      <c r="A133" s="1627" t="s">
        <v>160</v>
      </c>
      <c r="B133" s="1578"/>
      <c r="C133" s="1579"/>
      <c r="D133" s="1580"/>
      <c r="E133" s="502"/>
      <c r="F133" s="508"/>
      <c r="G133" s="508"/>
      <c r="H133" s="509"/>
      <c r="I133" s="511">
        <v>0</v>
      </c>
      <c r="J133" s="509"/>
      <c r="K133" s="510">
        <f>(H133+I133)-J133</f>
        <v>0</v>
      </c>
    </row>
    <row r="134" spans="1:11" x14ac:dyDescent="0.35">
      <c r="A134" s="1627" t="s">
        <v>161</v>
      </c>
      <c r="B134" s="1578"/>
      <c r="C134" s="1579"/>
      <c r="D134" s="1580"/>
      <c r="E134" s="502"/>
      <c r="F134" s="508"/>
      <c r="G134" s="508"/>
      <c r="H134" s="509"/>
      <c r="I134" s="511">
        <v>0</v>
      </c>
      <c r="J134" s="509"/>
      <c r="K134" s="510">
        <f>(H134+I134)-J134</f>
        <v>0</v>
      </c>
    </row>
    <row r="135" spans="1:11" x14ac:dyDescent="0.35">
      <c r="A135" s="1627" t="s">
        <v>162</v>
      </c>
      <c r="B135" s="1578"/>
      <c r="C135" s="1579"/>
      <c r="D135" s="1580"/>
      <c r="E135" s="502"/>
      <c r="F135" s="508"/>
      <c r="G135" s="508"/>
      <c r="H135" s="509"/>
      <c r="I135" s="511">
        <v>0</v>
      </c>
      <c r="J135" s="509"/>
      <c r="K135" s="510">
        <f>(H135+I135)-J135</f>
        <v>0</v>
      </c>
    </row>
    <row r="136" spans="1:11" x14ac:dyDescent="0.35">
      <c r="A136" s="1627"/>
      <c r="B136" s="502"/>
      <c r="C136" s="502"/>
      <c r="D136" s="502"/>
      <c r="E136" s="502"/>
      <c r="F136" s="502"/>
      <c r="G136" s="502"/>
      <c r="H136" s="502"/>
      <c r="I136" s="502"/>
      <c r="J136" s="502"/>
      <c r="K136" s="502"/>
    </row>
    <row r="137" spans="1:11" x14ac:dyDescent="0.35">
      <c r="A137" s="1627" t="s">
        <v>163</v>
      </c>
      <c r="B137" s="503" t="s">
        <v>27</v>
      </c>
      <c r="C137" s="502"/>
      <c r="D137" s="502"/>
      <c r="E137" s="502"/>
      <c r="F137" s="513">
        <f t="shared" ref="F137:K137" si="11">SUM(F131:F135)</f>
        <v>0</v>
      </c>
      <c r="G137" s="513">
        <f t="shared" si="11"/>
        <v>0</v>
      </c>
      <c r="H137" s="510">
        <f t="shared" si="11"/>
        <v>0</v>
      </c>
      <c r="I137" s="510">
        <f t="shared" si="11"/>
        <v>0</v>
      </c>
      <c r="J137" s="510">
        <f t="shared" si="11"/>
        <v>0</v>
      </c>
      <c r="K137" s="510">
        <f t="shared" si="11"/>
        <v>0</v>
      </c>
    </row>
    <row r="139" spans="1:11" ht="39.5" x14ac:dyDescent="0.35">
      <c r="A139" s="1626"/>
      <c r="B139" s="502"/>
      <c r="C139" s="502"/>
      <c r="D139" s="502"/>
      <c r="E139" s="502"/>
      <c r="F139" s="506" t="s">
        <v>9</v>
      </c>
      <c r="G139" s="506" t="s">
        <v>37</v>
      </c>
      <c r="H139" s="506" t="s">
        <v>29</v>
      </c>
      <c r="I139" s="506" t="s">
        <v>30</v>
      </c>
      <c r="J139" s="506" t="s">
        <v>33</v>
      </c>
      <c r="K139" s="506" t="s">
        <v>34</v>
      </c>
    </row>
    <row r="140" spans="1:11" x14ac:dyDescent="0.35">
      <c r="A140" s="1627" t="s">
        <v>166</v>
      </c>
      <c r="B140" s="503" t="s">
        <v>26</v>
      </c>
      <c r="C140" s="502"/>
      <c r="D140" s="502"/>
      <c r="E140" s="502"/>
      <c r="F140" s="502"/>
      <c r="G140" s="502"/>
      <c r="H140" s="502"/>
      <c r="I140" s="502"/>
      <c r="J140" s="502"/>
      <c r="K140" s="502"/>
    </row>
    <row r="141" spans="1:11" x14ac:dyDescent="0.35">
      <c r="A141" s="1627" t="s">
        <v>137</v>
      </c>
      <c r="B141" s="503" t="s">
        <v>64</v>
      </c>
      <c r="C141" s="502"/>
      <c r="D141" s="502"/>
      <c r="E141" s="502"/>
      <c r="F141" s="547">
        <f t="shared" ref="F141:K141" si="12">F36</f>
        <v>3843.4169323414808</v>
      </c>
      <c r="G141" s="547">
        <f t="shared" si="12"/>
        <v>16906</v>
      </c>
      <c r="H141" s="547">
        <f t="shared" si="12"/>
        <v>1288460.04</v>
      </c>
      <c r="I141" s="547">
        <f t="shared" si="12"/>
        <v>745166.96318763238</v>
      </c>
      <c r="J141" s="547">
        <f t="shared" si="12"/>
        <v>80546.876910000006</v>
      </c>
      <c r="K141" s="547">
        <f t="shared" si="12"/>
        <v>1953080.1262776323</v>
      </c>
    </row>
    <row r="142" spans="1:11" x14ac:dyDescent="0.35">
      <c r="A142" s="1627" t="s">
        <v>142</v>
      </c>
      <c r="B142" s="503" t="s">
        <v>65</v>
      </c>
      <c r="C142" s="502"/>
      <c r="D142" s="502"/>
      <c r="E142" s="502"/>
      <c r="F142" s="547">
        <f t="shared" ref="F142:K142" si="13">F49</f>
        <v>30161</v>
      </c>
      <c r="G142" s="547">
        <f t="shared" si="13"/>
        <v>912</v>
      </c>
      <c r="H142" s="547">
        <f t="shared" si="13"/>
        <v>1838282.9814569049</v>
      </c>
      <c r="I142" s="547">
        <f t="shared" si="13"/>
        <v>1063151.1294457752</v>
      </c>
      <c r="J142" s="547">
        <f t="shared" si="13"/>
        <v>0</v>
      </c>
      <c r="K142" s="547">
        <f t="shared" si="13"/>
        <v>2901434.1109026801</v>
      </c>
    </row>
    <row r="143" spans="1:11" x14ac:dyDescent="0.35">
      <c r="A143" s="1627" t="s">
        <v>144</v>
      </c>
      <c r="B143" s="503" t="s">
        <v>66</v>
      </c>
      <c r="C143" s="502"/>
      <c r="D143" s="502"/>
      <c r="E143" s="502"/>
      <c r="F143" s="547">
        <f t="shared" ref="F143:K143" si="14">F64</f>
        <v>99342.225189813311</v>
      </c>
      <c r="G143" s="547">
        <f t="shared" si="14"/>
        <v>0</v>
      </c>
      <c r="H143" s="547">
        <f t="shared" si="14"/>
        <v>15291065.434978556</v>
      </c>
      <c r="I143" s="547">
        <f t="shared" si="14"/>
        <v>8843422.7219699752</v>
      </c>
      <c r="J143" s="547">
        <f t="shared" si="14"/>
        <v>0</v>
      </c>
      <c r="K143" s="547">
        <f t="shared" si="14"/>
        <v>24134488.156948529</v>
      </c>
    </row>
    <row r="144" spans="1:11" x14ac:dyDescent="0.35">
      <c r="A144" s="1627" t="s">
        <v>146</v>
      </c>
      <c r="B144" s="503" t="s">
        <v>67</v>
      </c>
      <c r="C144" s="502"/>
      <c r="D144" s="502"/>
      <c r="E144" s="502"/>
      <c r="F144" s="547">
        <f t="shared" ref="F144:K144" si="15">F74</f>
        <v>0</v>
      </c>
      <c r="G144" s="547">
        <f t="shared" si="15"/>
        <v>57</v>
      </c>
      <c r="H144" s="547">
        <f t="shared" si="15"/>
        <v>250481.55343303978</v>
      </c>
      <c r="I144" s="547">
        <f t="shared" si="15"/>
        <v>144863.30403092588</v>
      </c>
      <c r="J144" s="547">
        <f t="shared" si="15"/>
        <v>44808.488549796049</v>
      </c>
      <c r="K144" s="547">
        <f t="shared" si="15"/>
        <v>350536.36891416961</v>
      </c>
    </row>
    <row r="145" spans="1:11" x14ac:dyDescent="0.35">
      <c r="A145" s="1627" t="s">
        <v>148</v>
      </c>
      <c r="B145" s="503" t="s">
        <v>68</v>
      </c>
      <c r="C145" s="502"/>
      <c r="D145" s="502"/>
      <c r="E145" s="502"/>
      <c r="F145" s="547">
        <f t="shared" ref="F145:K145" si="16">F82</f>
        <v>0</v>
      </c>
      <c r="G145" s="547">
        <f t="shared" si="16"/>
        <v>0</v>
      </c>
      <c r="H145" s="547">
        <f t="shared" si="16"/>
        <v>50500</v>
      </c>
      <c r="I145" s="547">
        <f t="shared" si="16"/>
        <v>29206.130165259481</v>
      </c>
      <c r="J145" s="547">
        <f t="shared" si="16"/>
        <v>0</v>
      </c>
      <c r="K145" s="547">
        <f t="shared" si="16"/>
        <v>79706.130165259485</v>
      </c>
    </row>
    <row r="146" spans="1:11" x14ac:dyDescent="0.35">
      <c r="A146" s="1627" t="s">
        <v>150</v>
      </c>
      <c r="B146" s="503" t="s">
        <v>69</v>
      </c>
      <c r="C146" s="502"/>
      <c r="D146" s="502"/>
      <c r="E146" s="502"/>
      <c r="F146" s="547">
        <f t="shared" ref="F146:K146" si="17">F98</f>
        <v>32</v>
      </c>
      <c r="G146" s="547">
        <f t="shared" si="17"/>
        <v>156</v>
      </c>
      <c r="H146" s="547">
        <f t="shared" si="17"/>
        <v>1535.68</v>
      </c>
      <c r="I146" s="547">
        <f t="shared" si="17"/>
        <v>888.14395984526107</v>
      </c>
      <c r="J146" s="547">
        <f t="shared" si="17"/>
        <v>0</v>
      </c>
      <c r="K146" s="547">
        <f t="shared" si="17"/>
        <v>2423.823959845261</v>
      </c>
    </row>
    <row r="147" spans="1:11" x14ac:dyDescent="0.35">
      <c r="A147" s="1627" t="s">
        <v>153</v>
      </c>
      <c r="B147" s="503" t="s">
        <v>61</v>
      </c>
      <c r="C147" s="502"/>
      <c r="D147" s="502"/>
      <c r="E147" s="502"/>
      <c r="F147" s="513">
        <f t="shared" ref="F147:K147" si="18">F108</f>
        <v>0</v>
      </c>
      <c r="G147" s="513">
        <f t="shared" si="18"/>
        <v>0</v>
      </c>
      <c r="H147" s="513">
        <f t="shared" si="18"/>
        <v>0</v>
      </c>
      <c r="I147" s="513">
        <f t="shared" si="18"/>
        <v>0</v>
      </c>
      <c r="J147" s="513">
        <f t="shared" si="18"/>
        <v>0</v>
      </c>
      <c r="K147" s="513">
        <f t="shared" si="18"/>
        <v>0</v>
      </c>
    </row>
    <row r="148" spans="1:11" x14ac:dyDescent="0.35">
      <c r="A148" s="1627" t="s">
        <v>155</v>
      </c>
      <c r="B148" s="503" t="s">
        <v>70</v>
      </c>
      <c r="C148" s="502"/>
      <c r="D148" s="502"/>
      <c r="E148" s="502"/>
      <c r="F148" s="548" t="s">
        <v>73</v>
      </c>
      <c r="G148" s="548" t="s">
        <v>73</v>
      </c>
      <c r="H148" s="549" t="s">
        <v>73</v>
      </c>
      <c r="I148" s="549" t="s">
        <v>73</v>
      </c>
      <c r="J148" s="549" t="s">
        <v>73</v>
      </c>
      <c r="K148" s="550">
        <f>F111</f>
        <v>6105000</v>
      </c>
    </row>
    <row r="149" spans="1:11" x14ac:dyDescent="0.35">
      <c r="A149" s="1627" t="s">
        <v>163</v>
      </c>
      <c r="B149" s="503" t="s">
        <v>71</v>
      </c>
      <c r="C149" s="502"/>
      <c r="D149" s="502"/>
      <c r="E149" s="502"/>
      <c r="F149" s="513">
        <f t="shared" ref="F149:K149" si="19">F137</f>
        <v>0</v>
      </c>
      <c r="G149" s="513">
        <f t="shared" si="19"/>
        <v>0</v>
      </c>
      <c r="H149" s="513">
        <f t="shared" si="19"/>
        <v>0</v>
      </c>
      <c r="I149" s="513">
        <f t="shared" si="19"/>
        <v>0</v>
      </c>
      <c r="J149" s="513">
        <f t="shared" si="19"/>
        <v>0</v>
      </c>
      <c r="K149" s="513">
        <f t="shared" si="19"/>
        <v>0</v>
      </c>
    </row>
    <row r="150" spans="1:11" x14ac:dyDescent="0.35">
      <c r="A150" s="1627" t="s">
        <v>185</v>
      </c>
      <c r="B150" s="503" t="s">
        <v>186</v>
      </c>
      <c r="C150" s="502"/>
      <c r="D150" s="502"/>
      <c r="E150" s="502"/>
      <c r="F150" s="548" t="s">
        <v>73</v>
      </c>
      <c r="G150" s="548" t="s">
        <v>73</v>
      </c>
      <c r="H150" s="513">
        <f>H18</f>
        <v>8901411.0389227066</v>
      </c>
      <c r="I150" s="513">
        <f>I18</f>
        <v>0</v>
      </c>
      <c r="J150" s="513">
        <f>J18</f>
        <v>7523448.845349025</v>
      </c>
      <c r="K150" s="513">
        <f>K18</f>
        <v>1377962.1935736816</v>
      </c>
    </row>
    <row r="151" spans="1:11" x14ac:dyDescent="0.35">
      <c r="A151" s="1626"/>
      <c r="B151" s="503"/>
      <c r="C151" s="502"/>
      <c r="D151" s="502"/>
      <c r="E151" s="502"/>
      <c r="F151" s="525"/>
      <c r="G151" s="525"/>
      <c r="H151" s="525"/>
      <c r="I151" s="525"/>
      <c r="J151" s="525"/>
      <c r="K151" s="525"/>
    </row>
    <row r="152" spans="1:11" x14ac:dyDescent="0.35">
      <c r="A152" s="1627" t="s">
        <v>165</v>
      </c>
      <c r="B152" s="503" t="s">
        <v>26</v>
      </c>
      <c r="C152" s="502"/>
      <c r="D152" s="502"/>
      <c r="E152" s="502"/>
      <c r="F152" s="551">
        <f t="shared" ref="F152:K152" si="20">SUM(F141:F150)</f>
        <v>133378.64212215479</v>
      </c>
      <c r="G152" s="551">
        <f t="shared" si="20"/>
        <v>18031</v>
      </c>
      <c r="H152" s="551">
        <f t="shared" si="20"/>
        <v>27621736.728791207</v>
      </c>
      <c r="I152" s="551">
        <f t="shared" si="20"/>
        <v>10826698.392759413</v>
      </c>
      <c r="J152" s="551">
        <f t="shared" si="20"/>
        <v>7648804.210808821</v>
      </c>
      <c r="K152" s="551">
        <f t="shared" si="20"/>
        <v>36904630.910741799</v>
      </c>
    </row>
    <row r="153" spans="1:11" x14ac:dyDescent="0.35">
      <c r="A153" s="1626"/>
      <c r="B153" s="502"/>
      <c r="C153" s="502"/>
      <c r="D153" s="502"/>
      <c r="E153" s="502"/>
      <c r="F153" s="502"/>
      <c r="G153" s="502"/>
      <c r="H153" s="502"/>
      <c r="I153" s="502"/>
      <c r="J153" s="502"/>
      <c r="K153" s="502"/>
    </row>
    <row r="154" spans="1:11" x14ac:dyDescent="0.35">
      <c r="A154" s="1627" t="s">
        <v>168</v>
      </c>
      <c r="B154" s="503" t="s">
        <v>28</v>
      </c>
      <c r="C154" s="502"/>
      <c r="D154" s="502"/>
      <c r="E154" s="502"/>
      <c r="F154" s="552">
        <f>K152/F121</f>
        <v>0.10811850794891177</v>
      </c>
      <c r="G154" s="502"/>
      <c r="H154" s="502"/>
      <c r="I154" s="502"/>
      <c r="J154" s="502"/>
      <c r="K154" s="502"/>
    </row>
    <row r="155" spans="1:11" x14ac:dyDescent="0.35">
      <c r="A155" s="1627" t="s">
        <v>169</v>
      </c>
      <c r="B155" s="503" t="s">
        <v>72</v>
      </c>
      <c r="C155" s="502"/>
      <c r="D155" s="502"/>
      <c r="E155" s="502"/>
      <c r="F155" s="552">
        <f>K152/F127</f>
        <v>1.7944486487767091</v>
      </c>
      <c r="G155" s="503"/>
      <c r="H155" s="502"/>
      <c r="I155" s="502"/>
      <c r="J155" s="502"/>
      <c r="K155" s="502"/>
    </row>
    <row r="156" spans="1:11" x14ac:dyDescent="0.35">
      <c r="G156" s="99"/>
    </row>
  </sheetData>
  <sheetProtection sheet="1" objects="1" scenarios="1"/>
  <mergeCells count="34">
    <mergeCell ref="B94:D94"/>
    <mergeCell ref="B41:C41"/>
    <mergeCell ref="D2:H2"/>
    <mergeCell ref="C5:G5"/>
    <mergeCell ref="C6:G6"/>
    <mergeCell ref="B62:D62"/>
    <mergeCell ref="C7:G7"/>
    <mergeCell ref="C9:G9"/>
    <mergeCell ref="C10:G10"/>
    <mergeCell ref="C11:G11"/>
    <mergeCell ref="B13:H13"/>
    <mergeCell ref="B30:D30"/>
    <mergeCell ref="B31:D31"/>
    <mergeCell ref="B34:D34"/>
    <mergeCell ref="B90:C90"/>
    <mergeCell ref="B44:D44"/>
    <mergeCell ref="B106:D106"/>
    <mergeCell ref="B133:D133"/>
    <mergeCell ref="B134:D134"/>
    <mergeCell ref="B135:D135"/>
    <mergeCell ref="B95:D95"/>
    <mergeCell ref="B96:D96"/>
    <mergeCell ref="B103:C103"/>
    <mergeCell ref="B104:D104"/>
    <mergeCell ref="B105:D105"/>
    <mergeCell ref="B55:D55"/>
    <mergeCell ref="B56:D56"/>
    <mergeCell ref="B57:D57"/>
    <mergeCell ref="B59:D59"/>
    <mergeCell ref="B45:D45"/>
    <mergeCell ref="B46:D46"/>
    <mergeCell ref="B47:D47"/>
    <mergeCell ref="B52:C52"/>
    <mergeCell ref="B53:D53"/>
  </mergeCells>
  <hyperlinks>
    <hyperlink ref="C11" r:id="rId1" display="PaulNicholson@umm.edu"/>
  </hyperlinks>
  <pageMargins left="0.7" right="0.7" top="0.75" bottom="0.75" header="0.3" footer="0.3"/>
  <pageSetup scale="65" fitToHeight="0"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K156"/>
  <sheetViews>
    <sheetView showGridLines="0" zoomScale="70" zoomScaleNormal="70" zoomScaleSheetLayoutView="80" workbookViewId="0"/>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61" t="s">
        <v>564</v>
      </c>
      <c r="D5" s="1362"/>
      <c r="E5" s="1362"/>
      <c r="F5" s="1362"/>
      <c r="G5" s="1364"/>
      <c r="H5" s="742"/>
      <c r="I5" s="742"/>
      <c r="J5" s="742"/>
      <c r="K5" s="742"/>
    </row>
    <row r="6" spans="1:11" ht="18" customHeight="1" x14ac:dyDescent="0.3">
      <c r="A6" s="633"/>
      <c r="B6" s="733" t="s">
        <v>3</v>
      </c>
      <c r="C6" s="1365">
        <v>5033</v>
      </c>
      <c r="D6" s="1366"/>
      <c r="E6" s="1366"/>
      <c r="F6" s="1366"/>
      <c r="G6" s="1367"/>
      <c r="H6" s="742"/>
      <c r="I6" s="742"/>
      <c r="J6" s="742"/>
      <c r="K6" s="742"/>
    </row>
    <row r="7" spans="1:11" ht="18" customHeight="1" x14ac:dyDescent="0.3">
      <c r="A7" s="633"/>
      <c r="B7" s="733" t="s">
        <v>4</v>
      </c>
      <c r="C7" s="1368">
        <v>897</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61" t="s">
        <v>382</v>
      </c>
      <c r="D9" s="1362"/>
      <c r="E9" s="1362"/>
      <c r="F9" s="1362"/>
      <c r="G9" s="1364"/>
      <c r="H9" s="742"/>
      <c r="I9" s="742"/>
      <c r="J9" s="742"/>
      <c r="K9" s="742"/>
    </row>
    <row r="10" spans="1:11" ht="18" customHeight="1" x14ac:dyDescent="0.3">
      <c r="A10" s="633"/>
      <c r="B10" s="733" t="s">
        <v>2</v>
      </c>
      <c r="C10" s="1371" t="s">
        <v>383</v>
      </c>
      <c r="D10" s="1372"/>
      <c r="E10" s="1372"/>
      <c r="F10" s="1372"/>
      <c r="G10" s="1373"/>
      <c r="H10" s="742"/>
      <c r="I10" s="742"/>
      <c r="J10" s="742"/>
      <c r="K10" s="742"/>
    </row>
    <row r="11" spans="1:11" ht="18" customHeight="1" x14ac:dyDescent="0.3">
      <c r="A11" s="633"/>
      <c r="B11" s="733" t="s">
        <v>32</v>
      </c>
      <c r="C11" s="1361" t="s">
        <v>842</v>
      </c>
      <c r="D11" s="1362"/>
      <c r="E11" s="1362"/>
      <c r="F11" s="1362"/>
      <c r="G11" s="1362"/>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1241808</v>
      </c>
      <c r="I18" s="673">
        <v>0</v>
      </c>
      <c r="J18" s="647">
        <v>1049573</v>
      </c>
      <c r="K18" s="648">
        <f>(H18+I18)-J18</f>
        <v>192235</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18</v>
      </c>
      <c r="G21" s="646">
        <v>40</v>
      </c>
      <c r="H21" s="647">
        <v>601</v>
      </c>
      <c r="I21" s="673">
        <f t="shared" ref="I21:I34" si="0">H21*F$114</f>
        <v>515.47770000000003</v>
      </c>
      <c r="J21" s="647"/>
      <c r="K21" s="648">
        <f t="shared" ref="K21:K34" si="1">(H21+I21)-J21</f>
        <v>1116.4776999999999</v>
      </c>
    </row>
    <row r="22" spans="1:11" ht="18" customHeight="1" x14ac:dyDescent="0.3">
      <c r="A22" s="639" t="s">
        <v>76</v>
      </c>
      <c r="B22" s="742" t="s">
        <v>6</v>
      </c>
      <c r="C22" s="742"/>
      <c r="D22" s="742"/>
      <c r="E22" s="742"/>
      <c r="F22" s="646">
        <v>19</v>
      </c>
      <c r="G22" s="646">
        <v>25</v>
      </c>
      <c r="H22" s="647">
        <v>471</v>
      </c>
      <c r="I22" s="673">
        <f t="shared" si="0"/>
        <v>403.97669999999999</v>
      </c>
      <c r="J22" s="647"/>
      <c r="K22" s="648">
        <f t="shared" si="1"/>
        <v>874.97669999999994</v>
      </c>
    </row>
    <row r="23" spans="1:11" ht="18" customHeight="1" x14ac:dyDescent="0.3">
      <c r="A23" s="639" t="s">
        <v>77</v>
      </c>
      <c r="B23" s="742" t="s">
        <v>43</v>
      </c>
      <c r="C23" s="742"/>
      <c r="D23" s="742"/>
      <c r="E23" s="742"/>
      <c r="F23" s="646"/>
      <c r="G23" s="646"/>
      <c r="H23" s="647"/>
      <c r="I23" s="673">
        <f t="shared" si="0"/>
        <v>0</v>
      </c>
      <c r="J23" s="647"/>
      <c r="K23" s="648">
        <f t="shared" si="1"/>
        <v>0</v>
      </c>
    </row>
    <row r="24" spans="1:11" ht="18" customHeight="1" x14ac:dyDescent="0.3">
      <c r="A24" s="639" t="s">
        <v>78</v>
      </c>
      <c r="B24" s="742" t="s">
        <v>44</v>
      </c>
      <c r="C24" s="742"/>
      <c r="D24" s="742"/>
      <c r="E24" s="742"/>
      <c r="F24" s="646"/>
      <c r="G24" s="646"/>
      <c r="H24" s="647"/>
      <c r="I24" s="673">
        <f t="shared" si="0"/>
        <v>0</v>
      </c>
      <c r="J24" s="647"/>
      <c r="K24" s="648">
        <f t="shared" si="1"/>
        <v>0</v>
      </c>
    </row>
    <row r="25" spans="1:11" ht="18" customHeight="1" x14ac:dyDescent="0.3">
      <c r="A25" s="639" t="s">
        <v>79</v>
      </c>
      <c r="B25" s="742" t="s">
        <v>5</v>
      </c>
      <c r="C25" s="742"/>
      <c r="D25" s="742"/>
      <c r="E25" s="742"/>
      <c r="F25" s="646"/>
      <c r="G25" s="646"/>
      <c r="H25" s="647"/>
      <c r="I25" s="673">
        <f t="shared" si="0"/>
        <v>0</v>
      </c>
      <c r="J25" s="647"/>
      <c r="K25" s="648">
        <f t="shared" si="1"/>
        <v>0</v>
      </c>
    </row>
    <row r="26" spans="1:11" ht="18" customHeight="1" x14ac:dyDescent="0.3">
      <c r="A26" s="639" t="s">
        <v>80</v>
      </c>
      <c r="B26" s="742" t="s">
        <v>45</v>
      </c>
      <c r="C26" s="742"/>
      <c r="D26" s="742"/>
      <c r="E26" s="742"/>
      <c r="F26" s="646"/>
      <c r="G26" s="646"/>
      <c r="H26" s="647"/>
      <c r="I26" s="673">
        <f t="shared" si="0"/>
        <v>0</v>
      </c>
      <c r="J26" s="647"/>
      <c r="K26" s="648">
        <f t="shared" si="1"/>
        <v>0</v>
      </c>
    </row>
    <row r="27" spans="1:11" ht="18" customHeight="1" x14ac:dyDescent="0.3">
      <c r="A27" s="639" t="s">
        <v>81</v>
      </c>
      <c r="B27" s="742" t="s">
        <v>46</v>
      </c>
      <c r="C27" s="742"/>
      <c r="D27" s="742"/>
      <c r="E27" s="742"/>
      <c r="F27" s="646"/>
      <c r="G27" s="646"/>
      <c r="H27" s="647"/>
      <c r="I27" s="673">
        <f t="shared" si="0"/>
        <v>0</v>
      </c>
      <c r="J27" s="647"/>
      <c r="K27" s="648">
        <f t="shared" si="1"/>
        <v>0</v>
      </c>
    </row>
    <row r="28" spans="1:11" ht="18" customHeight="1" x14ac:dyDescent="0.3">
      <c r="A28" s="639" t="s">
        <v>82</v>
      </c>
      <c r="B28" s="742" t="s">
        <v>47</v>
      </c>
      <c r="C28" s="742"/>
      <c r="D28" s="742"/>
      <c r="E28" s="742"/>
      <c r="F28" s="646"/>
      <c r="G28" s="646"/>
      <c r="H28" s="647"/>
      <c r="I28" s="673">
        <f t="shared" si="0"/>
        <v>0</v>
      </c>
      <c r="J28" s="647"/>
      <c r="K28" s="648">
        <f t="shared" si="1"/>
        <v>0</v>
      </c>
    </row>
    <row r="29" spans="1:11" ht="18" customHeight="1" x14ac:dyDescent="0.3">
      <c r="A29" s="639" t="s">
        <v>83</v>
      </c>
      <c r="B29" s="742" t="s">
        <v>48</v>
      </c>
      <c r="C29" s="742"/>
      <c r="D29" s="742"/>
      <c r="E29" s="742"/>
      <c r="F29" s="646">
        <v>85</v>
      </c>
      <c r="G29" s="646">
        <v>253</v>
      </c>
      <c r="H29" s="647">
        <v>118948</v>
      </c>
      <c r="I29" s="673">
        <f t="shared" si="0"/>
        <v>102021.69960000001</v>
      </c>
      <c r="J29" s="647">
        <v>54030</v>
      </c>
      <c r="K29" s="648">
        <f t="shared" si="1"/>
        <v>166939.69959999999</v>
      </c>
    </row>
    <row r="30" spans="1:11" ht="18" customHeight="1" x14ac:dyDescent="0.3">
      <c r="A30" s="639" t="s">
        <v>84</v>
      </c>
      <c r="B30" s="1351"/>
      <c r="C30" s="1352"/>
      <c r="D30" s="1353"/>
      <c r="E30" s="742"/>
      <c r="F30" s="646"/>
      <c r="G30" s="646"/>
      <c r="H30" s="647"/>
      <c r="I30" s="673">
        <f t="shared" si="0"/>
        <v>0</v>
      </c>
      <c r="J30" s="647"/>
      <c r="K30" s="648">
        <f t="shared" si="1"/>
        <v>0</v>
      </c>
    </row>
    <row r="31" spans="1:11" ht="18" customHeight="1" x14ac:dyDescent="0.3">
      <c r="A31" s="639" t="s">
        <v>133</v>
      </c>
      <c r="B31" s="1351"/>
      <c r="C31" s="1352"/>
      <c r="D31" s="1353"/>
      <c r="E31" s="742"/>
      <c r="F31" s="646"/>
      <c r="G31" s="646"/>
      <c r="H31" s="647"/>
      <c r="I31" s="673">
        <f t="shared" si="0"/>
        <v>0</v>
      </c>
      <c r="J31" s="647"/>
      <c r="K31" s="648">
        <f t="shared" si="1"/>
        <v>0</v>
      </c>
    </row>
    <row r="32" spans="1:11" ht="18" customHeight="1" x14ac:dyDescent="0.3">
      <c r="A32" s="639" t="s">
        <v>134</v>
      </c>
      <c r="B32" s="909"/>
      <c r="C32" s="910"/>
      <c r="D32" s="911"/>
      <c r="E32" s="742"/>
      <c r="F32" s="646"/>
      <c r="G32" s="675"/>
      <c r="H32" s="647"/>
      <c r="I32" s="673">
        <f t="shared" si="0"/>
        <v>0</v>
      </c>
      <c r="J32" s="647"/>
      <c r="K32" s="648">
        <f t="shared" si="1"/>
        <v>0</v>
      </c>
    </row>
    <row r="33" spans="1:11" ht="18" customHeight="1" x14ac:dyDescent="0.3">
      <c r="A33" s="639" t="s">
        <v>135</v>
      </c>
      <c r="B33" s="909"/>
      <c r="C33" s="910"/>
      <c r="D33" s="911"/>
      <c r="E33" s="742"/>
      <c r="F33" s="646"/>
      <c r="G33" s="675"/>
      <c r="H33" s="647"/>
      <c r="I33" s="673">
        <f t="shared" si="0"/>
        <v>0</v>
      </c>
      <c r="J33" s="647"/>
      <c r="K33" s="648">
        <f t="shared" si="1"/>
        <v>0</v>
      </c>
    </row>
    <row r="34" spans="1:11" ht="18" customHeight="1" x14ac:dyDescent="0.3">
      <c r="A34" s="639" t="s">
        <v>136</v>
      </c>
      <c r="B34" s="1351"/>
      <c r="C34" s="1352"/>
      <c r="D34" s="1353"/>
      <c r="E34" s="742"/>
      <c r="F34" s="646"/>
      <c r="G34" s="675"/>
      <c r="H34" s="647"/>
      <c r="I34" s="673">
        <f t="shared" si="0"/>
        <v>0</v>
      </c>
      <c r="J34" s="647"/>
      <c r="K34" s="648">
        <f t="shared" si="1"/>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122</v>
      </c>
      <c r="G36" s="650">
        <f t="shared" si="2"/>
        <v>318</v>
      </c>
      <c r="H36" s="650">
        <f t="shared" si="2"/>
        <v>120020</v>
      </c>
      <c r="I36" s="648">
        <f t="shared" si="2"/>
        <v>102941.15400000001</v>
      </c>
      <c r="J36" s="648">
        <f t="shared" si="2"/>
        <v>54030</v>
      </c>
      <c r="K36" s="648">
        <f t="shared" si="2"/>
        <v>168931.15399999998</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c r="I40" s="673">
        <f t="shared" ref="I40:I47" si="3">H40*F$114</f>
        <v>0</v>
      </c>
      <c r="J40" s="647"/>
      <c r="K40" s="648">
        <f t="shared" ref="K40:K47" si="4">(H40+I40)-J40</f>
        <v>0</v>
      </c>
    </row>
    <row r="41" spans="1:11" ht="18" customHeight="1" x14ac:dyDescent="0.3">
      <c r="A41" s="639" t="s">
        <v>88</v>
      </c>
      <c r="B41" s="1359" t="s">
        <v>50</v>
      </c>
      <c r="C41" s="1359"/>
      <c r="D41" s="742"/>
      <c r="E41" s="742"/>
      <c r="F41" s="646">
        <v>300</v>
      </c>
      <c r="G41" s="646"/>
      <c r="H41" s="647">
        <v>15773</v>
      </c>
      <c r="I41" s="673">
        <f t="shared" si="3"/>
        <v>13528.5021</v>
      </c>
      <c r="J41" s="647"/>
      <c r="K41" s="648">
        <f t="shared" si="4"/>
        <v>29301.502099999998</v>
      </c>
    </row>
    <row r="42" spans="1:11" ht="18" customHeight="1" x14ac:dyDescent="0.3">
      <c r="A42" s="639" t="s">
        <v>89</v>
      </c>
      <c r="B42" s="635" t="s">
        <v>11</v>
      </c>
      <c r="C42" s="742"/>
      <c r="D42" s="742"/>
      <c r="E42" s="742"/>
      <c r="F42" s="646">
        <v>5480</v>
      </c>
      <c r="G42" s="646"/>
      <c r="H42" s="647">
        <f>45321+193892</f>
        <v>239213</v>
      </c>
      <c r="I42" s="673">
        <f t="shared" si="3"/>
        <v>205172.9901</v>
      </c>
      <c r="J42" s="647">
        <v>50998</v>
      </c>
      <c r="K42" s="648">
        <f t="shared" si="4"/>
        <v>393387.9901</v>
      </c>
    </row>
    <row r="43" spans="1:11" ht="18" customHeight="1" x14ac:dyDescent="0.3">
      <c r="A43" s="639" t="s">
        <v>90</v>
      </c>
      <c r="B43" s="670" t="s">
        <v>10</v>
      </c>
      <c r="C43" s="642"/>
      <c r="D43" s="642"/>
      <c r="E43" s="742"/>
      <c r="F43" s="646"/>
      <c r="G43" s="646"/>
      <c r="H43" s="647"/>
      <c r="I43" s="673">
        <f t="shared" si="3"/>
        <v>0</v>
      </c>
      <c r="J43" s="647"/>
      <c r="K43" s="648">
        <f t="shared" si="4"/>
        <v>0</v>
      </c>
    </row>
    <row r="44" spans="1:11" ht="18" customHeight="1" x14ac:dyDescent="0.3">
      <c r="A44" s="639" t="s">
        <v>91</v>
      </c>
      <c r="B44" s="1351"/>
      <c r="C44" s="1352"/>
      <c r="D44" s="1353"/>
      <c r="E44" s="742"/>
      <c r="F44" s="677"/>
      <c r="G44" s="677"/>
      <c r="H44" s="677"/>
      <c r="I44" s="673">
        <f t="shared" si="3"/>
        <v>0</v>
      </c>
      <c r="J44" s="677"/>
      <c r="K44" s="679">
        <f t="shared" si="4"/>
        <v>0</v>
      </c>
    </row>
    <row r="45" spans="1:11" ht="18" customHeight="1" x14ac:dyDescent="0.3">
      <c r="A45" s="639" t="s">
        <v>139</v>
      </c>
      <c r="B45" s="1351"/>
      <c r="C45" s="1352"/>
      <c r="D45" s="1353"/>
      <c r="E45" s="742"/>
      <c r="F45" s="646"/>
      <c r="G45" s="646"/>
      <c r="H45" s="647"/>
      <c r="I45" s="673">
        <f t="shared" si="3"/>
        <v>0</v>
      </c>
      <c r="J45" s="647"/>
      <c r="K45" s="648">
        <f t="shared" si="4"/>
        <v>0</v>
      </c>
    </row>
    <row r="46" spans="1:11" ht="18" customHeight="1" x14ac:dyDescent="0.3">
      <c r="A46" s="639" t="s">
        <v>140</v>
      </c>
      <c r="B46" s="1351"/>
      <c r="C46" s="1352"/>
      <c r="D46" s="1353"/>
      <c r="E46" s="742"/>
      <c r="F46" s="646"/>
      <c r="G46" s="646"/>
      <c r="H46" s="647"/>
      <c r="I46" s="673">
        <f t="shared" si="3"/>
        <v>0</v>
      </c>
      <c r="J46" s="647"/>
      <c r="K46" s="648">
        <f t="shared" si="4"/>
        <v>0</v>
      </c>
    </row>
    <row r="47" spans="1:11" ht="18" customHeight="1" x14ac:dyDescent="0.3">
      <c r="A47" s="639" t="s">
        <v>141</v>
      </c>
      <c r="B47" s="1351"/>
      <c r="C47" s="1352"/>
      <c r="D47" s="1353"/>
      <c r="E47" s="742"/>
      <c r="F47" s="646"/>
      <c r="G47" s="646"/>
      <c r="H47" s="647"/>
      <c r="I47" s="673">
        <f t="shared" si="3"/>
        <v>0</v>
      </c>
      <c r="J47" s="647"/>
      <c r="K47" s="648">
        <f t="shared" si="4"/>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5">SUM(F40:F47)</f>
        <v>5780</v>
      </c>
      <c r="G49" s="654">
        <f t="shared" si="5"/>
        <v>0</v>
      </c>
      <c r="H49" s="648">
        <f t="shared" si="5"/>
        <v>254986</v>
      </c>
      <c r="I49" s="648">
        <f t="shared" si="5"/>
        <v>218701.49220000001</v>
      </c>
      <c r="J49" s="648">
        <f t="shared" si="5"/>
        <v>50998</v>
      </c>
      <c r="K49" s="648">
        <f t="shared" si="5"/>
        <v>422689.49219999998</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385</v>
      </c>
      <c r="C53" s="1355"/>
      <c r="D53" s="1356"/>
      <c r="E53" s="742"/>
      <c r="F53" s="646"/>
      <c r="G53" s="646"/>
      <c r="H53" s="647">
        <f>701161+104167</f>
        <v>805328</v>
      </c>
      <c r="I53" s="673">
        <f t="shared" ref="I53:I62" si="6">H53*F$114</f>
        <v>690729.82559999998</v>
      </c>
      <c r="J53" s="647">
        <v>202278</v>
      </c>
      <c r="K53" s="648">
        <f t="shared" ref="K53:K62" si="7">(H53+I53)-J53</f>
        <v>1293779.8256000001</v>
      </c>
    </row>
    <row r="54" spans="1:11" ht="18" customHeight="1" x14ac:dyDescent="0.3">
      <c r="A54" s="639" t="s">
        <v>93</v>
      </c>
      <c r="B54" s="912" t="s">
        <v>400</v>
      </c>
      <c r="C54" s="913"/>
      <c r="D54" s="914"/>
      <c r="E54" s="742"/>
      <c r="F54" s="646"/>
      <c r="G54" s="646"/>
      <c r="H54" s="647">
        <v>2125</v>
      </c>
      <c r="I54" s="673">
        <f t="shared" si="6"/>
        <v>1822.6125</v>
      </c>
      <c r="J54" s="647"/>
      <c r="K54" s="648">
        <f t="shared" si="7"/>
        <v>3947.6125000000002</v>
      </c>
    </row>
    <row r="55" spans="1:11" ht="18" customHeight="1" x14ac:dyDescent="0.3">
      <c r="A55" s="639" t="s">
        <v>94</v>
      </c>
      <c r="B55" s="1354"/>
      <c r="C55" s="1355"/>
      <c r="D55" s="1356"/>
      <c r="E55" s="742"/>
      <c r="F55" s="646"/>
      <c r="G55" s="646"/>
      <c r="H55" s="647"/>
      <c r="I55" s="673">
        <f t="shared" si="6"/>
        <v>0</v>
      </c>
      <c r="J55" s="647"/>
      <c r="K55" s="648">
        <f t="shared" si="7"/>
        <v>0</v>
      </c>
    </row>
    <row r="56" spans="1:11" ht="18" customHeight="1" x14ac:dyDescent="0.3">
      <c r="A56" s="639" t="s">
        <v>95</v>
      </c>
      <c r="B56" s="1354"/>
      <c r="C56" s="1355"/>
      <c r="D56" s="1356"/>
      <c r="E56" s="742"/>
      <c r="F56" s="646"/>
      <c r="G56" s="646"/>
      <c r="H56" s="647"/>
      <c r="I56" s="673">
        <f t="shared" si="6"/>
        <v>0</v>
      </c>
      <c r="J56" s="647"/>
      <c r="K56" s="648">
        <f t="shared" si="7"/>
        <v>0</v>
      </c>
    </row>
    <row r="57" spans="1:11" ht="18" customHeight="1" x14ac:dyDescent="0.3">
      <c r="A57" s="639" t="s">
        <v>96</v>
      </c>
      <c r="B57" s="1354"/>
      <c r="C57" s="1355"/>
      <c r="D57" s="1356"/>
      <c r="E57" s="742"/>
      <c r="F57" s="646"/>
      <c r="G57" s="646"/>
      <c r="H57" s="647"/>
      <c r="I57" s="673">
        <f t="shared" si="6"/>
        <v>0</v>
      </c>
      <c r="J57" s="647"/>
      <c r="K57" s="648">
        <f t="shared" si="7"/>
        <v>0</v>
      </c>
    </row>
    <row r="58" spans="1:11" ht="18" customHeight="1" x14ac:dyDescent="0.3">
      <c r="A58" s="639" t="s">
        <v>97</v>
      </c>
      <c r="B58" s="912"/>
      <c r="C58" s="913"/>
      <c r="D58" s="914"/>
      <c r="E58" s="742"/>
      <c r="F58" s="646"/>
      <c r="G58" s="646"/>
      <c r="H58" s="647"/>
      <c r="I58" s="673">
        <f t="shared" si="6"/>
        <v>0</v>
      </c>
      <c r="J58" s="647"/>
      <c r="K58" s="648">
        <f t="shared" si="7"/>
        <v>0</v>
      </c>
    </row>
    <row r="59" spans="1:11" ht="18" customHeight="1" x14ac:dyDescent="0.3">
      <c r="A59" s="639" t="s">
        <v>98</v>
      </c>
      <c r="B59" s="1354"/>
      <c r="C59" s="1355"/>
      <c r="D59" s="1356"/>
      <c r="E59" s="742"/>
      <c r="F59" s="646"/>
      <c r="G59" s="646"/>
      <c r="H59" s="647"/>
      <c r="I59" s="673">
        <f t="shared" si="6"/>
        <v>0</v>
      </c>
      <c r="J59" s="647"/>
      <c r="K59" s="648">
        <f t="shared" si="7"/>
        <v>0</v>
      </c>
    </row>
    <row r="60" spans="1:11" ht="18" customHeight="1" x14ac:dyDescent="0.3">
      <c r="A60" s="639" t="s">
        <v>99</v>
      </c>
      <c r="B60" s="912"/>
      <c r="C60" s="913"/>
      <c r="D60" s="914"/>
      <c r="E60" s="742"/>
      <c r="F60" s="646"/>
      <c r="G60" s="646"/>
      <c r="H60" s="647"/>
      <c r="I60" s="673">
        <f t="shared" si="6"/>
        <v>0</v>
      </c>
      <c r="J60" s="647"/>
      <c r="K60" s="648">
        <f t="shared" si="7"/>
        <v>0</v>
      </c>
    </row>
    <row r="61" spans="1:11" ht="18" customHeight="1" x14ac:dyDescent="0.3">
      <c r="A61" s="639" t="s">
        <v>100</v>
      </c>
      <c r="B61" s="912"/>
      <c r="C61" s="913"/>
      <c r="D61" s="914"/>
      <c r="E61" s="742"/>
      <c r="F61" s="646"/>
      <c r="G61" s="646"/>
      <c r="H61" s="647"/>
      <c r="I61" s="673">
        <f t="shared" si="6"/>
        <v>0</v>
      </c>
      <c r="J61" s="647"/>
      <c r="K61" s="648">
        <f t="shared" si="7"/>
        <v>0</v>
      </c>
    </row>
    <row r="62" spans="1:11" ht="18" customHeight="1" x14ac:dyDescent="0.3">
      <c r="A62" s="639" t="s">
        <v>101</v>
      </c>
      <c r="B62" s="1354"/>
      <c r="C62" s="1355"/>
      <c r="D62" s="1356"/>
      <c r="E62" s="742"/>
      <c r="F62" s="646"/>
      <c r="G62" s="646"/>
      <c r="H62" s="647"/>
      <c r="I62" s="673">
        <f t="shared" si="6"/>
        <v>0</v>
      </c>
      <c r="J62" s="647"/>
      <c r="K62" s="648">
        <f t="shared" si="7"/>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8">SUM(F53:F62)</f>
        <v>0</v>
      </c>
      <c r="G64" s="650">
        <f t="shared" si="8"/>
        <v>0</v>
      </c>
      <c r="H64" s="648">
        <f t="shared" si="8"/>
        <v>807453</v>
      </c>
      <c r="I64" s="648">
        <f t="shared" si="8"/>
        <v>692552.43810000003</v>
      </c>
      <c r="J64" s="648">
        <f t="shared" si="8"/>
        <v>202278</v>
      </c>
      <c r="K64" s="648">
        <f t="shared" si="8"/>
        <v>1297727.4381000001</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912"/>
      <c r="C70" s="913"/>
      <c r="D70" s="914"/>
      <c r="E70" s="636"/>
      <c r="F70" s="658"/>
      <c r="G70" s="658"/>
      <c r="H70" s="659"/>
      <c r="I70" s="673">
        <v>0</v>
      </c>
      <c r="J70" s="659"/>
      <c r="K70" s="648">
        <f>(H70+I70)-J70</f>
        <v>0</v>
      </c>
    </row>
    <row r="71" spans="1:11" ht="18" customHeight="1" x14ac:dyDescent="0.3">
      <c r="A71" s="639" t="s">
        <v>179</v>
      </c>
      <c r="B71" s="912"/>
      <c r="C71" s="913"/>
      <c r="D71" s="914"/>
      <c r="E71" s="636"/>
      <c r="F71" s="658"/>
      <c r="G71" s="658"/>
      <c r="H71" s="659"/>
      <c r="I71" s="673">
        <v>0</v>
      </c>
      <c r="J71" s="659"/>
      <c r="K71" s="648">
        <f>(H71+I71)-J71</f>
        <v>0</v>
      </c>
    </row>
    <row r="72" spans="1:11" ht="18" customHeight="1" x14ac:dyDescent="0.3">
      <c r="A72" s="639" t="s">
        <v>180</v>
      </c>
      <c r="B72" s="930"/>
      <c r="C72" s="929"/>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9">SUM(F68:F72)</f>
        <v>0</v>
      </c>
      <c r="G74" s="653">
        <f t="shared" si="9"/>
        <v>0</v>
      </c>
      <c r="H74" s="653">
        <f t="shared" si="9"/>
        <v>0</v>
      </c>
      <c r="I74" s="676">
        <f t="shared" si="9"/>
        <v>0</v>
      </c>
      <c r="J74" s="653">
        <f t="shared" si="9"/>
        <v>0</v>
      </c>
      <c r="K74" s="649">
        <f t="shared" si="9"/>
        <v>0</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c r="I77" s="673">
        <v>0</v>
      </c>
      <c r="J77" s="647"/>
      <c r="K77" s="648">
        <f>(H77+I77)-J77</f>
        <v>0</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c r="G79" s="646"/>
      <c r="H79" s="647"/>
      <c r="I79" s="673">
        <v>0</v>
      </c>
      <c r="J79" s="647"/>
      <c r="K79" s="648">
        <f>(H79+I79)-J79</f>
        <v>0</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10">SUM(F77:F80)</f>
        <v>0</v>
      </c>
      <c r="G82" s="653">
        <f t="shared" si="10"/>
        <v>0</v>
      </c>
      <c r="H82" s="649">
        <f t="shared" si="10"/>
        <v>0</v>
      </c>
      <c r="I82" s="649">
        <f t="shared" si="10"/>
        <v>0</v>
      </c>
      <c r="J82" s="649">
        <f t="shared" si="10"/>
        <v>0</v>
      </c>
      <c r="K82" s="649">
        <f t="shared" si="10"/>
        <v>0</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11">H86*F$114</f>
        <v>0</v>
      </c>
      <c r="J86" s="647"/>
      <c r="K86" s="648">
        <f t="shared" ref="K86:K96" si="12">(H86+I86)-J86</f>
        <v>0</v>
      </c>
    </row>
    <row r="87" spans="1:11" ht="18" customHeight="1" x14ac:dyDescent="0.3">
      <c r="A87" s="639" t="s">
        <v>114</v>
      </c>
      <c r="B87" s="635" t="s">
        <v>14</v>
      </c>
      <c r="C87" s="742"/>
      <c r="D87" s="742"/>
      <c r="E87" s="742"/>
      <c r="F87" s="646"/>
      <c r="G87" s="646"/>
      <c r="H87" s="647"/>
      <c r="I87" s="673">
        <f t="shared" si="11"/>
        <v>0</v>
      </c>
      <c r="J87" s="647"/>
      <c r="K87" s="648">
        <f t="shared" si="12"/>
        <v>0</v>
      </c>
    </row>
    <row r="88" spans="1:11" ht="18" customHeight="1" x14ac:dyDescent="0.3">
      <c r="A88" s="639" t="s">
        <v>115</v>
      </c>
      <c r="B88" s="635" t="s">
        <v>116</v>
      </c>
      <c r="C88" s="742"/>
      <c r="D88" s="742"/>
      <c r="E88" s="742"/>
      <c r="F88" s="646"/>
      <c r="G88" s="646"/>
      <c r="H88" s="647"/>
      <c r="I88" s="673">
        <f t="shared" si="11"/>
        <v>0</v>
      </c>
      <c r="J88" s="647"/>
      <c r="K88" s="648">
        <f t="shared" si="12"/>
        <v>0</v>
      </c>
    </row>
    <row r="89" spans="1:11" ht="18" customHeight="1" x14ac:dyDescent="0.3">
      <c r="A89" s="639" t="s">
        <v>117</v>
      </c>
      <c r="B89" s="635" t="s">
        <v>58</v>
      </c>
      <c r="C89" s="742"/>
      <c r="D89" s="742"/>
      <c r="E89" s="742"/>
      <c r="F89" s="646"/>
      <c r="G89" s="646"/>
      <c r="H89" s="647"/>
      <c r="I89" s="673">
        <f t="shared" si="11"/>
        <v>0</v>
      </c>
      <c r="J89" s="647"/>
      <c r="K89" s="648">
        <f t="shared" si="12"/>
        <v>0</v>
      </c>
    </row>
    <row r="90" spans="1:11" ht="18" customHeight="1" x14ac:dyDescent="0.3">
      <c r="A90" s="639" t="s">
        <v>118</v>
      </c>
      <c r="B90" s="1359" t="s">
        <v>59</v>
      </c>
      <c r="C90" s="1359"/>
      <c r="D90" s="742"/>
      <c r="E90" s="742"/>
      <c r="F90" s="646"/>
      <c r="G90" s="646"/>
      <c r="H90" s="647"/>
      <c r="I90" s="673">
        <f t="shared" si="11"/>
        <v>0</v>
      </c>
      <c r="J90" s="647"/>
      <c r="K90" s="648">
        <f t="shared" si="12"/>
        <v>0</v>
      </c>
    </row>
    <row r="91" spans="1:11" ht="18" customHeight="1" x14ac:dyDescent="0.3">
      <c r="A91" s="639" t="s">
        <v>119</v>
      </c>
      <c r="B91" s="635" t="s">
        <v>60</v>
      </c>
      <c r="C91" s="742"/>
      <c r="D91" s="742"/>
      <c r="E91" s="742"/>
      <c r="F91" s="646">
        <v>4</v>
      </c>
      <c r="G91" s="646">
        <v>4</v>
      </c>
      <c r="H91" s="647">
        <v>40</v>
      </c>
      <c r="I91" s="673">
        <f t="shared" si="11"/>
        <v>34.308</v>
      </c>
      <c r="J91" s="647"/>
      <c r="K91" s="648">
        <f t="shared" si="12"/>
        <v>74.307999999999993</v>
      </c>
    </row>
    <row r="92" spans="1:11" ht="18" customHeight="1" x14ac:dyDescent="0.3">
      <c r="A92" s="639" t="s">
        <v>120</v>
      </c>
      <c r="B92" s="635" t="s">
        <v>121</v>
      </c>
      <c r="C92" s="742"/>
      <c r="D92" s="742"/>
      <c r="E92" s="742"/>
      <c r="F92" s="661"/>
      <c r="G92" s="661"/>
      <c r="H92" s="662"/>
      <c r="I92" s="673">
        <f t="shared" si="11"/>
        <v>0</v>
      </c>
      <c r="J92" s="662"/>
      <c r="K92" s="648">
        <f t="shared" si="12"/>
        <v>0</v>
      </c>
    </row>
    <row r="93" spans="1:11" ht="18" customHeight="1" x14ac:dyDescent="0.3">
      <c r="A93" s="639" t="s">
        <v>122</v>
      </c>
      <c r="B93" s="635" t="s">
        <v>123</v>
      </c>
      <c r="C93" s="742"/>
      <c r="D93" s="742"/>
      <c r="E93" s="742"/>
      <c r="F93" s="646"/>
      <c r="G93" s="646"/>
      <c r="H93" s="647">
        <v>46681</v>
      </c>
      <c r="I93" s="673">
        <f t="shared" si="11"/>
        <v>40038.293700000002</v>
      </c>
      <c r="J93" s="647"/>
      <c r="K93" s="648">
        <f t="shared" si="12"/>
        <v>86719.293700000009</v>
      </c>
    </row>
    <row r="94" spans="1:11" ht="18" customHeight="1" x14ac:dyDescent="0.3">
      <c r="A94" s="639" t="s">
        <v>124</v>
      </c>
      <c r="B94" s="1354"/>
      <c r="C94" s="1355"/>
      <c r="D94" s="1356"/>
      <c r="E94" s="742"/>
      <c r="F94" s="646"/>
      <c r="G94" s="646"/>
      <c r="H94" s="647"/>
      <c r="I94" s="673">
        <f t="shared" si="11"/>
        <v>0</v>
      </c>
      <c r="J94" s="647"/>
      <c r="K94" s="648">
        <f t="shared" si="12"/>
        <v>0</v>
      </c>
    </row>
    <row r="95" spans="1:11" ht="18" customHeight="1" x14ac:dyDescent="0.3">
      <c r="A95" s="639" t="s">
        <v>125</v>
      </c>
      <c r="B95" s="1354"/>
      <c r="C95" s="1355"/>
      <c r="D95" s="1356"/>
      <c r="E95" s="742"/>
      <c r="F95" s="646"/>
      <c r="G95" s="646"/>
      <c r="H95" s="647"/>
      <c r="I95" s="673">
        <f t="shared" si="11"/>
        <v>0</v>
      </c>
      <c r="J95" s="647"/>
      <c r="K95" s="648">
        <f t="shared" si="12"/>
        <v>0</v>
      </c>
    </row>
    <row r="96" spans="1:11" ht="18" customHeight="1" x14ac:dyDescent="0.3">
      <c r="A96" s="639" t="s">
        <v>126</v>
      </c>
      <c r="B96" s="1354"/>
      <c r="C96" s="1355"/>
      <c r="D96" s="1356"/>
      <c r="E96" s="742"/>
      <c r="F96" s="646"/>
      <c r="G96" s="646"/>
      <c r="H96" s="647"/>
      <c r="I96" s="673">
        <f t="shared" si="11"/>
        <v>0</v>
      </c>
      <c r="J96" s="647"/>
      <c r="K96" s="648">
        <f t="shared" si="12"/>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3">SUM(F86:F96)</f>
        <v>4</v>
      </c>
      <c r="G98" s="650">
        <f t="shared" si="13"/>
        <v>4</v>
      </c>
      <c r="H98" s="650">
        <f t="shared" si="13"/>
        <v>46721</v>
      </c>
      <c r="I98" s="650">
        <f t="shared" si="13"/>
        <v>40072.601699999999</v>
      </c>
      <c r="J98" s="650">
        <f t="shared" si="13"/>
        <v>0</v>
      </c>
      <c r="K98" s="650">
        <f t="shared" si="13"/>
        <v>86793.601700000014</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368</v>
      </c>
      <c r="G102" s="646"/>
      <c r="H102" s="647">
        <v>15562</v>
      </c>
      <c r="I102" s="673">
        <f>H102*F$114</f>
        <v>13347.527400000001</v>
      </c>
      <c r="J102" s="647"/>
      <c r="K102" s="648">
        <f>(H102+I102)-J102</f>
        <v>28909.527399999999</v>
      </c>
    </row>
    <row r="103" spans="1:11" ht="18" customHeight="1" x14ac:dyDescent="0.3">
      <c r="A103" s="639" t="s">
        <v>132</v>
      </c>
      <c r="B103" s="1357" t="s">
        <v>62</v>
      </c>
      <c r="C103" s="1357"/>
      <c r="D103" s="742"/>
      <c r="E103" s="742"/>
      <c r="F103" s="646"/>
      <c r="G103" s="646"/>
      <c r="H103" s="647"/>
      <c r="I103" s="673">
        <f>H103*F$114</f>
        <v>0</v>
      </c>
      <c r="J103" s="647"/>
      <c r="K103" s="648">
        <f>(H103+I103)-J103</f>
        <v>0</v>
      </c>
    </row>
    <row r="104" spans="1:11" ht="18" customHeight="1" x14ac:dyDescent="0.3">
      <c r="A104" s="639" t="s">
        <v>128</v>
      </c>
      <c r="B104" s="1354"/>
      <c r="C104" s="1355"/>
      <c r="D104" s="1356"/>
      <c r="E104" s="742"/>
      <c r="F104" s="646"/>
      <c r="G104" s="646"/>
      <c r="H104" s="647"/>
      <c r="I104" s="673">
        <f>H104*F$114</f>
        <v>0</v>
      </c>
      <c r="J104" s="647"/>
      <c r="K104" s="648">
        <f>(H104+I104)-J104</f>
        <v>0</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4">SUM(F102:F106)</f>
        <v>368</v>
      </c>
      <c r="G108" s="650">
        <f t="shared" si="14"/>
        <v>0</v>
      </c>
      <c r="H108" s="648">
        <f t="shared" si="14"/>
        <v>15562</v>
      </c>
      <c r="I108" s="648">
        <f t="shared" si="14"/>
        <v>13347.527400000001</v>
      </c>
      <c r="J108" s="648">
        <f t="shared" si="14"/>
        <v>0</v>
      </c>
      <c r="K108" s="648">
        <f t="shared" si="14"/>
        <v>28909.527399999999</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1341932</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v>0.85770000000000002</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f>90162014-11461563-2587935</f>
        <v>76112516</v>
      </c>
      <c r="G117" s="740"/>
      <c r="H117" s="740"/>
      <c r="I117" s="740"/>
      <c r="J117" s="740"/>
      <c r="K117" s="740"/>
    </row>
    <row r="118" spans="1:11" ht="18" customHeight="1" x14ac:dyDescent="0.3">
      <c r="A118" s="639" t="s">
        <v>173</v>
      </c>
      <c r="B118" s="742" t="s">
        <v>18</v>
      </c>
      <c r="C118" s="742"/>
      <c r="D118" s="742"/>
      <c r="E118" s="742"/>
      <c r="F118" s="647">
        <v>2317314</v>
      </c>
      <c r="G118" s="740"/>
      <c r="H118" s="740"/>
      <c r="I118" s="740"/>
      <c r="J118" s="740"/>
      <c r="K118" s="740"/>
    </row>
    <row r="119" spans="1:11" ht="18" customHeight="1" x14ac:dyDescent="0.3">
      <c r="A119" s="639" t="s">
        <v>174</v>
      </c>
      <c r="B119" s="636" t="s">
        <v>19</v>
      </c>
      <c r="C119" s="742"/>
      <c r="D119" s="742"/>
      <c r="E119" s="742"/>
      <c r="F119" s="649">
        <f>SUM(F117:F118)</f>
        <v>78429830</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f>76347940-2587935</f>
        <v>73760005</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f>F119-F121</f>
        <v>4669825</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2414091</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f>F123+F125</f>
        <v>7083916</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5">SUM(F131:F135)</f>
        <v>0</v>
      </c>
      <c r="G137" s="650">
        <f t="shared" si="15"/>
        <v>0</v>
      </c>
      <c r="H137" s="648">
        <f t="shared" si="15"/>
        <v>0</v>
      </c>
      <c r="I137" s="648">
        <f t="shared" si="15"/>
        <v>0</v>
      </c>
      <c r="J137" s="648">
        <f t="shared" si="15"/>
        <v>0</v>
      </c>
      <c r="K137" s="648">
        <f t="shared" si="15"/>
        <v>0</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6">F36</f>
        <v>122</v>
      </c>
      <c r="G141" s="664">
        <f t="shared" si="16"/>
        <v>318</v>
      </c>
      <c r="H141" s="664">
        <f t="shared" si="16"/>
        <v>120020</v>
      </c>
      <c r="I141" s="664">
        <f t="shared" si="16"/>
        <v>102941.15400000001</v>
      </c>
      <c r="J141" s="664">
        <f t="shared" si="16"/>
        <v>54030</v>
      </c>
      <c r="K141" s="664">
        <f t="shared" si="16"/>
        <v>168931.15399999998</v>
      </c>
    </row>
    <row r="142" spans="1:11" ht="18" customHeight="1" x14ac:dyDescent="0.3">
      <c r="A142" s="639" t="s">
        <v>142</v>
      </c>
      <c r="B142" s="636" t="s">
        <v>65</v>
      </c>
      <c r="C142" s="742"/>
      <c r="D142" s="742"/>
      <c r="E142" s="742"/>
      <c r="F142" s="664">
        <f t="shared" ref="F142:K142" si="17">F49</f>
        <v>5780</v>
      </c>
      <c r="G142" s="664">
        <f t="shared" si="17"/>
        <v>0</v>
      </c>
      <c r="H142" s="664">
        <f t="shared" si="17"/>
        <v>254986</v>
      </c>
      <c r="I142" s="664">
        <f t="shared" si="17"/>
        <v>218701.49220000001</v>
      </c>
      <c r="J142" s="664">
        <f t="shared" si="17"/>
        <v>50998</v>
      </c>
      <c r="K142" s="664">
        <f t="shared" si="17"/>
        <v>422689.49219999998</v>
      </c>
    </row>
    <row r="143" spans="1:11" ht="18" customHeight="1" x14ac:dyDescent="0.3">
      <c r="A143" s="639" t="s">
        <v>144</v>
      </c>
      <c r="B143" s="636" t="s">
        <v>66</v>
      </c>
      <c r="C143" s="742"/>
      <c r="D143" s="742"/>
      <c r="E143" s="742"/>
      <c r="F143" s="664">
        <f t="shared" ref="F143:K143" si="18">F64</f>
        <v>0</v>
      </c>
      <c r="G143" s="664">
        <f t="shared" si="18"/>
        <v>0</v>
      </c>
      <c r="H143" s="664">
        <f t="shared" si="18"/>
        <v>807453</v>
      </c>
      <c r="I143" s="664">
        <f t="shared" si="18"/>
        <v>692552.43810000003</v>
      </c>
      <c r="J143" s="664">
        <f t="shared" si="18"/>
        <v>202278</v>
      </c>
      <c r="K143" s="664">
        <f t="shared" si="18"/>
        <v>1297727.4381000001</v>
      </c>
    </row>
    <row r="144" spans="1:11" ht="18" customHeight="1" x14ac:dyDescent="0.3">
      <c r="A144" s="639" t="s">
        <v>146</v>
      </c>
      <c r="B144" s="636" t="s">
        <v>67</v>
      </c>
      <c r="C144" s="742"/>
      <c r="D144" s="742"/>
      <c r="E144" s="742"/>
      <c r="F144" s="664">
        <f t="shared" ref="F144:K144" si="19">F74</f>
        <v>0</v>
      </c>
      <c r="G144" s="664">
        <f t="shared" si="19"/>
        <v>0</v>
      </c>
      <c r="H144" s="664">
        <f t="shared" si="19"/>
        <v>0</v>
      </c>
      <c r="I144" s="664">
        <f t="shared" si="19"/>
        <v>0</v>
      </c>
      <c r="J144" s="664">
        <f t="shared" si="19"/>
        <v>0</v>
      </c>
      <c r="K144" s="664">
        <f t="shared" si="19"/>
        <v>0</v>
      </c>
    </row>
    <row r="145" spans="1:11" ht="18" customHeight="1" x14ac:dyDescent="0.3">
      <c r="A145" s="639" t="s">
        <v>148</v>
      </c>
      <c r="B145" s="636" t="s">
        <v>68</v>
      </c>
      <c r="C145" s="742"/>
      <c r="D145" s="742"/>
      <c r="E145" s="742"/>
      <c r="F145" s="664">
        <f t="shared" ref="F145:K145" si="20">F82</f>
        <v>0</v>
      </c>
      <c r="G145" s="664">
        <f t="shared" si="20"/>
        <v>0</v>
      </c>
      <c r="H145" s="664">
        <f t="shared" si="20"/>
        <v>0</v>
      </c>
      <c r="I145" s="664">
        <f t="shared" si="20"/>
        <v>0</v>
      </c>
      <c r="J145" s="664">
        <f t="shared" si="20"/>
        <v>0</v>
      </c>
      <c r="K145" s="664">
        <f t="shared" si="20"/>
        <v>0</v>
      </c>
    </row>
    <row r="146" spans="1:11" ht="18" customHeight="1" x14ac:dyDescent="0.3">
      <c r="A146" s="639" t="s">
        <v>150</v>
      </c>
      <c r="B146" s="636" t="s">
        <v>69</v>
      </c>
      <c r="C146" s="742"/>
      <c r="D146" s="742"/>
      <c r="E146" s="742"/>
      <c r="F146" s="664">
        <f t="shared" ref="F146:K146" si="21">F98</f>
        <v>4</v>
      </c>
      <c r="G146" s="664">
        <f t="shared" si="21"/>
        <v>4</v>
      </c>
      <c r="H146" s="664">
        <f t="shared" si="21"/>
        <v>46721</v>
      </c>
      <c r="I146" s="664">
        <f t="shared" si="21"/>
        <v>40072.601699999999</v>
      </c>
      <c r="J146" s="664">
        <f t="shared" si="21"/>
        <v>0</v>
      </c>
      <c r="K146" s="664">
        <f t="shared" si="21"/>
        <v>86793.601700000014</v>
      </c>
    </row>
    <row r="147" spans="1:11" ht="18" customHeight="1" x14ac:dyDescent="0.3">
      <c r="A147" s="639" t="s">
        <v>153</v>
      </c>
      <c r="B147" s="636" t="s">
        <v>61</v>
      </c>
      <c r="C147" s="742"/>
      <c r="D147" s="742"/>
      <c r="E147" s="742"/>
      <c r="F147" s="650">
        <f t="shared" ref="F147:K147" si="22">F108</f>
        <v>368</v>
      </c>
      <c r="G147" s="650">
        <f t="shared" si="22"/>
        <v>0</v>
      </c>
      <c r="H147" s="650">
        <f t="shared" si="22"/>
        <v>15562</v>
      </c>
      <c r="I147" s="650">
        <f t="shared" si="22"/>
        <v>13347.527400000001</v>
      </c>
      <c r="J147" s="650">
        <f t="shared" si="22"/>
        <v>0</v>
      </c>
      <c r="K147" s="650">
        <f t="shared" si="22"/>
        <v>28909.527399999999</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1341932</v>
      </c>
    </row>
    <row r="149" spans="1:11" ht="18" customHeight="1" x14ac:dyDescent="0.3">
      <c r="A149" s="639" t="s">
        <v>163</v>
      </c>
      <c r="B149" s="636" t="s">
        <v>71</v>
      </c>
      <c r="C149" s="742"/>
      <c r="D149" s="742"/>
      <c r="E149" s="742"/>
      <c r="F149" s="650">
        <f t="shared" ref="F149:K149" si="23">F137</f>
        <v>0</v>
      </c>
      <c r="G149" s="650">
        <f t="shared" si="23"/>
        <v>0</v>
      </c>
      <c r="H149" s="650">
        <f t="shared" si="23"/>
        <v>0</v>
      </c>
      <c r="I149" s="650">
        <f t="shared" si="23"/>
        <v>0</v>
      </c>
      <c r="J149" s="650">
        <f t="shared" si="23"/>
        <v>0</v>
      </c>
      <c r="K149" s="650">
        <f t="shared" si="23"/>
        <v>0</v>
      </c>
    </row>
    <row r="150" spans="1:11" ht="18" customHeight="1" x14ac:dyDescent="0.3">
      <c r="A150" s="639" t="s">
        <v>185</v>
      </c>
      <c r="B150" s="636" t="s">
        <v>186</v>
      </c>
      <c r="C150" s="742"/>
      <c r="D150" s="742"/>
      <c r="E150" s="742"/>
      <c r="F150" s="665" t="s">
        <v>73</v>
      </c>
      <c r="G150" s="665" t="s">
        <v>73</v>
      </c>
      <c r="H150" s="650">
        <f>H18</f>
        <v>1241808</v>
      </c>
      <c r="I150" s="650">
        <f>I18</f>
        <v>0</v>
      </c>
      <c r="J150" s="650">
        <f>J18</f>
        <v>1049573</v>
      </c>
      <c r="K150" s="650">
        <f>K18</f>
        <v>192235</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4">SUM(F141:F150)</f>
        <v>6274</v>
      </c>
      <c r="G152" s="672">
        <f t="shared" si="24"/>
        <v>322</v>
      </c>
      <c r="H152" s="672">
        <f t="shared" si="24"/>
        <v>2486550</v>
      </c>
      <c r="I152" s="672">
        <f t="shared" si="24"/>
        <v>1067615.2134</v>
      </c>
      <c r="J152" s="672">
        <f t="shared" si="24"/>
        <v>1356879</v>
      </c>
      <c r="K152" s="672">
        <f t="shared" si="24"/>
        <v>3539218.2134000002</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4.7982890096062228E-2</v>
      </c>
      <c r="G154" s="742"/>
      <c r="H154" s="742"/>
      <c r="I154" s="742"/>
      <c r="J154" s="742"/>
      <c r="K154" s="742"/>
    </row>
    <row r="155" spans="1:11" ht="18" customHeight="1" x14ac:dyDescent="0.3">
      <c r="A155" s="639" t="s">
        <v>169</v>
      </c>
      <c r="B155" s="636" t="s">
        <v>72</v>
      </c>
      <c r="C155" s="742"/>
      <c r="D155" s="742"/>
      <c r="E155" s="742"/>
      <c r="F155" s="687">
        <f>K152/F127</f>
        <v>0.49961323841220029</v>
      </c>
      <c r="G155" s="636"/>
      <c r="H155" s="742"/>
      <c r="I155" s="742"/>
      <c r="J155" s="742"/>
      <c r="K155" s="742"/>
    </row>
    <row r="156" spans="1:11" ht="18" customHeight="1" x14ac:dyDescent="0.3">
      <c r="A156" s="633"/>
      <c r="B156" s="553"/>
      <c r="C156" s="553"/>
      <c r="D156" s="553"/>
      <c r="E156" s="553"/>
      <c r="F156" s="553"/>
      <c r="G156" s="554"/>
      <c r="H156" s="553"/>
      <c r="I156" s="553"/>
      <c r="J156" s="553"/>
      <c r="K156" s="553"/>
    </row>
  </sheetData>
  <sheetProtection sheet="1" objects="1" scenarios="1"/>
  <mergeCells count="34">
    <mergeCell ref="B135:D135"/>
    <mergeCell ref="B133:D133"/>
    <mergeCell ref="B104:D104"/>
    <mergeCell ref="B105:D105"/>
    <mergeCell ref="B106:D106"/>
    <mergeCell ref="B103:C103"/>
    <mergeCell ref="B96:D96"/>
    <mergeCell ref="B95:D95"/>
    <mergeCell ref="B94:D94"/>
    <mergeCell ref="B134:D134"/>
    <mergeCell ref="B62:D62"/>
    <mergeCell ref="B57:D57"/>
    <mergeCell ref="B52:C52"/>
    <mergeCell ref="B90:C90"/>
    <mergeCell ref="B53:D53"/>
    <mergeCell ref="B55:D55"/>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K156"/>
  <sheetViews>
    <sheetView showGridLines="0" view="pageBreakPreview" zoomScale="85" zoomScaleNormal="50" zoomScaleSheetLayoutView="85" workbookViewId="0">
      <selection activeCell="A16" sqref="A16"/>
    </sheetView>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61" t="s">
        <v>570</v>
      </c>
      <c r="D5" s="1362"/>
      <c r="E5" s="1362"/>
      <c r="F5" s="1362"/>
      <c r="G5" s="1364"/>
      <c r="H5" s="742"/>
      <c r="I5" s="742"/>
      <c r="J5" s="742"/>
      <c r="K5" s="742"/>
    </row>
    <row r="6" spans="1:11" ht="18" customHeight="1" x14ac:dyDescent="0.3">
      <c r="A6" s="633"/>
      <c r="B6" s="733" t="s">
        <v>3</v>
      </c>
      <c r="C6" s="1365">
        <v>65</v>
      </c>
      <c r="D6" s="1366"/>
      <c r="E6" s="1366"/>
      <c r="F6" s="1366"/>
      <c r="G6" s="1367"/>
      <c r="H6" s="742"/>
      <c r="I6" s="742"/>
      <c r="J6" s="742"/>
      <c r="K6" s="742"/>
    </row>
    <row r="7" spans="1:11" ht="18" customHeight="1" x14ac:dyDescent="0.3">
      <c r="A7" s="633"/>
      <c r="B7" s="733" t="s">
        <v>4</v>
      </c>
      <c r="C7" s="1368">
        <v>711</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61" t="s">
        <v>709</v>
      </c>
      <c r="D9" s="1362"/>
      <c r="E9" s="1362"/>
      <c r="F9" s="1362"/>
      <c r="G9" s="1364"/>
      <c r="H9" s="742"/>
      <c r="I9" s="742"/>
      <c r="J9" s="742"/>
      <c r="K9" s="742"/>
    </row>
    <row r="10" spans="1:11" ht="18" customHeight="1" x14ac:dyDescent="0.3">
      <c r="A10" s="633"/>
      <c r="B10" s="733" t="s">
        <v>2</v>
      </c>
      <c r="C10" s="1371" t="s">
        <v>342</v>
      </c>
      <c r="D10" s="1372"/>
      <c r="E10" s="1372"/>
      <c r="F10" s="1372"/>
      <c r="G10" s="1373"/>
      <c r="H10" s="742"/>
      <c r="I10" s="742"/>
      <c r="J10" s="742"/>
      <c r="K10" s="742"/>
    </row>
    <row r="11" spans="1:11" ht="18" customHeight="1" x14ac:dyDescent="0.3">
      <c r="A11" s="633"/>
      <c r="B11" s="733" t="s">
        <v>32</v>
      </c>
      <c r="C11" s="1361" t="s">
        <v>343</v>
      </c>
      <c r="D11" s="1362"/>
      <c r="E11" s="1362"/>
      <c r="F11" s="1362"/>
      <c r="G11" s="1362"/>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1810000</v>
      </c>
      <c r="I18" s="673">
        <v>0</v>
      </c>
      <c r="J18" s="647">
        <v>1529807</v>
      </c>
      <c r="K18" s="648">
        <f>(H18+I18)-J18</f>
        <v>280193</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995</v>
      </c>
      <c r="G21" s="646">
        <v>20284</v>
      </c>
      <c r="H21" s="647">
        <v>148313</v>
      </c>
      <c r="I21" s="673">
        <v>26481</v>
      </c>
      <c r="J21" s="647">
        <v>24181</v>
      </c>
      <c r="K21" s="648">
        <f t="shared" ref="K21:K34" si="0">(H21+I21)-J21</f>
        <v>150613</v>
      </c>
    </row>
    <row r="22" spans="1:11" ht="18" customHeight="1" x14ac:dyDescent="0.3">
      <c r="A22" s="639" t="s">
        <v>76</v>
      </c>
      <c r="B22" s="742" t="s">
        <v>6</v>
      </c>
      <c r="C22" s="742"/>
      <c r="D22" s="742"/>
      <c r="E22" s="742"/>
      <c r="F22" s="646"/>
      <c r="G22" s="646"/>
      <c r="H22" s="647"/>
      <c r="I22" s="673">
        <f t="shared" ref="I22:I34" si="1">H22*F$114</f>
        <v>0</v>
      </c>
      <c r="J22" s="647"/>
      <c r="K22" s="648">
        <f t="shared" si="0"/>
        <v>0</v>
      </c>
    </row>
    <row r="23" spans="1:11" ht="18" customHeight="1" x14ac:dyDescent="0.3">
      <c r="A23" s="639" t="s">
        <v>77</v>
      </c>
      <c r="B23" s="742" t="s">
        <v>43</v>
      </c>
      <c r="C23" s="742"/>
      <c r="D23" s="742"/>
      <c r="E23" s="742"/>
      <c r="F23" s="646"/>
      <c r="G23" s="646"/>
      <c r="H23" s="647"/>
      <c r="I23" s="673">
        <f t="shared" si="1"/>
        <v>0</v>
      </c>
      <c r="J23" s="647"/>
      <c r="K23" s="648">
        <f t="shared" si="0"/>
        <v>0</v>
      </c>
    </row>
    <row r="24" spans="1:11" ht="18" customHeight="1" x14ac:dyDescent="0.3">
      <c r="A24" s="639" t="s">
        <v>78</v>
      </c>
      <c r="B24" s="742" t="s">
        <v>44</v>
      </c>
      <c r="C24" s="742"/>
      <c r="D24" s="742"/>
      <c r="E24" s="742"/>
      <c r="F24" s="646">
        <v>15</v>
      </c>
      <c r="G24" s="646">
        <v>122</v>
      </c>
      <c r="H24" s="647">
        <v>592</v>
      </c>
      <c r="I24" s="673">
        <v>32</v>
      </c>
      <c r="J24" s="647">
        <v>466</v>
      </c>
      <c r="K24" s="648">
        <f t="shared" si="0"/>
        <v>158</v>
      </c>
    </row>
    <row r="25" spans="1:11" ht="18" customHeight="1" x14ac:dyDescent="0.3">
      <c r="A25" s="639" t="s">
        <v>79</v>
      </c>
      <c r="B25" s="742" t="s">
        <v>5</v>
      </c>
      <c r="C25" s="742"/>
      <c r="D25" s="742"/>
      <c r="E25" s="742"/>
      <c r="F25" s="646"/>
      <c r="G25" s="646"/>
      <c r="H25" s="647"/>
      <c r="I25" s="673">
        <f t="shared" si="1"/>
        <v>0</v>
      </c>
      <c r="J25" s="647"/>
      <c r="K25" s="648">
        <f t="shared" si="0"/>
        <v>0</v>
      </c>
    </row>
    <row r="26" spans="1:11" ht="18" customHeight="1" x14ac:dyDescent="0.3">
      <c r="A26" s="639" t="s">
        <v>80</v>
      </c>
      <c r="B26" s="742" t="s">
        <v>45</v>
      </c>
      <c r="C26" s="742"/>
      <c r="D26" s="742"/>
      <c r="E26" s="742"/>
      <c r="F26" s="646"/>
      <c r="G26" s="646"/>
      <c r="H26" s="647"/>
      <c r="I26" s="673">
        <f t="shared" si="1"/>
        <v>0</v>
      </c>
      <c r="J26" s="647"/>
      <c r="K26" s="648">
        <f t="shared" si="0"/>
        <v>0</v>
      </c>
    </row>
    <row r="27" spans="1:11" ht="18" customHeight="1" x14ac:dyDescent="0.3">
      <c r="A27" s="639" t="s">
        <v>81</v>
      </c>
      <c r="B27" s="742" t="s">
        <v>710</v>
      </c>
      <c r="C27" s="742"/>
      <c r="D27" s="742"/>
      <c r="E27" s="742"/>
      <c r="F27" s="646"/>
      <c r="G27" s="646"/>
      <c r="H27" s="647"/>
      <c r="I27" s="673">
        <f t="shared" si="1"/>
        <v>0</v>
      </c>
      <c r="J27" s="647"/>
      <c r="K27" s="648">
        <f t="shared" si="0"/>
        <v>0</v>
      </c>
    </row>
    <row r="28" spans="1:11" ht="18" customHeight="1" x14ac:dyDescent="0.3">
      <c r="A28" s="639" t="s">
        <v>82</v>
      </c>
      <c r="B28" s="742" t="s">
        <v>47</v>
      </c>
      <c r="C28" s="742"/>
      <c r="D28" s="742"/>
      <c r="E28" s="742"/>
      <c r="F28" s="646"/>
      <c r="G28" s="646"/>
      <c r="H28" s="647"/>
      <c r="I28" s="673">
        <f t="shared" si="1"/>
        <v>0</v>
      </c>
      <c r="J28" s="647"/>
      <c r="K28" s="648">
        <f t="shared" si="0"/>
        <v>0</v>
      </c>
    </row>
    <row r="29" spans="1:11" ht="18" customHeight="1" x14ac:dyDescent="0.3">
      <c r="A29" s="639" t="s">
        <v>83</v>
      </c>
      <c r="B29" s="742" t="s">
        <v>48</v>
      </c>
      <c r="C29" s="742"/>
      <c r="D29" s="742"/>
      <c r="E29" s="742"/>
      <c r="F29" s="646">
        <v>4160.3999999999996</v>
      </c>
      <c r="G29" s="646"/>
      <c r="H29" s="647">
        <v>96180</v>
      </c>
      <c r="I29" s="673">
        <v>24624</v>
      </c>
      <c r="J29" s="647"/>
      <c r="K29" s="648">
        <f t="shared" si="0"/>
        <v>120804</v>
      </c>
    </row>
    <row r="30" spans="1:11" ht="18" customHeight="1" x14ac:dyDescent="0.3">
      <c r="A30" s="639" t="s">
        <v>84</v>
      </c>
      <c r="B30" s="1351" t="s">
        <v>541</v>
      </c>
      <c r="C30" s="1352"/>
      <c r="D30" s="1353"/>
      <c r="E30" s="742"/>
      <c r="F30" s="646"/>
      <c r="G30" s="646"/>
      <c r="H30" s="647">
        <v>267233</v>
      </c>
      <c r="I30" s="673">
        <v>0</v>
      </c>
      <c r="J30" s="647">
        <v>267233</v>
      </c>
      <c r="K30" s="648">
        <f t="shared" si="0"/>
        <v>0</v>
      </c>
    </row>
    <row r="31" spans="1:11" ht="18" customHeight="1" x14ac:dyDescent="0.3">
      <c r="A31" s="639" t="s">
        <v>133</v>
      </c>
      <c r="B31" s="1351" t="s">
        <v>590</v>
      </c>
      <c r="C31" s="1352"/>
      <c r="D31" s="1353"/>
      <c r="E31" s="742"/>
      <c r="F31" s="646"/>
      <c r="G31" s="646"/>
      <c r="H31" s="647"/>
      <c r="I31" s="673">
        <f t="shared" si="1"/>
        <v>0</v>
      </c>
      <c r="J31" s="647"/>
      <c r="K31" s="648">
        <f t="shared" si="0"/>
        <v>0</v>
      </c>
    </row>
    <row r="32" spans="1:11" ht="18" customHeight="1" x14ac:dyDescent="0.3">
      <c r="A32" s="639" t="s">
        <v>134</v>
      </c>
      <c r="B32" s="1059" t="s">
        <v>711</v>
      </c>
      <c r="C32" s="1060"/>
      <c r="D32" s="1061"/>
      <c r="E32" s="742"/>
      <c r="F32" s="646"/>
      <c r="G32" s="675"/>
      <c r="H32" s="647">
        <v>16117</v>
      </c>
      <c r="I32" s="673">
        <v>4124</v>
      </c>
      <c r="J32" s="647">
        <v>204</v>
      </c>
      <c r="K32" s="648">
        <f t="shared" si="0"/>
        <v>20037</v>
      </c>
    </row>
    <row r="33" spans="1:11" ht="18" customHeight="1" x14ac:dyDescent="0.3">
      <c r="A33" s="639" t="s">
        <v>135</v>
      </c>
      <c r="B33" s="1059" t="s">
        <v>712</v>
      </c>
      <c r="C33" s="1060"/>
      <c r="D33" s="1061"/>
      <c r="E33" s="742"/>
      <c r="F33" s="646"/>
      <c r="G33" s="675"/>
      <c r="H33" s="647"/>
      <c r="I33" s="673">
        <f t="shared" si="1"/>
        <v>0</v>
      </c>
      <c r="J33" s="647"/>
      <c r="K33" s="648">
        <f t="shared" si="0"/>
        <v>0</v>
      </c>
    </row>
    <row r="34" spans="1:11" ht="18" customHeight="1" x14ac:dyDescent="0.3">
      <c r="A34" s="639" t="s">
        <v>136</v>
      </c>
      <c r="B34" s="1351"/>
      <c r="C34" s="1352"/>
      <c r="D34" s="1353"/>
      <c r="E34" s="742"/>
      <c r="F34" s="646"/>
      <c r="G34" s="675"/>
      <c r="H34" s="647"/>
      <c r="I34" s="673">
        <f t="shared" si="1"/>
        <v>0</v>
      </c>
      <c r="J34" s="647"/>
      <c r="K34" s="648">
        <f t="shared" si="0"/>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5170.3999999999996</v>
      </c>
      <c r="G36" s="650">
        <f t="shared" si="2"/>
        <v>20406</v>
      </c>
      <c r="H36" s="650">
        <f t="shared" si="2"/>
        <v>528435</v>
      </c>
      <c r="I36" s="648">
        <f t="shared" si="2"/>
        <v>55261</v>
      </c>
      <c r="J36" s="648">
        <f t="shared" si="2"/>
        <v>292084</v>
      </c>
      <c r="K36" s="648">
        <f t="shared" si="2"/>
        <v>291612</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c r="I40" s="673">
        <v>0</v>
      </c>
      <c r="J40" s="647"/>
      <c r="K40" s="648">
        <f t="shared" ref="K40:K47" si="3">(H40+I40)-J40</f>
        <v>0</v>
      </c>
    </row>
    <row r="41" spans="1:11" ht="18" customHeight="1" x14ac:dyDescent="0.3">
      <c r="A41" s="639" t="s">
        <v>88</v>
      </c>
      <c r="B41" s="1359" t="s">
        <v>50</v>
      </c>
      <c r="C41" s="1359"/>
      <c r="D41" s="742"/>
      <c r="E41" s="742"/>
      <c r="F41" s="646">
        <v>82.7</v>
      </c>
      <c r="G41" s="646">
        <v>264</v>
      </c>
      <c r="H41" s="647">
        <v>3271</v>
      </c>
      <c r="I41" s="673">
        <v>837</v>
      </c>
      <c r="J41" s="647">
        <v>0</v>
      </c>
      <c r="K41" s="648">
        <f t="shared" si="3"/>
        <v>4108</v>
      </c>
    </row>
    <row r="42" spans="1:11" ht="18" customHeight="1" x14ac:dyDescent="0.3">
      <c r="A42" s="639" t="s">
        <v>89</v>
      </c>
      <c r="B42" s="635" t="s">
        <v>11</v>
      </c>
      <c r="C42" s="742"/>
      <c r="D42" s="742"/>
      <c r="E42" s="742"/>
      <c r="F42" s="646"/>
      <c r="G42" s="646"/>
      <c r="H42" s="647"/>
      <c r="I42" s="673">
        <v>0</v>
      </c>
      <c r="J42" s="647"/>
      <c r="K42" s="648">
        <f t="shared" si="3"/>
        <v>0</v>
      </c>
    </row>
    <row r="43" spans="1:11" ht="18" customHeight="1" x14ac:dyDescent="0.3">
      <c r="A43" s="639" t="s">
        <v>90</v>
      </c>
      <c r="B43" s="670" t="s">
        <v>10</v>
      </c>
      <c r="C43" s="642"/>
      <c r="D43" s="642"/>
      <c r="E43" s="742"/>
      <c r="F43" s="646"/>
      <c r="G43" s="646"/>
      <c r="H43" s="647"/>
      <c r="I43" s="673">
        <v>0</v>
      </c>
      <c r="J43" s="647"/>
      <c r="K43" s="648">
        <f t="shared" si="3"/>
        <v>0</v>
      </c>
    </row>
    <row r="44" spans="1:11" ht="18" customHeight="1" x14ac:dyDescent="0.3">
      <c r="A44" s="639" t="s">
        <v>91</v>
      </c>
      <c r="B44" s="1351"/>
      <c r="C44" s="1352"/>
      <c r="D44" s="1353"/>
      <c r="E44" s="742"/>
      <c r="F44" s="677"/>
      <c r="G44" s="677"/>
      <c r="H44" s="67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82.7</v>
      </c>
      <c r="G49" s="654">
        <f t="shared" si="4"/>
        <v>264</v>
      </c>
      <c r="H49" s="648">
        <f t="shared" si="4"/>
        <v>3271</v>
      </c>
      <c r="I49" s="648">
        <f t="shared" si="4"/>
        <v>837</v>
      </c>
      <c r="J49" s="648">
        <f t="shared" si="4"/>
        <v>0</v>
      </c>
      <c r="K49" s="648">
        <f t="shared" si="4"/>
        <v>4108</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386</v>
      </c>
      <c r="C53" s="1355"/>
      <c r="D53" s="1356"/>
      <c r="E53" s="742"/>
      <c r="F53" s="646"/>
      <c r="G53" s="646"/>
      <c r="H53" s="647">
        <v>2375101</v>
      </c>
      <c r="I53" s="673">
        <v>608023</v>
      </c>
      <c r="J53" s="647">
        <v>0</v>
      </c>
      <c r="K53" s="648">
        <f t="shared" ref="K53:K62" si="5">(H53+I53)-J53</f>
        <v>2983124</v>
      </c>
    </row>
    <row r="54" spans="1:11" ht="18" customHeight="1" x14ac:dyDescent="0.3">
      <c r="A54" s="639" t="s">
        <v>93</v>
      </c>
      <c r="B54" s="1062" t="s">
        <v>591</v>
      </c>
      <c r="C54" s="1063"/>
      <c r="D54" s="1064"/>
      <c r="E54" s="742"/>
      <c r="F54" s="646"/>
      <c r="G54" s="646">
        <v>18746</v>
      </c>
      <c r="H54" s="647">
        <v>0</v>
      </c>
      <c r="I54" s="673">
        <v>314178</v>
      </c>
      <c r="J54" s="647">
        <v>0</v>
      </c>
      <c r="K54" s="648">
        <f t="shared" si="5"/>
        <v>314178</v>
      </c>
    </row>
    <row r="55" spans="1:11" ht="18" customHeight="1" x14ac:dyDescent="0.3">
      <c r="A55" s="639" t="s">
        <v>94</v>
      </c>
      <c r="B55" s="1354" t="s">
        <v>388</v>
      </c>
      <c r="C55" s="1355"/>
      <c r="D55" s="1356"/>
      <c r="E55" s="742"/>
      <c r="F55" s="646">
        <v>201</v>
      </c>
      <c r="G55" s="646">
        <v>2485</v>
      </c>
      <c r="H55" s="647">
        <v>4942</v>
      </c>
      <c r="I55" s="673">
        <v>1227</v>
      </c>
      <c r="J55" s="647">
        <v>4942</v>
      </c>
      <c r="K55" s="648">
        <f t="shared" si="5"/>
        <v>1227</v>
      </c>
    </row>
    <row r="56" spans="1:11" ht="18" customHeight="1" x14ac:dyDescent="0.3">
      <c r="A56" s="639" t="s">
        <v>95</v>
      </c>
      <c r="B56" s="1354" t="s">
        <v>713</v>
      </c>
      <c r="C56" s="1355"/>
      <c r="D56" s="1356"/>
      <c r="E56" s="742"/>
      <c r="F56" s="646"/>
      <c r="G56" s="646"/>
      <c r="H56" s="647"/>
      <c r="I56" s="673">
        <v>0</v>
      </c>
      <c r="J56" s="647"/>
      <c r="K56" s="648">
        <f t="shared" si="5"/>
        <v>0</v>
      </c>
    </row>
    <row r="57" spans="1:11" ht="18" customHeight="1" x14ac:dyDescent="0.3">
      <c r="A57" s="639" t="s">
        <v>96</v>
      </c>
      <c r="B57" s="1354"/>
      <c r="C57" s="1355"/>
      <c r="D57" s="1356"/>
      <c r="E57" s="742"/>
      <c r="F57" s="646"/>
      <c r="G57" s="646"/>
      <c r="H57" s="647"/>
      <c r="I57" s="673">
        <v>0</v>
      </c>
      <c r="J57" s="647"/>
      <c r="K57" s="648">
        <f t="shared" si="5"/>
        <v>0</v>
      </c>
    </row>
    <row r="58" spans="1:11" ht="18" customHeight="1" x14ac:dyDescent="0.3">
      <c r="A58" s="639" t="s">
        <v>97</v>
      </c>
      <c r="B58" s="1062"/>
      <c r="C58" s="1063"/>
      <c r="D58" s="1064"/>
      <c r="E58" s="742"/>
      <c r="F58" s="646"/>
      <c r="G58" s="646"/>
      <c r="H58" s="647"/>
      <c r="I58" s="673">
        <v>0</v>
      </c>
      <c r="J58" s="647"/>
      <c r="K58" s="648">
        <f t="shared" si="5"/>
        <v>0</v>
      </c>
    </row>
    <row r="59" spans="1:11" ht="18" customHeight="1" x14ac:dyDescent="0.3">
      <c r="A59" s="639" t="s">
        <v>98</v>
      </c>
      <c r="B59" s="1354"/>
      <c r="C59" s="1355"/>
      <c r="D59" s="1356"/>
      <c r="E59" s="742"/>
      <c r="F59" s="646"/>
      <c r="G59" s="646"/>
      <c r="H59" s="647"/>
      <c r="I59" s="673">
        <v>0</v>
      </c>
      <c r="J59" s="647"/>
      <c r="K59" s="648">
        <f t="shared" si="5"/>
        <v>0</v>
      </c>
    </row>
    <row r="60" spans="1:11" ht="18" customHeight="1" x14ac:dyDescent="0.3">
      <c r="A60" s="639" t="s">
        <v>99</v>
      </c>
      <c r="B60" s="1062"/>
      <c r="C60" s="1063"/>
      <c r="D60" s="1064"/>
      <c r="E60" s="742"/>
      <c r="F60" s="646"/>
      <c r="G60" s="646"/>
      <c r="H60" s="647"/>
      <c r="I60" s="673">
        <v>0</v>
      </c>
      <c r="J60" s="647"/>
      <c r="K60" s="648">
        <f t="shared" si="5"/>
        <v>0</v>
      </c>
    </row>
    <row r="61" spans="1:11" ht="18" customHeight="1" x14ac:dyDescent="0.3">
      <c r="A61" s="639" t="s">
        <v>100</v>
      </c>
      <c r="B61" s="1062"/>
      <c r="C61" s="1063"/>
      <c r="D61" s="1064"/>
      <c r="E61" s="742"/>
      <c r="F61" s="646"/>
      <c r="G61" s="646"/>
      <c r="H61" s="647"/>
      <c r="I61" s="673">
        <v>0</v>
      </c>
      <c r="J61" s="647"/>
      <c r="K61" s="648">
        <f t="shared" si="5"/>
        <v>0</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201</v>
      </c>
      <c r="G64" s="650">
        <f t="shared" si="6"/>
        <v>21231</v>
      </c>
      <c r="H64" s="648">
        <f t="shared" si="6"/>
        <v>2380043</v>
      </c>
      <c r="I64" s="648">
        <f t="shared" si="6"/>
        <v>923428</v>
      </c>
      <c r="J64" s="648">
        <f t="shared" si="6"/>
        <v>4942</v>
      </c>
      <c r="K64" s="648">
        <f t="shared" si="6"/>
        <v>3298529</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1062"/>
      <c r="C70" s="1063"/>
      <c r="D70" s="1064"/>
      <c r="E70" s="636"/>
      <c r="F70" s="658"/>
      <c r="G70" s="658"/>
      <c r="H70" s="659"/>
      <c r="I70" s="673">
        <v>0</v>
      </c>
      <c r="J70" s="659"/>
      <c r="K70" s="648">
        <f>(H70+I70)-J70</f>
        <v>0</v>
      </c>
    </row>
    <row r="71" spans="1:11" ht="18" customHeight="1" x14ac:dyDescent="0.3">
      <c r="A71" s="639" t="s">
        <v>179</v>
      </c>
      <c r="B71" s="1062"/>
      <c r="C71" s="1063"/>
      <c r="D71" s="1064"/>
      <c r="E71" s="636"/>
      <c r="F71" s="658"/>
      <c r="G71" s="658"/>
      <c r="H71" s="659"/>
      <c r="I71" s="673">
        <v>0</v>
      </c>
      <c r="J71" s="659"/>
      <c r="K71" s="648">
        <f>(H71+I71)-J71</f>
        <v>0</v>
      </c>
    </row>
    <row r="72" spans="1:11" ht="18" customHeight="1" x14ac:dyDescent="0.3">
      <c r="A72" s="639" t="s">
        <v>180</v>
      </c>
      <c r="B72" s="1077"/>
      <c r="C72" s="1076"/>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c r="I77" s="673">
        <v>0</v>
      </c>
      <c r="J77" s="647"/>
      <c r="K77" s="648">
        <f>(H77+I77)-J77</f>
        <v>0</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c r="G79" s="646"/>
      <c r="H79" s="647"/>
      <c r="I79" s="673">
        <v>0</v>
      </c>
      <c r="J79" s="647"/>
      <c r="K79" s="648">
        <f>(H79+I79)-J79</f>
        <v>0</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0</v>
      </c>
      <c r="G82" s="653">
        <f t="shared" si="8"/>
        <v>0</v>
      </c>
      <c r="H82" s="649">
        <f t="shared" si="8"/>
        <v>0</v>
      </c>
      <c r="I82" s="649">
        <f t="shared" si="8"/>
        <v>0</v>
      </c>
      <c r="J82" s="649">
        <f t="shared" si="8"/>
        <v>0</v>
      </c>
      <c r="K82" s="649">
        <f t="shared" si="8"/>
        <v>0</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639" t="s">
        <v>114</v>
      </c>
      <c r="B87" s="635" t="s">
        <v>14</v>
      </c>
      <c r="C87" s="742"/>
      <c r="D87" s="742"/>
      <c r="E87" s="742"/>
      <c r="F87" s="646"/>
      <c r="G87" s="646"/>
      <c r="H87" s="647"/>
      <c r="I87" s="673">
        <v>0</v>
      </c>
      <c r="J87" s="647"/>
      <c r="K87" s="648">
        <f t="shared" si="10"/>
        <v>0</v>
      </c>
    </row>
    <row r="88" spans="1:11" ht="18" customHeight="1" x14ac:dyDescent="0.3">
      <c r="A88" s="639" t="s">
        <v>115</v>
      </c>
      <c r="B88" s="635" t="s">
        <v>116</v>
      </c>
      <c r="C88" s="742"/>
      <c r="D88" s="742"/>
      <c r="E88" s="742"/>
      <c r="F88" s="646"/>
      <c r="G88" s="646"/>
      <c r="H88" s="647"/>
      <c r="I88" s="673">
        <f t="shared" si="9"/>
        <v>0</v>
      </c>
      <c r="J88" s="647"/>
      <c r="K88" s="648">
        <f t="shared" si="10"/>
        <v>0</v>
      </c>
    </row>
    <row r="89" spans="1:11" ht="18" customHeight="1" x14ac:dyDescent="0.3">
      <c r="A89" s="639" t="s">
        <v>117</v>
      </c>
      <c r="B89" s="635" t="s">
        <v>58</v>
      </c>
      <c r="C89" s="742"/>
      <c r="D89" s="742"/>
      <c r="E89" s="742"/>
      <c r="F89" s="646"/>
      <c r="G89" s="646"/>
      <c r="H89" s="647"/>
      <c r="I89" s="673">
        <f t="shared" si="9"/>
        <v>0</v>
      </c>
      <c r="J89" s="647"/>
      <c r="K89" s="648">
        <f t="shared" si="10"/>
        <v>0</v>
      </c>
    </row>
    <row r="90" spans="1:11" ht="18" customHeight="1" x14ac:dyDescent="0.3">
      <c r="A90" s="639" t="s">
        <v>118</v>
      </c>
      <c r="B90" s="1359" t="s">
        <v>59</v>
      </c>
      <c r="C90" s="1359"/>
      <c r="D90" s="742"/>
      <c r="E90" s="742"/>
      <c r="F90" s="646"/>
      <c r="G90" s="646"/>
      <c r="H90" s="647"/>
      <c r="I90" s="673">
        <f t="shared" si="9"/>
        <v>0</v>
      </c>
      <c r="J90" s="647"/>
      <c r="K90" s="648">
        <f t="shared" si="10"/>
        <v>0</v>
      </c>
    </row>
    <row r="91" spans="1:11" ht="18" customHeight="1" x14ac:dyDescent="0.3">
      <c r="A91" s="639" t="s">
        <v>119</v>
      </c>
      <c r="B91" s="635" t="s">
        <v>60</v>
      </c>
      <c r="C91" s="742"/>
      <c r="D91" s="742"/>
      <c r="E91" s="742"/>
      <c r="F91" s="646"/>
      <c r="G91" s="646"/>
      <c r="H91" s="647"/>
      <c r="I91" s="673">
        <f t="shared" si="9"/>
        <v>0</v>
      </c>
      <c r="J91" s="647"/>
      <c r="K91" s="648">
        <f t="shared" si="10"/>
        <v>0</v>
      </c>
    </row>
    <row r="92" spans="1:11" ht="18" customHeight="1" x14ac:dyDescent="0.3">
      <c r="A92" s="639" t="s">
        <v>120</v>
      </c>
      <c r="B92" s="635" t="s">
        <v>121</v>
      </c>
      <c r="C92" s="742"/>
      <c r="D92" s="742"/>
      <c r="E92" s="742"/>
      <c r="F92" s="661"/>
      <c r="G92" s="661"/>
      <c r="H92" s="662"/>
      <c r="I92" s="673">
        <f t="shared" si="9"/>
        <v>0</v>
      </c>
      <c r="J92" s="662"/>
      <c r="K92" s="648">
        <f t="shared" si="10"/>
        <v>0</v>
      </c>
    </row>
    <row r="93" spans="1:11" ht="18" customHeight="1" x14ac:dyDescent="0.3">
      <c r="A93" s="639" t="s">
        <v>122</v>
      </c>
      <c r="B93" s="635" t="s">
        <v>123</v>
      </c>
      <c r="C93" s="742"/>
      <c r="D93" s="742"/>
      <c r="E93" s="742"/>
      <c r="F93" s="646"/>
      <c r="G93" s="646"/>
      <c r="H93" s="647"/>
      <c r="I93" s="673">
        <f t="shared" si="9"/>
        <v>0</v>
      </c>
      <c r="J93" s="647"/>
      <c r="K93" s="648">
        <f t="shared" si="10"/>
        <v>0</v>
      </c>
    </row>
    <row r="94" spans="1:11" ht="18" customHeight="1" x14ac:dyDescent="0.3">
      <c r="A94" s="639" t="s">
        <v>124</v>
      </c>
      <c r="B94" s="1354"/>
      <c r="C94" s="1355"/>
      <c r="D94" s="1356"/>
      <c r="E94" s="742"/>
      <c r="F94" s="646"/>
      <c r="G94" s="646"/>
      <c r="H94" s="647"/>
      <c r="I94" s="673">
        <f t="shared" si="9"/>
        <v>0</v>
      </c>
      <c r="J94" s="647"/>
      <c r="K94" s="648">
        <f t="shared" si="10"/>
        <v>0</v>
      </c>
    </row>
    <row r="95" spans="1:11" ht="18" customHeight="1" x14ac:dyDescent="0.3">
      <c r="A95" s="639" t="s">
        <v>125</v>
      </c>
      <c r="B95" s="1354"/>
      <c r="C95" s="1355"/>
      <c r="D95" s="1356"/>
      <c r="E95" s="742"/>
      <c r="F95" s="646"/>
      <c r="G95" s="646"/>
      <c r="H95" s="647"/>
      <c r="I95" s="673">
        <f t="shared" si="9"/>
        <v>0</v>
      </c>
      <c r="J95" s="647"/>
      <c r="K95" s="648">
        <f t="shared" si="10"/>
        <v>0</v>
      </c>
    </row>
    <row r="96" spans="1:11" ht="18" customHeight="1" x14ac:dyDescent="0.3">
      <c r="A96" s="639" t="s">
        <v>126</v>
      </c>
      <c r="B96" s="1354"/>
      <c r="C96" s="1355"/>
      <c r="D96" s="1356"/>
      <c r="E96" s="742"/>
      <c r="F96" s="646"/>
      <c r="G96" s="646"/>
      <c r="H96" s="647"/>
      <c r="I96" s="673">
        <f t="shared" si="9"/>
        <v>0</v>
      </c>
      <c r="J96" s="647"/>
      <c r="K96" s="648">
        <f t="shared" si="10"/>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0</v>
      </c>
      <c r="G98" s="650">
        <f t="shared" si="11"/>
        <v>0</v>
      </c>
      <c r="H98" s="650">
        <f t="shared" si="11"/>
        <v>0</v>
      </c>
      <c r="I98" s="650">
        <f t="shared" si="11"/>
        <v>0</v>
      </c>
      <c r="J98" s="650">
        <f t="shared" si="11"/>
        <v>0</v>
      </c>
      <c r="K98" s="650">
        <f t="shared" si="11"/>
        <v>0</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480</v>
      </c>
      <c r="G102" s="646"/>
      <c r="H102" s="647">
        <v>33948</v>
      </c>
      <c r="I102" s="673">
        <v>8688</v>
      </c>
      <c r="J102" s="647"/>
      <c r="K102" s="648">
        <f>(H102+I102)-J102</f>
        <v>42636</v>
      </c>
    </row>
    <row r="103" spans="1:11" ht="18" customHeight="1" x14ac:dyDescent="0.3">
      <c r="A103" s="639" t="s">
        <v>132</v>
      </c>
      <c r="B103" s="1357" t="s">
        <v>62</v>
      </c>
      <c r="C103" s="1357"/>
      <c r="D103" s="742"/>
      <c r="E103" s="742"/>
      <c r="F103" s="646">
        <v>6</v>
      </c>
      <c r="G103" s="646">
        <v>4</v>
      </c>
      <c r="H103" s="647">
        <v>25332</v>
      </c>
      <c r="I103" s="673">
        <v>84</v>
      </c>
      <c r="J103" s="647">
        <v>0</v>
      </c>
      <c r="K103" s="648">
        <f>(H103+I103)-J103</f>
        <v>25416</v>
      </c>
    </row>
    <row r="104" spans="1:11" ht="18" customHeight="1" x14ac:dyDescent="0.3">
      <c r="A104" s="639" t="s">
        <v>128</v>
      </c>
      <c r="B104" s="1354" t="s">
        <v>389</v>
      </c>
      <c r="C104" s="1355"/>
      <c r="D104" s="1356"/>
      <c r="E104" s="742"/>
      <c r="F104" s="646">
        <v>0</v>
      </c>
      <c r="G104" s="646"/>
      <c r="H104" s="647">
        <v>5951</v>
      </c>
      <c r="I104" s="673">
        <v>1523</v>
      </c>
      <c r="J104" s="647">
        <v>0</v>
      </c>
      <c r="K104" s="648">
        <f>(H104+I104)-J104</f>
        <v>7474</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486</v>
      </c>
      <c r="G108" s="650">
        <f t="shared" si="12"/>
        <v>4</v>
      </c>
      <c r="H108" s="648">
        <f t="shared" si="12"/>
        <v>65231</v>
      </c>
      <c r="I108" s="648">
        <f t="shared" si="12"/>
        <v>10295</v>
      </c>
      <c r="J108" s="648">
        <f t="shared" si="12"/>
        <v>0</v>
      </c>
      <c r="K108" s="648">
        <f t="shared" si="12"/>
        <v>75526</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2819650</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v>0.25600000000000001</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81608423</v>
      </c>
      <c r="G117" s="740"/>
      <c r="H117" s="740"/>
      <c r="I117" s="740"/>
      <c r="J117" s="740"/>
      <c r="K117" s="740"/>
    </row>
    <row r="118" spans="1:11" ht="18" customHeight="1" x14ac:dyDescent="0.3">
      <c r="A118" s="639" t="s">
        <v>173</v>
      </c>
      <c r="B118" s="742" t="s">
        <v>18</v>
      </c>
      <c r="C118" s="742"/>
      <c r="D118" s="742"/>
      <c r="E118" s="742"/>
      <c r="F118" s="647">
        <v>1676035</v>
      </c>
      <c r="G118" s="740"/>
      <c r="H118" s="740"/>
      <c r="I118" s="740"/>
      <c r="J118" s="740"/>
      <c r="K118" s="740"/>
    </row>
    <row r="119" spans="1:11" ht="18" customHeight="1" x14ac:dyDescent="0.3">
      <c r="A119" s="639" t="s">
        <v>174</v>
      </c>
      <c r="B119" s="636" t="s">
        <v>19</v>
      </c>
      <c r="C119" s="742"/>
      <c r="D119" s="742"/>
      <c r="E119" s="742"/>
      <c r="F119" s="649">
        <f>SUM(F117:F118)</f>
        <v>83284458</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97124985</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v>-13840527</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8722092</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v>-5118435</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5170.3999999999996</v>
      </c>
      <c r="G141" s="664">
        <f t="shared" si="14"/>
        <v>20406</v>
      </c>
      <c r="H141" s="664">
        <f t="shared" si="14"/>
        <v>528435</v>
      </c>
      <c r="I141" s="664">
        <f t="shared" si="14"/>
        <v>55261</v>
      </c>
      <c r="J141" s="664">
        <f t="shared" si="14"/>
        <v>292084</v>
      </c>
      <c r="K141" s="664">
        <f t="shared" si="14"/>
        <v>291612</v>
      </c>
    </row>
    <row r="142" spans="1:11" ht="18" customHeight="1" x14ac:dyDescent="0.3">
      <c r="A142" s="639" t="s">
        <v>142</v>
      </c>
      <c r="B142" s="636" t="s">
        <v>65</v>
      </c>
      <c r="C142" s="742"/>
      <c r="D142" s="742"/>
      <c r="E142" s="742"/>
      <c r="F142" s="664">
        <f t="shared" ref="F142:K142" si="15">F49</f>
        <v>82.7</v>
      </c>
      <c r="G142" s="664">
        <f t="shared" si="15"/>
        <v>264</v>
      </c>
      <c r="H142" s="664">
        <f t="shared" si="15"/>
        <v>3271</v>
      </c>
      <c r="I142" s="664">
        <f t="shared" si="15"/>
        <v>837</v>
      </c>
      <c r="J142" s="664">
        <f t="shared" si="15"/>
        <v>0</v>
      </c>
      <c r="K142" s="664">
        <f t="shared" si="15"/>
        <v>4108</v>
      </c>
    </row>
    <row r="143" spans="1:11" ht="18" customHeight="1" x14ac:dyDescent="0.3">
      <c r="A143" s="639" t="s">
        <v>144</v>
      </c>
      <c r="B143" s="636" t="s">
        <v>66</v>
      </c>
      <c r="C143" s="742"/>
      <c r="D143" s="742"/>
      <c r="E143" s="742"/>
      <c r="F143" s="664">
        <f t="shared" ref="F143:K143" si="16">F64</f>
        <v>201</v>
      </c>
      <c r="G143" s="664">
        <f t="shared" si="16"/>
        <v>21231</v>
      </c>
      <c r="H143" s="664">
        <f t="shared" si="16"/>
        <v>2380043</v>
      </c>
      <c r="I143" s="664">
        <f t="shared" si="16"/>
        <v>923428</v>
      </c>
      <c r="J143" s="664">
        <f t="shared" si="16"/>
        <v>4942</v>
      </c>
      <c r="K143" s="664">
        <f t="shared" si="16"/>
        <v>3298529</v>
      </c>
    </row>
    <row r="144" spans="1:11" ht="18" customHeight="1" x14ac:dyDescent="0.3">
      <c r="A144" s="639"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639" t="s">
        <v>148</v>
      </c>
      <c r="B145" s="636" t="s">
        <v>68</v>
      </c>
      <c r="C145" s="742"/>
      <c r="D145" s="742"/>
      <c r="E145" s="742"/>
      <c r="F145" s="664">
        <f t="shared" ref="F145:K145" si="18">F82</f>
        <v>0</v>
      </c>
      <c r="G145" s="664">
        <f t="shared" si="18"/>
        <v>0</v>
      </c>
      <c r="H145" s="664">
        <f t="shared" si="18"/>
        <v>0</v>
      </c>
      <c r="I145" s="664">
        <f t="shared" si="18"/>
        <v>0</v>
      </c>
      <c r="J145" s="664">
        <f t="shared" si="18"/>
        <v>0</v>
      </c>
      <c r="K145" s="664">
        <f t="shared" si="18"/>
        <v>0</v>
      </c>
    </row>
    <row r="146" spans="1:11" ht="18" customHeight="1" x14ac:dyDescent="0.3">
      <c r="A146" s="639" t="s">
        <v>150</v>
      </c>
      <c r="B146" s="636" t="s">
        <v>69</v>
      </c>
      <c r="C146" s="742"/>
      <c r="D146" s="742"/>
      <c r="E146" s="742"/>
      <c r="F146" s="664">
        <f t="shared" ref="F146:K146" si="19">F98</f>
        <v>0</v>
      </c>
      <c r="G146" s="664">
        <f t="shared" si="19"/>
        <v>0</v>
      </c>
      <c r="H146" s="664">
        <f t="shared" si="19"/>
        <v>0</v>
      </c>
      <c r="I146" s="664">
        <f t="shared" si="19"/>
        <v>0</v>
      </c>
      <c r="J146" s="664">
        <f t="shared" si="19"/>
        <v>0</v>
      </c>
      <c r="K146" s="664">
        <f t="shared" si="19"/>
        <v>0</v>
      </c>
    </row>
    <row r="147" spans="1:11" ht="18" customHeight="1" x14ac:dyDescent="0.3">
      <c r="A147" s="639" t="s">
        <v>153</v>
      </c>
      <c r="B147" s="636" t="s">
        <v>61</v>
      </c>
      <c r="C147" s="742"/>
      <c r="D147" s="742"/>
      <c r="E147" s="742"/>
      <c r="F147" s="650">
        <f t="shared" ref="F147:K147" si="20">F108</f>
        <v>486</v>
      </c>
      <c r="G147" s="650">
        <f t="shared" si="20"/>
        <v>4</v>
      </c>
      <c r="H147" s="650">
        <f t="shared" si="20"/>
        <v>65231</v>
      </c>
      <c r="I147" s="650">
        <f t="shared" si="20"/>
        <v>10295</v>
      </c>
      <c r="J147" s="650">
        <f t="shared" si="20"/>
        <v>0</v>
      </c>
      <c r="K147" s="650">
        <f t="shared" si="20"/>
        <v>75526</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2819650</v>
      </c>
    </row>
    <row r="149" spans="1:11" ht="18" customHeight="1" x14ac:dyDescent="0.3">
      <c r="A149" s="639"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639" t="s">
        <v>185</v>
      </c>
      <c r="B150" s="636" t="s">
        <v>186</v>
      </c>
      <c r="C150" s="742"/>
      <c r="D150" s="742"/>
      <c r="E150" s="742"/>
      <c r="F150" s="665" t="s">
        <v>73</v>
      </c>
      <c r="G150" s="665" t="s">
        <v>73</v>
      </c>
      <c r="H150" s="650">
        <f>H18</f>
        <v>1810000</v>
      </c>
      <c r="I150" s="650">
        <f>I18</f>
        <v>0</v>
      </c>
      <c r="J150" s="650">
        <f>J18</f>
        <v>1529807</v>
      </c>
      <c r="K150" s="650">
        <f>K18</f>
        <v>280193</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5940.0999999999995</v>
      </c>
      <c r="G152" s="672">
        <f t="shared" si="22"/>
        <v>41905</v>
      </c>
      <c r="H152" s="672">
        <f t="shared" si="22"/>
        <v>4786980</v>
      </c>
      <c r="I152" s="672">
        <f t="shared" si="22"/>
        <v>989821</v>
      </c>
      <c r="J152" s="672">
        <f t="shared" si="22"/>
        <v>1826833</v>
      </c>
      <c r="K152" s="672">
        <f t="shared" si="22"/>
        <v>6769618</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6.9700067392545806E-2</v>
      </c>
      <c r="G154" s="742"/>
      <c r="H154" s="742"/>
      <c r="I154" s="742"/>
      <c r="J154" s="742"/>
      <c r="K154" s="742"/>
    </row>
    <row r="155" spans="1:11" ht="18" customHeight="1" x14ac:dyDescent="0.3">
      <c r="A155" s="639" t="s">
        <v>169</v>
      </c>
      <c r="B155" s="636" t="s">
        <v>72</v>
      </c>
      <c r="C155" s="742"/>
      <c r="D155" s="742"/>
      <c r="E155" s="742"/>
      <c r="F155" s="687">
        <f>K152/F127</f>
        <v>-1.322595285473001</v>
      </c>
      <c r="G155" s="636"/>
      <c r="H155" s="742"/>
      <c r="I155" s="742"/>
      <c r="J155" s="742"/>
      <c r="K155" s="742"/>
    </row>
    <row r="156" spans="1:11" ht="18" customHeight="1" x14ac:dyDescent="0.3">
      <c r="A156" s="633"/>
      <c r="B156" s="555"/>
      <c r="C156" s="555"/>
      <c r="D156" s="555"/>
      <c r="E156" s="555"/>
      <c r="F156" s="555"/>
      <c r="G156" s="556"/>
      <c r="H156" s="555"/>
      <c r="I156" s="555"/>
      <c r="J156" s="555"/>
      <c r="K156" s="555"/>
    </row>
  </sheetData>
  <sheetProtection sheet="1" objects="1" scenarios="1"/>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N255"/>
  <sheetViews>
    <sheetView showGridLines="0" zoomScale="70" zoomScaleNormal="70" zoomScaleSheetLayoutView="50" workbookViewId="0"/>
  </sheetViews>
  <sheetFormatPr defaultColWidth="9.26953125" defaultRowHeight="18" customHeight="1" x14ac:dyDescent="0.25"/>
  <cols>
    <col min="1" max="1" width="8.453125" style="940"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4" ht="18" customHeight="1" x14ac:dyDescent="0.35">
      <c r="A1" s="1630"/>
      <c r="B1" s="558"/>
      <c r="C1" s="1219"/>
      <c r="D1" s="1079"/>
      <c r="E1" s="1219"/>
      <c r="F1" s="1219"/>
      <c r="G1" s="1219"/>
      <c r="H1" s="1219"/>
      <c r="I1" s="1219"/>
      <c r="J1" s="1219"/>
      <c r="K1" s="1219"/>
      <c r="L1" s="558"/>
      <c r="M1" s="558"/>
      <c r="N1" s="558"/>
    </row>
    <row r="2" spans="1:14" ht="18" customHeight="1" x14ac:dyDescent="0.35">
      <c r="A2" s="1630"/>
      <c r="B2" s="558"/>
      <c r="C2" s="558"/>
      <c r="D2" s="1587" t="s">
        <v>700</v>
      </c>
      <c r="E2" s="1587"/>
      <c r="F2" s="1587"/>
      <c r="G2" s="1587"/>
      <c r="H2" s="1587"/>
      <c r="I2" s="558"/>
      <c r="J2" s="558"/>
      <c r="K2" s="558"/>
      <c r="L2" s="558"/>
      <c r="M2" s="558"/>
      <c r="N2" s="558"/>
    </row>
    <row r="3" spans="1:14" ht="18" customHeight="1" x14ac:dyDescent="0.35">
      <c r="A3" s="1630"/>
      <c r="B3" s="559" t="s">
        <v>0</v>
      </c>
      <c r="C3" s="558"/>
      <c r="D3" s="558"/>
      <c r="E3" s="558"/>
      <c r="F3" s="558"/>
      <c r="G3" s="558"/>
      <c r="H3" s="558"/>
      <c r="I3" s="558"/>
      <c r="J3" s="558"/>
      <c r="K3" s="558"/>
      <c r="L3" s="558"/>
      <c r="M3" s="558"/>
      <c r="N3" s="558"/>
    </row>
    <row r="4" spans="1:14" ht="18" customHeight="1" x14ac:dyDescent="0.35">
      <c r="A4" s="1630"/>
      <c r="B4" s="558"/>
      <c r="C4" s="558"/>
      <c r="D4" s="558"/>
      <c r="E4" s="558"/>
      <c r="F4" s="558"/>
      <c r="G4" s="558"/>
      <c r="H4" s="558"/>
      <c r="I4" s="558"/>
      <c r="J4" s="558"/>
      <c r="K4" s="558"/>
      <c r="L4" s="558"/>
      <c r="M4" s="558"/>
      <c r="N4" s="558"/>
    </row>
    <row r="5" spans="1:14" ht="18" customHeight="1" x14ac:dyDescent="0.35">
      <c r="A5" s="1630"/>
      <c r="B5" s="560" t="s">
        <v>40</v>
      </c>
      <c r="C5" s="1610" t="s">
        <v>652</v>
      </c>
      <c r="D5" s="1611"/>
      <c r="E5" s="1611"/>
      <c r="F5" s="1611"/>
      <c r="G5" s="1612"/>
      <c r="H5" s="558"/>
      <c r="I5" s="558"/>
      <c r="J5" s="558"/>
      <c r="K5" s="558"/>
      <c r="L5" s="558"/>
      <c r="M5" s="558"/>
      <c r="N5" s="558"/>
    </row>
    <row r="6" spans="1:14" ht="18" customHeight="1" x14ac:dyDescent="0.35">
      <c r="A6" s="1630"/>
      <c r="B6" s="560" t="s">
        <v>3</v>
      </c>
      <c r="C6" s="1613">
        <v>210058</v>
      </c>
      <c r="D6" s="1614"/>
      <c r="E6" s="1614"/>
      <c r="F6" s="1614"/>
      <c r="G6" s="1615"/>
      <c r="H6" s="558"/>
      <c r="I6" s="558"/>
      <c r="J6" s="558"/>
      <c r="K6" s="558"/>
      <c r="L6" s="558"/>
      <c r="M6" s="558"/>
      <c r="N6" s="558"/>
    </row>
    <row r="7" spans="1:14" ht="18" customHeight="1" x14ac:dyDescent="0.35">
      <c r="A7" s="1630"/>
      <c r="B7" s="560" t="s">
        <v>4</v>
      </c>
      <c r="C7" s="1616">
        <v>698</v>
      </c>
      <c r="D7" s="1617"/>
      <c r="E7" s="1617"/>
      <c r="F7" s="1617"/>
      <c r="G7" s="1618"/>
      <c r="H7" s="558"/>
      <c r="I7" s="558"/>
      <c r="J7" s="558"/>
      <c r="K7" s="558"/>
      <c r="L7" s="558"/>
      <c r="M7" s="558"/>
      <c r="N7" s="558"/>
    </row>
    <row r="8" spans="1:14" ht="18" customHeight="1" x14ac:dyDescent="0.35">
      <c r="A8" s="1630"/>
      <c r="B8" s="558"/>
      <c r="C8" s="558"/>
      <c r="D8" s="558"/>
      <c r="E8" s="558"/>
      <c r="F8" s="558"/>
      <c r="G8" s="558"/>
      <c r="H8" s="558"/>
      <c r="I8" s="558"/>
      <c r="J8" s="558"/>
      <c r="K8" s="558"/>
      <c r="L8" s="558"/>
      <c r="M8" s="558"/>
      <c r="N8" s="558"/>
    </row>
    <row r="9" spans="1:14" ht="18" customHeight="1" x14ac:dyDescent="0.35">
      <c r="A9" s="1630"/>
      <c r="B9" s="560" t="s">
        <v>1</v>
      </c>
      <c r="C9" s="1610" t="s">
        <v>852</v>
      </c>
      <c r="D9" s="1611"/>
      <c r="E9" s="1611"/>
      <c r="F9" s="1611"/>
      <c r="G9" s="1612"/>
      <c r="H9" s="558"/>
      <c r="I9" s="558"/>
      <c r="J9" s="558"/>
      <c r="K9" s="558"/>
      <c r="L9" s="558"/>
      <c r="M9" s="558"/>
      <c r="N9" s="558"/>
    </row>
    <row r="10" spans="1:14" ht="18" customHeight="1" x14ac:dyDescent="0.35">
      <c r="A10" s="1630"/>
      <c r="B10" s="560" t="s">
        <v>2</v>
      </c>
      <c r="C10" s="1619" t="s">
        <v>853</v>
      </c>
      <c r="D10" s="1620"/>
      <c r="E10" s="1620"/>
      <c r="F10" s="1620"/>
      <c r="G10" s="1621"/>
      <c r="H10" s="558"/>
      <c r="I10" s="558"/>
      <c r="J10" s="558"/>
      <c r="K10" s="558"/>
      <c r="L10" s="558"/>
      <c r="M10" s="558"/>
      <c r="N10" s="558"/>
    </row>
    <row r="11" spans="1:14" ht="18" customHeight="1" x14ac:dyDescent="0.35">
      <c r="A11" s="1630"/>
      <c r="B11" s="560" t="s">
        <v>32</v>
      </c>
      <c r="C11" s="1610" t="s">
        <v>854</v>
      </c>
      <c r="D11" s="1611"/>
      <c r="E11" s="1611"/>
      <c r="F11" s="1611"/>
      <c r="G11" s="1612"/>
      <c r="H11" s="558"/>
      <c r="I11" s="558"/>
      <c r="J11" s="558"/>
      <c r="K11" s="558"/>
      <c r="L11" s="558"/>
      <c r="M11" s="558"/>
      <c r="N11" s="558"/>
    </row>
    <row r="12" spans="1:14" ht="18" customHeight="1" x14ac:dyDescent="0.35">
      <c r="A12" s="1630"/>
      <c r="B12" s="560"/>
      <c r="C12" s="560"/>
      <c r="D12" s="560"/>
      <c r="E12" s="560"/>
      <c r="F12" s="560"/>
      <c r="G12" s="560"/>
      <c r="H12" s="558"/>
      <c r="I12" s="558"/>
      <c r="J12" s="558"/>
      <c r="K12" s="558"/>
      <c r="L12" s="558"/>
      <c r="M12" s="558"/>
      <c r="N12" s="558"/>
    </row>
    <row r="13" spans="1:14" ht="24.65" customHeight="1" x14ac:dyDescent="0.35">
      <c r="A13" s="1630"/>
      <c r="B13" s="1622"/>
      <c r="C13" s="1622"/>
      <c r="D13" s="1622"/>
      <c r="E13" s="1622"/>
      <c r="F13" s="1622"/>
      <c r="G13" s="1622"/>
      <c r="H13" s="1622"/>
      <c r="I13" s="1219"/>
      <c r="J13" s="558"/>
      <c r="K13" s="558"/>
      <c r="L13" s="558"/>
      <c r="M13" s="558"/>
      <c r="N13" s="558"/>
    </row>
    <row r="14" spans="1:14" ht="18" customHeight="1" x14ac:dyDescent="0.35">
      <c r="A14" s="1630"/>
      <c r="B14" s="561"/>
      <c r="C14" s="558"/>
      <c r="D14" s="558"/>
      <c r="E14" s="558"/>
      <c r="F14" s="558"/>
      <c r="G14" s="558"/>
      <c r="H14" s="558"/>
      <c r="I14" s="558"/>
      <c r="J14" s="558"/>
      <c r="K14" s="558"/>
      <c r="L14" s="558"/>
      <c r="M14" s="558"/>
      <c r="N14" s="558"/>
    </row>
    <row r="15" spans="1:14" ht="18" customHeight="1" x14ac:dyDescent="0.35">
      <c r="A15" s="1630"/>
      <c r="B15" s="561"/>
      <c r="C15" s="558"/>
      <c r="D15" s="558"/>
      <c r="E15" s="558"/>
      <c r="F15" s="558"/>
      <c r="G15" s="558"/>
      <c r="H15" s="558"/>
      <c r="I15" s="558"/>
      <c r="J15" s="558"/>
      <c r="K15" s="558"/>
      <c r="L15" s="558"/>
      <c r="M15" s="558"/>
      <c r="N15" s="558"/>
    </row>
    <row r="16" spans="1:14" ht="45.4" customHeight="1" x14ac:dyDescent="0.35">
      <c r="A16" s="1631" t="s">
        <v>181</v>
      </c>
      <c r="B16" s="1219"/>
      <c r="C16" s="1219"/>
      <c r="D16" s="1219"/>
      <c r="E16" s="1219"/>
      <c r="F16" s="562" t="s">
        <v>9</v>
      </c>
      <c r="G16" s="562" t="s">
        <v>37</v>
      </c>
      <c r="H16" s="562" t="s">
        <v>29</v>
      </c>
      <c r="I16" s="562" t="s">
        <v>30</v>
      </c>
      <c r="J16" s="562" t="s">
        <v>33</v>
      </c>
      <c r="K16" s="562" t="s">
        <v>34</v>
      </c>
      <c r="L16" s="558"/>
      <c r="M16" s="558"/>
      <c r="N16" s="558"/>
    </row>
    <row r="17" spans="1:14" ht="18" customHeight="1" x14ac:dyDescent="0.35">
      <c r="A17" s="1631" t="s">
        <v>184</v>
      </c>
      <c r="B17" s="559" t="s">
        <v>182</v>
      </c>
      <c r="C17" s="558"/>
      <c r="D17" s="558"/>
      <c r="E17" s="558"/>
      <c r="F17" s="558"/>
      <c r="G17" s="558"/>
      <c r="H17" s="558"/>
      <c r="I17" s="558"/>
      <c r="J17" s="558"/>
      <c r="K17" s="558"/>
      <c r="L17" s="558"/>
      <c r="M17" s="558"/>
      <c r="N17" s="558"/>
    </row>
    <row r="18" spans="1:14" ht="18" customHeight="1" x14ac:dyDescent="0.35">
      <c r="A18" s="1631" t="s">
        <v>185</v>
      </c>
      <c r="B18" s="563" t="s">
        <v>183</v>
      </c>
      <c r="C18" s="558"/>
      <c r="D18" s="558"/>
      <c r="E18" s="558"/>
      <c r="F18" s="564" t="s">
        <v>73</v>
      </c>
      <c r="G18" s="564" t="s">
        <v>73</v>
      </c>
      <c r="H18" s="565">
        <v>2739966.9077848075</v>
      </c>
      <c r="I18" s="566">
        <v>0</v>
      </c>
      <c r="J18" s="565">
        <v>2315812.7153695575</v>
      </c>
      <c r="K18" s="567">
        <f>(H18+I18)-J18</f>
        <v>424154.19241525</v>
      </c>
      <c r="L18" s="558"/>
      <c r="M18" s="558"/>
      <c r="N18" s="558"/>
    </row>
    <row r="19" spans="1:14" ht="45.4" customHeight="1" x14ac:dyDescent="0.35">
      <c r="A19" s="1631" t="s">
        <v>8</v>
      </c>
      <c r="B19" s="1219"/>
      <c r="C19" s="1219"/>
      <c r="D19" s="1219"/>
      <c r="E19" s="1219"/>
      <c r="F19" s="562" t="s">
        <v>9</v>
      </c>
      <c r="G19" s="562" t="s">
        <v>37</v>
      </c>
      <c r="H19" s="562" t="s">
        <v>29</v>
      </c>
      <c r="I19" s="562" t="s">
        <v>30</v>
      </c>
      <c r="J19" s="562" t="s">
        <v>33</v>
      </c>
      <c r="K19" s="562" t="s">
        <v>34</v>
      </c>
      <c r="L19" s="558"/>
      <c r="M19" s="558"/>
      <c r="N19" s="558"/>
    </row>
    <row r="20" spans="1:14" ht="18" customHeight="1" x14ac:dyDescent="0.35">
      <c r="A20" s="1631" t="s">
        <v>74</v>
      </c>
      <c r="B20" s="559" t="s">
        <v>41</v>
      </c>
      <c r="C20" s="558"/>
      <c r="D20" s="558"/>
      <c r="E20" s="558"/>
      <c r="F20" s="558"/>
      <c r="G20" s="558"/>
      <c r="H20" s="558"/>
      <c r="I20" s="558"/>
      <c r="J20" s="558"/>
      <c r="K20" s="558"/>
      <c r="L20" s="558"/>
      <c r="M20" s="558"/>
      <c r="N20" s="558"/>
    </row>
    <row r="21" spans="1:14" ht="18" customHeight="1" x14ac:dyDescent="0.35">
      <c r="A21" s="1631" t="s">
        <v>75</v>
      </c>
      <c r="B21" s="563" t="s">
        <v>42</v>
      </c>
      <c r="C21" s="558"/>
      <c r="D21" s="558"/>
      <c r="E21" s="558"/>
      <c r="F21" s="568">
        <v>90</v>
      </c>
      <c r="G21" s="568">
        <v>18</v>
      </c>
      <c r="H21" s="569">
        <v>4534</v>
      </c>
      <c r="I21" s="570">
        <f t="shared" ref="I21:I34" si="0">H21*F$114</f>
        <v>1645.1431551828221</v>
      </c>
      <c r="J21" s="569"/>
      <c r="K21" s="571">
        <f t="shared" ref="K21:K34" si="1">(H21+I21)-J21</f>
        <v>6179.1431551828218</v>
      </c>
      <c r="L21" s="558"/>
      <c r="M21" s="558"/>
      <c r="N21" s="558" t="s">
        <v>85</v>
      </c>
    </row>
    <row r="22" spans="1:14" ht="18" customHeight="1" x14ac:dyDescent="0.35">
      <c r="A22" s="1631" t="s">
        <v>76</v>
      </c>
      <c r="B22" s="558" t="s">
        <v>6</v>
      </c>
      <c r="C22" s="558"/>
      <c r="D22" s="558"/>
      <c r="E22" s="558"/>
      <c r="F22" s="568">
        <v>571</v>
      </c>
      <c r="G22" s="568">
        <v>1197</v>
      </c>
      <c r="H22" s="569">
        <v>36604</v>
      </c>
      <c r="I22" s="570">
        <f t="shared" si="0"/>
        <v>13281.610068882228</v>
      </c>
      <c r="J22" s="569"/>
      <c r="K22" s="571">
        <f t="shared" si="1"/>
        <v>49885.610068882226</v>
      </c>
      <c r="L22" s="558"/>
      <c r="M22" s="558"/>
      <c r="N22" s="558"/>
    </row>
    <row r="23" spans="1:14" ht="18" customHeight="1" x14ac:dyDescent="0.35">
      <c r="A23" s="1631" t="s">
        <v>77</v>
      </c>
      <c r="B23" s="558" t="s">
        <v>43</v>
      </c>
      <c r="C23" s="558"/>
      <c r="D23" s="558"/>
      <c r="E23" s="558"/>
      <c r="F23" s="568"/>
      <c r="G23" s="568"/>
      <c r="H23" s="569"/>
      <c r="I23" s="570">
        <f t="shared" si="0"/>
        <v>0</v>
      </c>
      <c r="J23" s="569"/>
      <c r="K23" s="571">
        <f t="shared" si="1"/>
        <v>0</v>
      </c>
      <c r="L23" s="558"/>
      <c r="M23" s="558"/>
      <c r="N23" s="558"/>
    </row>
    <row r="24" spans="1:14" ht="18" customHeight="1" x14ac:dyDescent="0.35">
      <c r="A24" s="1631" t="s">
        <v>78</v>
      </c>
      <c r="B24" s="558" t="s">
        <v>44</v>
      </c>
      <c r="C24" s="558"/>
      <c r="D24" s="558"/>
      <c r="E24" s="558"/>
      <c r="F24" s="568"/>
      <c r="G24" s="568"/>
      <c r="H24" s="569"/>
      <c r="I24" s="570">
        <f t="shared" si="0"/>
        <v>0</v>
      </c>
      <c r="J24" s="569"/>
      <c r="K24" s="571">
        <f t="shared" si="1"/>
        <v>0</v>
      </c>
      <c r="L24" s="558"/>
      <c r="M24" s="558"/>
      <c r="N24" s="558"/>
    </row>
    <row r="25" spans="1:14" ht="18" customHeight="1" x14ac:dyDescent="0.35">
      <c r="A25" s="1631" t="s">
        <v>79</v>
      </c>
      <c r="B25" s="558" t="s">
        <v>5</v>
      </c>
      <c r="C25" s="558"/>
      <c r="D25" s="558"/>
      <c r="E25" s="558"/>
      <c r="F25" s="568"/>
      <c r="G25" s="568"/>
      <c r="H25" s="569"/>
      <c r="I25" s="570">
        <f t="shared" si="0"/>
        <v>0</v>
      </c>
      <c r="J25" s="569"/>
      <c r="K25" s="571">
        <f t="shared" si="1"/>
        <v>0</v>
      </c>
      <c r="L25" s="558"/>
      <c r="M25" s="558"/>
      <c r="N25" s="558"/>
    </row>
    <row r="26" spans="1:14" ht="18" customHeight="1" x14ac:dyDescent="0.35">
      <c r="A26" s="1631" t="s">
        <v>80</v>
      </c>
      <c r="B26" s="558" t="s">
        <v>45</v>
      </c>
      <c r="C26" s="558"/>
      <c r="D26" s="558"/>
      <c r="E26" s="558"/>
      <c r="F26" s="568"/>
      <c r="G26" s="568"/>
      <c r="H26" s="569"/>
      <c r="I26" s="570">
        <f t="shared" si="0"/>
        <v>0</v>
      </c>
      <c r="J26" s="569"/>
      <c r="K26" s="571">
        <f t="shared" si="1"/>
        <v>0</v>
      </c>
      <c r="L26" s="558"/>
      <c r="M26" s="558"/>
      <c r="N26" s="558"/>
    </row>
    <row r="27" spans="1:14" ht="18" customHeight="1" x14ac:dyDescent="0.35">
      <c r="A27" s="1631" t="s">
        <v>81</v>
      </c>
      <c r="B27" s="558" t="s">
        <v>46</v>
      </c>
      <c r="C27" s="558"/>
      <c r="D27" s="558"/>
      <c r="E27" s="558"/>
      <c r="F27" s="568"/>
      <c r="G27" s="568"/>
      <c r="H27" s="569"/>
      <c r="I27" s="570">
        <f t="shared" si="0"/>
        <v>0</v>
      </c>
      <c r="J27" s="569"/>
      <c r="K27" s="571">
        <f t="shared" si="1"/>
        <v>0</v>
      </c>
      <c r="L27" s="558"/>
      <c r="M27" s="558"/>
      <c r="N27" s="558"/>
    </row>
    <row r="28" spans="1:14" ht="18" customHeight="1" x14ac:dyDescent="0.35">
      <c r="A28" s="1631" t="s">
        <v>82</v>
      </c>
      <c r="B28" s="558" t="s">
        <v>47</v>
      </c>
      <c r="C28" s="558"/>
      <c r="D28" s="558"/>
      <c r="E28" s="558"/>
      <c r="F28" s="568"/>
      <c r="G28" s="568"/>
      <c r="H28" s="569"/>
      <c r="I28" s="570">
        <f t="shared" si="0"/>
        <v>0</v>
      </c>
      <c r="J28" s="569"/>
      <c r="K28" s="571">
        <f t="shared" si="1"/>
        <v>0</v>
      </c>
      <c r="L28" s="558"/>
      <c r="M28" s="558"/>
      <c r="N28" s="558"/>
    </row>
    <row r="29" spans="1:14" ht="18" customHeight="1" x14ac:dyDescent="0.35">
      <c r="A29" s="1631" t="s">
        <v>83</v>
      </c>
      <c r="B29" s="558" t="s">
        <v>48</v>
      </c>
      <c r="C29" s="558"/>
      <c r="D29" s="558"/>
      <c r="E29" s="558"/>
      <c r="F29" s="568"/>
      <c r="G29" s="568"/>
      <c r="H29" s="569"/>
      <c r="I29" s="570">
        <f t="shared" si="0"/>
        <v>0</v>
      </c>
      <c r="J29" s="569"/>
      <c r="K29" s="571">
        <f t="shared" si="1"/>
        <v>0</v>
      </c>
      <c r="L29" s="558"/>
      <c r="M29" s="558"/>
      <c r="N29" s="558"/>
    </row>
    <row r="30" spans="1:14" ht="18" customHeight="1" x14ac:dyDescent="0.35">
      <c r="A30" s="1631" t="s">
        <v>84</v>
      </c>
      <c r="B30" s="1601" t="s">
        <v>855</v>
      </c>
      <c r="C30" s="1602"/>
      <c r="D30" s="1603"/>
      <c r="E30" s="558"/>
      <c r="F30" s="568">
        <v>1</v>
      </c>
      <c r="G30" s="568">
        <v>300</v>
      </c>
      <c r="H30" s="569">
        <v>550</v>
      </c>
      <c r="I30" s="570">
        <f t="shared" si="0"/>
        <v>199.56522614701194</v>
      </c>
      <c r="J30" s="569"/>
      <c r="K30" s="571">
        <f t="shared" si="1"/>
        <v>749.56522614701191</v>
      </c>
      <c r="L30" s="558"/>
      <c r="M30" s="558"/>
      <c r="N30" s="558"/>
    </row>
    <row r="31" spans="1:14" ht="18" customHeight="1" x14ac:dyDescent="0.35">
      <c r="A31" s="1631" t="s">
        <v>133</v>
      </c>
      <c r="B31" s="1601" t="s">
        <v>534</v>
      </c>
      <c r="C31" s="1602"/>
      <c r="D31" s="1603"/>
      <c r="E31" s="558"/>
      <c r="F31" s="568">
        <v>40</v>
      </c>
      <c r="G31" s="568">
        <v>246</v>
      </c>
      <c r="H31" s="569">
        <v>1935</v>
      </c>
      <c r="I31" s="570">
        <f t="shared" si="0"/>
        <v>702.10675017176027</v>
      </c>
      <c r="J31" s="569"/>
      <c r="K31" s="571">
        <f t="shared" si="1"/>
        <v>2637.1067501717603</v>
      </c>
      <c r="L31" s="558"/>
      <c r="M31" s="558"/>
      <c r="N31" s="558"/>
    </row>
    <row r="32" spans="1:14" ht="18" customHeight="1" x14ac:dyDescent="0.35">
      <c r="A32" s="1631" t="s">
        <v>134</v>
      </c>
      <c r="B32" s="1080"/>
      <c r="C32" s="1081"/>
      <c r="D32" s="1082"/>
      <c r="E32" s="558"/>
      <c r="F32" s="568"/>
      <c r="G32" s="572"/>
      <c r="H32" s="569"/>
      <c r="I32" s="570">
        <f t="shared" si="0"/>
        <v>0</v>
      </c>
      <c r="J32" s="569"/>
      <c r="K32" s="571">
        <f t="shared" si="1"/>
        <v>0</v>
      </c>
      <c r="L32" s="558"/>
      <c r="M32" s="558"/>
      <c r="N32" s="558"/>
    </row>
    <row r="33" spans="1:14" ht="18" customHeight="1" x14ac:dyDescent="0.35">
      <c r="A33" s="1631" t="s">
        <v>135</v>
      </c>
      <c r="B33" s="1080"/>
      <c r="C33" s="1081"/>
      <c r="D33" s="1082"/>
      <c r="E33" s="558"/>
      <c r="F33" s="568"/>
      <c r="G33" s="572"/>
      <c r="H33" s="569"/>
      <c r="I33" s="570">
        <f t="shared" si="0"/>
        <v>0</v>
      </c>
      <c r="J33" s="569"/>
      <c r="K33" s="571">
        <f t="shared" si="1"/>
        <v>0</v>
      </c>
      <c r="L33" s="558"/>
      <c r="M33" s="558"/>
      <c r="N33" s="558"/>
    </row>
    <row r="34" spans="1:14" ht="18" customHeight="1" x14ac:dyDescent="0.35">
      <c r="A34" s="1631" t="s">
        <v>136</v>
      </c>
      <c r="B34" s="1601"/>
      <c r="C34" s="1602"/>
      <c r="D34" s="1603"/>
      <c r="E34" s="558"/>
      <c r="F34" s="568"/>
      <c r="G34" s="572"/>
      <c r="H34" s="569"/>
      <c r="I34" s="570">
        <f t="shared" si="0"/>
        <v>0</v>
      </c>
      <c r="J34" s="569"/>
      <c r="K34" s="571">
        <f t="shared" si="1"/>
        <v>0</v>
      </c>
      <c r="L34" s="558"/>
      <c r="M34" s="558"/>
      <c r="N34" s="558"/>
    </row>
    <row r="35" spans="1:14" ht="18" customHeight="1" x14ac:dyDescent="0.35">
      <c r="A35" s="1630"/>
      <c r="B35" s="558"/>
      <c r="C35" s="558"/>
      <c r="D35" s="558"/>
      <c r="E35" s="558"/>
      <c r="F35" s="558"/>
      <c r="G35" s="558"/>
      <c r="H35" s="558"/>
      <c r="I35" s="558"/>
      <c r="J35" s="558"/>
      <c r="K35" s="573"/>
      <c r="L35" s="558"/>
      <c r="M35" s="558"/>
      <c r="N35" s="558"/>
    </row>
    <row r="36" spans="1:14" ht="18" customHeight="1" x14ac:dyDescent="0.35">
      <c r="A36" s="1631" t="s">
        <v>137</v>
      </c>
      <c r="B36" s="559" t="s">
        <v>138</v>
      </c>
      <c r="C36" s="558"/>
      <c r="D36" s="558"/>
      <c r="E36" s="559" t="s">
        <v>7</v>
      </c>
      <c r="F36" s="574">
        <f t="shared" ref="F36:K36" si="2">SUM(F21:F34)</f>
        <v>702</v>
      </c>
      <c r="G36" s="574">
        <f t="shared" si="2"/>
        <v>1761</v>
      </c>
      <c r="H36" s="575">
        <f t="shared" si="2"/>
        <v>43623</v>
      </c>
      <c r="I36" s="571">
        <f t="shared" si="2"/>
        <v>15828.425200383823</v>
      </c>
      <c r="J36" s="571">
        <f t="shared" si="2"/>
        <v>0</v>
      </c>
      <c r="K36" s="571">
        <f t="shared" si="2"/>
        <v>59451.425200383819</v>
      </c>
      <c r="L36" s="558"/>
      <c r="M36" s="558"/>
      <c r="N36" s="558"/>
    </row>
    <row r="37" spans="1:14" ht="18" customHeight="1" thickBot="1" x14ac:dyDescent="0.4">
      <c r="A37" s="1630"/>
      <c r="B37" s="559"/>
      <c r="C37" s="558"/>
      <c r="D37" s="558"/>
      <c r="E37" s="558"/>
      <c r="F37" s="576"/>
      <c r="G37" s="576"/>
      <c r="H37" s="577"/>
      <c r="I37" s="577"/>
      <c r="J37" s="577"/>
      <c r="K37" s="578"/>
      <c r="L37" s="558"/>
      <c r="M37" s="558"/>
      <c r="N37" s="558"/>
    </row>
    <row r="38" spans="1:14" ht="42.75" customHeight="1" x14ac:dyDescent="0.35">
      <c r="A38" s="1630"/>
      <c r="B38" s="558"/>
      <c r="C38" s="558"/>
      <c r="D38" s="558"/>
      <c r="E38" s="558"/>
      <c r="F38" s="562" t="s">
        <v>9</v>
      </c>
      <c r="G38" s="562" t="s">
        <v>37</v>
      </c>
      <c r="H38" s="562" t="s">
        <v>29</v>
      </c>
      <c r="I38" s="562" t="s">
        <v>30</v>
      </c>
      <c r="J38" s="562" t="s">
        <v>33</v>
      </c>
      <c r="K38" s="562" t="s">
        <v>34</v>
      </c>
      <c r="L38" s="558"/>
      <c r="M38" s="558"/>
      <c r="N38" s="558"/>
    </row>
    <row r="39" spans="1:14" ht="18.75" customHeight="1" x14ac:dyDescent="0.35">
      <c r="A39" s="1631" t="s">
        <v>86</v>
      </c>
      <c r="B39" s="559" t="s">
        <v>49</v>
      </c>
      <c r="C39" s="558"/>
      <c r="D39" s="558"/>
      <c r="E39" s="558"/>
      <c r="F39" s="558"/>
      <c r="G39" s="558"/>
      <c r="H39" s="558"/>
      <c r="I39" s="558"/>
      <c r="J39" s="558"/>
      <c r="K39" s="558"/>
      <c r="L39" s="558"/>
      <c r="M39" s="558"/>
      <c r="N39" s="558"/>
    </row>
    <row r="40" spans="1:14" ht="18" customHeight="1" x14ac:dyDescent="0.35">
      <c r="A40" s="1631" t="s">
        <v>87</v>
      </c>
      <c r="B40" s="558" t="s">
        <v>31</v>
      </c>
      <c r="C40" s="558"/>
      <c r="D40" s="558"/>
      <c r="E40" s="558"/>
      <c r="F40" s="564">
        <v>63501.407841638145</v>
      </c>
      <c r="G40" s="564"/>
      <c r="H40" s="565">
        <v>3901174.2492000014</v>
      </c>
      <c r="I40" s="566">
        <f t="shared" ref="I40:I42" si="3">H40*F$114</f>
        <v>1415524.9477827232</v>
      </c>
      <c r="J40" s="565"/>
      <c r="K40" s="567">
        <f t="shared" ref="K40:K47" si="4">(H40+I40)-J40</f>
        <v>5316699.1969827246</v>
      </c>
      <c r="L40" s="558"/>
      <c r="M40" s="558"/>
      <c r="N40" s="558"/>
    </row>
    <row r="41" spans="1:14" ht="18" customHeight="1" x14ac:dyDescent="0.35">
      <c r="A41" s="1631" t="s">
        <v>88</v>
      </c>
      <c r="B41" s="1608" t="s">
        <v>50</v>
      </c>
      <c r="C41" s="1608"/>
      <c r="D41" s="558"/>
      <c r="E41" s="558"/>
      <c r="F41" s="568">
        <v>7368</v>
      </c>
      <c r="G41" s="568">
        <v>87</v>
      </c>
      <c r="H41" s="569">
        <v>356408</v>
      </c>
      <c r="I41" s="570">
        <f t="shared" si="3"/>
        <v>129321.16931018952</v>
      </c>
      <c r="J41" s="569"/>
      <c r="K41" s="571">
        <f t="shared" si="4"/>
        <v>485729.16931018955</v>
      </c>
      <c r="L41" s="558"/>
      <c r="M41" s="558"/>
      <c r="N41" s="558"/>
    </row>
    <row r="42" spans="1:14" ht="18" customHeight="1" x14ac:dyDescent="0.35">
      <c r="A42" s="1631" t="s">
        <v>89</v>
      </c>
      <c r="B42" s="563" t="s">
        <v>11</v>
      </c>
      <c r="C42" s="558"/>
      <c r="D42" s="558"/>
      <c r="E42" s="558"/>
      <c r="F42" s="568">
        <v>13742</v>
      </c>
      <c r="G42" s="568">
        <v>258</v>
      </c>
      <c r="H42" s="569">
        <v>730428</v>
      </c>
      <c r="I42" s="570">
        <f t="shared" si="3"/>
        <v>265032.78000747209</v>
      </c>
      <c r="J42" s="569"/>
      <c r="K42" s="571">
        <f t="shared" si="4"/>
        <v>995460.78000747203</v>
      </c>
      <c r="L42" s="558"/>
      <c r="M42" s="558"/>
      <c r="N42" s="558"/>
    </row>
    <row r="43" spans="1:14" ht="18" customHeight="1" x14ac:dyDescent="0.35">
      <c r="A43" s="1631" t="s">
        <v>90</v>
      </c>
      <c r="B43" s="579" t="s">
        <v>10</v>
      </c>
      <c r="C43" s="580"/>
      <c r="D43" s="580"/>
      <c r="E43" s="558"/>
      <c r="F43" s="568"/>
      <c r="G43" s="568"/>
      <c r="H43" s="569"/>
      <c r="I43" s="570">
        <v>0</v>
      </c>
      <c r="J43" s="569"/>
      <c r="K43" s="571">
        <f t="shared" si="4"/>
        <v>0</v>
      </c>
      <c r="L43" s="558"/>
      <c r="M43" s="558"/>
      <c r="N43" s="558"/>
    </row>
    <row r="44" spans="1:14" ht="18" customHeight="1" x14ac:dyDescent="0.35">
      <c r="A44" s="1631" t="s">
        <v>91</v>
      </c>
      <c r="B44" s="1601" t="s">
        <v>535</v>
      </c>
      <c r="C44" s="1602"/>
      <c r="D44" s="1603"/>
      <c r="E44" s="558"/>
      <c r="F44" s="564">
        <v>738</v>
      </c>
      <c r="G44" s="564">
        <v>40</v>
      </c>
      <c r="H44" s="581">
        <v>35721</v>
      </c>
      <c r="I44" s="570">
        <f t="shared" ref="I44:I45" si="5">H44*F$114</f>
        <v>12961.217169449843</v>
      </c>
      <c r="J44" s="564"/>
      <c r="K44" s="582">
        <f t="shared" si="4"/>
        <v>48682.217169449839</v>
      </c>
      <c r="L44" s="558"/>
      <c r="M44" s="558"/>
      <c r="N44" s="558" t="s">
        <v>85</v>
      </c>
    </row>
    <row r="45" spans="1:14" ht="18" customHeight="1" x14ac:dyDescent="0.35">
      <c r="A45" s="1631" t="s">
        <v>139</v>
      </c>
      <c r="B45" s="1601" t="s">
        <v>446</v>
      </c>
      <c r="C45" s="1602"/>
      <c r="D45" s="1603"/>
      <c r="E45" s="558"/>
      <c r="F45" s="568">
        <v>3360</v>
      </c>
      <c r="G45" s="568">
        <v>24</v>
      </c>
      <c r="H45" s="569">
        <v>136199</v>
      </c>
      <c r="I45" s="570">
        <f t="shared" si="5"/>
        <v>49419.244065448875</v>
      </c>
      <c r="J45" s="569"/>
      <c r="K45" s="571">
        <f t="shared" si="4"/>
        <v>185618.24406544887</v>
      </c>
      <c r="L45" s="558"/>
      <c r="M45" s="558"/>
      <c r="N45" s="558"/>
    </row>
    <row r="46" spans="1:14" ht="18" customHeight="1" x14ac:dyDescent="0.35">
      <c r="A46" s="1631" t="s">
        <v>140</v>
      </c>
      <c r="B46" s="1601"/>
      <c r="C46" s="1602"/>
      <c r="D46" s="1603"/>
      <c r="E46" s="558"/>
      <c r="F46" s="568"/>
      <c r="G46" s="568"/>
      <c r="H46" s="569"/>
      <c r="I46" s="570">
        <v>0</v>
      </c>
      <c r="J46" s="569"/>
      <c r="K46" s="571">
        <f t="shared" si="4"/>
        <v>0</v>
      </c>
      <c r="L46" s="558"/>
      <c r="M46" s="558"/>
      <c r="N46" s="558"/>
    </row>
    <row r="47" spans="1:14" ht="18" customHeight="1" x14ac:dyDescent="0.35">
      <c r="A47" s="1631" t="s">
        <v>141</v>
      </c>
      <c r="B47" s="1601"/>
      <c r="C47" s="1602"/>
      <c r="D47" s="1603"/>
      <c r="E47" s="558"/>
      <c r="F47" s="568"/>
      <c r="G47" s="568"/>
      <c r="H47" s="569"/>
      <c r="I47" s="570">
        <v>0</v>
      </c>
      <c r="J47" s="569"/>
      <c r="K47" s="571">
        <f t="shared" si="4"/>
        <v>0</v>
      </c>
      <c r="L47" s="558"/>
      <c r="M47" s="558"/>
      <c r="N47" s="558"/>
    </row>
    <row r="48" spans="1:14" ht="18" customHeight="1" x14ac:dyDescent="0.35">
      <c r="A48" s="1630"/>
      <c r="B48" s="558"/>
      <c r="C48" s="558"/>
      <c r="D48" s="558"/>
      <c r="E48" s="558"/>
      <c r="F48" s="558"/>
      <c r="G48" s="558"/>
      <c r="H48" s="558"/>
      <c r="I48" s="558"/>
      <c r="J48" s="558"/>
      <c r="K48" s="558"/>
      <c r="L48" s="558"/>
      <c r="M48" s="558"/>
      <c r="N48" s="558"/>
    </row>
    <row r="49" spans="1:14" ht="18" customHeight="1" x14ac:dyDescent="0.35">
      <c r="A49" s="1631" t="s">
        <v>142</v>
      </c>
      <c r="B49" s="559" t="s">
        <v>143</v>
      </c>
      <c r="C49" s="558"/>
      <c r="D49" s="558"/>
      <c r="E49" s="559" t="s">
        <v>7</v>
      </c>
      <c r="F49" s="583">
        <f t="shared" ref="F49:K49" si="6">SUM(F40:F47)</f>
        <v>88709.407841638138</v>
      </c>
      <c r="G49" s="584">
        <f t="shared" si="6"/>
        <v>409</v>
      </c>
      <c r="H49" s="571">
        <f t="shared" si="6"/>
        <v>5159930.2492000014</v>
      </c>
      <c r="I49" s="571">
        <f t="shared" si="6"/>
        <v>1872259.3583352836</v>
      </c>
      <c r="J49" s="571">
        <f t="shared" si="6"/>
        <v>0</v>
      </c>
      <c r="K49" s="571">
        <f t="shared" si="6"/>
        <v>7032189.6075352849</v>
      </c>
      <c r="L49" s="558"/>
      <c r="M49" s="558"/>
      <c r="N49" s="558"/>
    </row>
    <row r="50" spans="1:14" ht="18" customHeight="1" thickBot="1" x14ac:dyDescent="0.4">
      <c r="A50" s="1630"/>
      <c r="B50" s="558"/>
      <c r="C50" s="558"/>
      <c r="D50" s="558"/>
      <c r="E50" s="558"/>
      <c r="F50" s="585"/>
      <c r="G50" s="585"/>
      <c r="H50" s="585"/>
      <c r="I50" s="585"/>
      <c r="J50" s="585"/>
      <c r="K50" s="585"/>
      <c r="L50" s="558"/>
      <c r="M50" s="558"/>
      <c r="N50" s="558"/>
    </row>
    <row r="51" spans="1:14" ht="42.75" customHeight="1" x14ac:dyDescent="0.35">
      <c r="A51" s="1630"/>
      <c r="B51" s="558"/>
      <c r="C51" s="558"/>
      <c r="D51" s="558"/>
      <c r="E51" s="558"/>
      <c r="F51" s="562" t="s">
        <v>9</v>
      </c>
      <c r="G51" s="562" t="s">
        <v>37</v>
      </c>
      <c r="H51" s="562" t="s">
        <v>29</v>
      </c>
      <c r="I51" s="562" t="s">
        <v>30</v>
      </c>
      <c r="J51" s="562" t="s">
        <v>33</v>
      </c>
      <c r="K51" s="562" t="s">
        <v>34</v>
      </c>
      <c r="L51" s="558"/>
      <c r="M51" s="558"/>
      <c r="N51" s="558"/>
    </row>
    <row r="52" spans="1:14" ht="18" customHeight="1" x14ac:dyDescent="0.35">
      <c r="A52" s="1631" t="s">
        <v>92</v>
      </c>
      <c r="B52" s="1609" t="s">
        <v>38</v>
      </c>
      <c r="C52" s="1609"/>
      <c r="D52" s="558"/>
      <c r="E52" s="558"/>
      <c r="F52" s="558"/>
      <c r="G52" s="558"/>
      <c r="H52" s="558"/>
      <c r="I52" s="558"/>
      <c r="J52" s="558"/>
      <c r="K52" s="558"/>
      <c r="L52" s="558"/>
      <c r="M52" s="558"/>
      <c r="N52" s="558"/>
    </row>
    <row r="53" spans="1:14" ht="18" customHeight="1" x14ac:dyDescent="0.35">
      <c r="A53" s="1631" t="s">
        <v>51</v>
      </c>
      <c r="B53" s="1604" t="s">
        <v>856</v>
      </c>
      <c r="C53" s="1605"/>
      <c r="D53" s="1606"/>
      <c r="E53" s="558"/>
      <c r="F53" s="568">
        <v>115</v>
      </c>
      <c r="G53" s="568">
        <v>275</v>
      </c>
      <c r="H53" s="569">
        <v>5635</v>
      </c>
      <c r="I53" s="570">
        <f t="shared" ref="I53:I57" si="7">H53*F$114</f>
        <v>2044.6364533425678</v>
      </c>
      <c r="J53" s="569"/>
      <c r="K53" s="571">
        <f t="shared" ref="K53:K62" si="8">(H53+I53)-J53</f>
        <v>7679.6364533425676</v>
      </c>
      <c r="L53" s="558"/>
      <c r="M53" s="558"/>
      <c r="N53" s="558"/>
    </row>
    <row r="54" spans="1:14" ht="18" customHeight="1" x14ac:dyDescent="0.35">
      <c r="A54" s="1631" t="s">
        <v>93</v>
      </c>
      <c r="B54" s="1083" t="s">
        <v>857</v>
      </c>
      <c r="C54" s="1084"/>
      <c r="D54" s="1085"/>
      <c r="E54" s="558"/>
      <c r="F54" s="568">
        <v>200</v>
      </c>
      <c r="G54" s="568">
        <v>120</v>
      </c>
      <c r="H54" s="569">
        <v>15258</v>
      </c>
      <c r="I54" s="570">
        <f t="shared" si="7"/>
        <v>5536.3022191838336</v>
      </c>
      <c r="J54" s="569"/>
      <c r="K54" s="571">
        <f t="shared" si="8"/>
        <v>20794.302219183832</v>
      </c>
      <c r="L54" s="558"/>
      <c r="M54" s="558"/>
      <c r="N54" s="558"/>
    </row>
    <row r="55" spans="1:14" ht="18" customHeight="1" x14ac:dyDescent="0.35">
      <c r="A55" s="1631" t="s">
        <v>94</v>
      </c>
      <c r="B55" s="1604" t="s">
        <v>475</v>
      </c>
      <c r="C55" s="1605"/>
      <c r="D55" s="1606"/>
      <c r="E55" s="558"/>
      <c r="F55" s="568">
        <v>94</v>
      </c>
      <c r="G55" s="568">
        <v>11</v>
      </c>
      <c r="H55" s="569">
        <v>4657</v>
      </c>
      <c r="I55" s="570">
        <f t="shared" si="7"/>
        <v>1689.7731966666086</v>
      </c>
      <c r="J55" s="569"/>
      <c r="K55" s="571">
        <f t="shared" si="8"/>
        <v>6346.7731966666088</v>
      </c>
      <c r="L55" s="558"/>
      <c r="M55" s="558"/>
      <c r="N55" s="558"/>
    </row>
    <row r="56" spans="1:14" ht="18" customHeight="1" x14ac:dyDescent="0.35">
      <c r="A56" s="1631" t="s">
        <v>95</v>
      </c>
      <c r="B56" s="1604" t="s">
        <v>858</v>
      </c>
      <c r="C56" s="1605"/>
      <c r="D56" s="1606"/>
      <c r="E56" s="558"/>
      <c r="F56" s="568">
        <v>272</v>
      </c>
      <c r="G56" s="568">
        <v>59</v>
      </c>
      <c r="H56" s="569">
        <v>55698</v>
      </c>
      <c r="I56" s="570">
        <f t="shared" si="7"/>
        <v>20209.789028975039</v>
      </c>
      <c r="J56" s="569"/>
      <c r="K56" s="571">
        <f t="shared" si="8"/>
        <v>75907.789028975036</v>
      </c>
      <c r="L56" s="558"/>
      <c r="M56" s="558" t="s">
        <v>85</v>
      </c>
      <c r="N56" s="558"/>
    </row>
    <row r="57" spans="1:14" ht="18" customHeight="1" x14ac:dyDescent="0.35">
      <c r="A57" s="1631" t="s">
        <v>96</v>
      </c>
      <c r="B57" s="1604" t="s">
        <v>859</v>
      </c>
      <c r="C57" s="1605"/>
      <c r="D57" s="1606"/>
      <c r="E57" s="558"/>
      <c r="F57" s="568">
        <v>28</v>
      </c>
      <c r="G57" s="568">
        <v>152</v>
      </c>
      <c r="H57" s="569">
        <v>2330</v>
      </c>
      <c r="I57" s="570">
        <f t="shared" si="7"/>
        <v>845.430867131887</v>
      </c>
      <c r="J57" s="569"/>
      <c r="K57" s="571">
        <f t="shared" si="8"/>
        <v>3175.4308671318868</v>
      </c>
      <c r="L57" s="558"/>
      <c r="M57" s="558"/>
      <c r="N57" s="558"/>
    </row>
    <row r="58" spans="1:14" ht="18" customHeight="1" x14ac:dyDescent="0.35">
      <c r="A58" s="1631" t="s">
        <v>97</v>
      </c>
      <c r="B58" s="1083"/>
      <c r="C58" s="1084"/>
      <c r="D58" s="1085"/>
      <c r="E58" s="558"/>
      <c r="F58" s="568"/>
      <c r="G58" s="568"/>
      <c r="H58" s="569"/>
      <c r="I58" s="570">
        <v>0</v>
      </c>
      <c r="J58" s="569"/>
      <c r="K58" s="571">
        <f t="shared" si="8"/>
        <v>0</v>
      </c>
      <c r="L58" s="558"/>
      <c r="M58" s="558"/>
      <c r="N58" s="558"/>
    </row>
    <row r="59" spans="1:14" ht="18" customHeight="1" x14ac:dyDescent="0.35">
      <c r="A59" s="1631" t="s">
        <v>98</v>
      </c>
      <c r="B59" s="1604"/>
      <c r="C59" s="1605"/>
      <c r="D59" s="1606"/>
      <c r="E59" s="558"/>
      <c r="F59" s="568"/>
      <c r="G59" s="568"/>
      <c r="H59" s="569"/>
      <c r="I59" s="570">
        <v>0</v>
      </c>
      <c r="J59" s="569"/>
      <c r="K59" s="571">
        <f t="shared" si="8"/>
        <v>0</v>
      </c>
      <c r="L59" s="558"/>
      <c r="M59" s="558"/>
      <c r="N59" s="558"/>
    </row>
    <row r="60" spans="1:14" ht="18" customHeight="1" x14ac:dyDescent="0.35">
      <c r="A60" s="1631" t="s">
        <v>99</v>
      </c>
      <c r="B60" s="1083"/>
      <c r="C60" s="1084"/>
      <c r="D60" s="1085"/>
      <c r="E60" s="558"/>
      <c r="F60" s="568"/>
      <c r="G60" s="568"/>
      <c r="H60" s="569"/>
      <c r="I60" s="570">
        <v>0</v>
      </c>
      <c r="J60" s="569"/>
      <c r="K60" s="571">
        <f t="shared" si="8"/>
        <v>0</v>
      </c>
      <c r="L60" s="558"/>
      <c r="M60" s="558"/>
      <c r="N60" s="558"/>
    </row>
    <row r="61" spans="1:14" ht="18" customHeight="1" x14ac:dyDescent="0.35">
      <c r="A61" s="1631" t="s">
        <v>100</v>
      </c>
      <c r="B61" s="1083"/>
      <c r="C61" s="1084"/>
      <c r="D61" s="1085"/>
      <c r="E61" s="558"/>
      <c r="F61" s="586"/>
      <c r="G61" s="586"/>
      <c r="H61" s="586"/>
      <c r="I61" s="586">
        <v>0</v>
      </c>
      <c r="J61" s="586"/>
      <c r="K61" s="586">
        <f t="shared" si="8"/>
        <v>0</v>
      </c>
      <c r="L61" s="558"/>
      <c r="M61" s="558"/>
      <c r="N61" s="558"/>
    </row>
    <row r="62" spans="1:14" ht="18" customHeight="1" x14ac:dyDescent="0.35">
      <c r="A62" s="1631" t="s">
        <v>101</v>
      </c>
      <c r="B62" s="1604"/>
      <c r="C62" s="1605"/>
      <c r="D62" s="1606"/>
      <c r="E62" s="558"/>
      <c r="F62" s="568"/>
      <c r="G62" s="568"/>
      <c r="H62" s="569"/>
      <c r="I62" s="570">
        <v>0</v>
      </c>
      <c r="J62" s="569"/>
      <c r="K62" s="571">
        <f t="shared" si="8"/>
        <v>0</v>
      </c>
      <c r="L62" s="558"/>
      <c r="M62" s="558"/>
      <c r="N62" s="558"/>
    </row>
    <row r="63" spans="1:14" ht="18" customHeight="1" x14ac:dyDescent="0.35">
      <c r="A63" s="1631"/>
      <c r="B63" s="558"/>
      <c r="C63" s="558"/>
      <c r="D63" s="558"/>
      <c r="E63" s="558"/>
      <c r="F63" s="558"/>
      <c r="G63" s="558"/>
      <c r="H63" s="558"/>
      <c r="I63" s="587"/>
      <c r="J63" s="558"/>
      <c r="K63" s="558"/>
      <c r="L63" s="558"/>
      <c r="M63" s="558"/>
      <c r="N63" s="558"/>
    </row>
    <row r="64" spans="1:14" ht="18" customHeight="1" x14ac:dyDescent="0.35">
      <c r="A64" s="1631" t="s">
        <v>144</v>
      </c>
      <c r="B64" s="559" t="s">
        <v>145</v>
      </c>
      <c r="C64" s="558"/>
      <c r="D64" s="558"/>
      <c r="E64" s="559" t="s">
        <v>7</v>
      </c>
      <c r="F64" s="574">
        <f t="shared" ref="F64:K64" si="9">SUM(F53:F62)</f>
        <v>709</v>
      </c>
      <c r="G64" s="574">
        <f t="shared" si="9"/>
        <v>617</v>
      </c>
      <c r="H64" s="571">
        <f t="shared" si="9"/>
        <v>83578</v>
      </c>
      <c r="I64" s="571">
        <f t="shared" si="9"/>
        <v>30325.931765299938</v>
      </c>
      <c r="J64" s="571">
        <f t="shared" si="9"/>
        <v>0</v>
      </c>
      <c r="K64" s="571">
        <f t="shared" si="9"/>
        <v>113903.93176529993</v>
      </c>
      <c r="L64" s="558"/>
      <c r="M64" s="558"/>
      <c r="N64" s="558"/>
    </row>
    <row r="65" spans="1:14" ht="18" customHeight="1" x14ac:dyDescent="0.35">
      <c r="A65" s="1630"/>
      <c r="B65" s="558"/>
      <c r="C65" s="558"/>
      <c r="D65" s="558"/>
      <c r="E65" s="558"/>
      <c r="F65" s="588"/>
      <c r="G65" s="588"/>
      <c r="H65" s="588"/>
      <c r="I65" s="588"/>
      <c r="J65" s="588"/>
      <c r="K65" s="588"/>
      <c r="L65" s="558"/>
      <c r="M65" s="558"/>
      <c r="N65" s="558"/>
    </row>
    <row r="66" spans="1:14" ht="42.75" customHeight="1" x14ac:dyDescent="0.35">
      <c r="A66" s="1630"/>
      <c r="B66" s="558"/>
      <c r="C66" s="558"/>
      <c r="D66" s="558"/>
      <c r="E66" s="558"/>
      <c r="F66" s="589" t="s">
        <v>9</v>
      </c>
      <c r="G66" s="589" t="s">
        <v>37</v>
      </c>
      <c r="H66" s="589" t="s">
        <v>29</v>
      </c>
      <c r="I66" s="589" t="s">
        <v>30</v>
      </c>
      <c r="J66" s="589" t="s">
        <v>33</v>
      </c>
      <c r="K66" s="589" t="s">
        <v>34</v>
      </c>
      <c r="L66" s="558"/>
      <c r="M66" s="558"/>
      <c r="N66" s="558"/>
    </row>
    <row r="67" spans="1:14" ht="18" customHeight="1" x14ac:dyDescent="0.35">
      <c r="A67" s="1631" t="s">
        <v>102</v>
      </c>
      <c r="B67" s="559" t="s">
        <v>12</v>
      </c>
      <c r="C67" s="558"/>
      <c r="D67" s="558"/>
      <c r="E67" s="558"/>
      <c r="F67" s="590"/>
      <c r="G67" s="590"/>
      <c r="H67" s="590"/>
      <c r="I67" s="591"/>
      <c r="J67" s="590"/>
      <c r="K67" s="592"/>
      <c r="L67" s="558"/>
      <c r="M67" s="558"/>
      <c r="N67" s="558"/>
    </row>
    <row r="68" spans="1:14" ht="18" customHeight="1" x14ac:dyDescent="0.35">
      <c r="A68" s="1631" t="s">
        <v>103</v>
      </c>
      <c r="B68" s="558" t="s">
        <v>52</v>
      </c>
      <c r="C68" s="558"/>
      <c r="D68" s="558"/>
      <c r="E68" s="558"/>
      <c r="F68" s="593"/>
      <c r="G68" s="593"/>
      <c r="H68" s="594"/>
      <c r="I68" s="566">
        <v>0</v>
      </c>
      <c r="J68" s="593"/>
      <c r="K68" s="567">
        <f>(H68+I68)-J68</f>
        <v>0</v>
      </c>
      <c r="L68" s="558"/>
      <c r="M68" s="558"/>
      <c r="N68" s="558"/>
    </row>
    <row r="69" spans="1:14" ht="18" customHeight="1" x14ac:dyDescent="0.35">
      <c r="A69" s="1631" t="s">
        <v>104</v>
      </c>
      <c r="B69" s="563" t="s">
        <v>53</v>
      </c>
      <c r="C69" s="558"/>
      <c r="D69" s="558"/>
      <c r="E69" s="558"/>
      <c r="F69" s="595"/>
      <c r="G69" s="595"/>
      <c r="H69" s="595"/>
      <c r="I69" s="570">
        <v>0</v>
      </c>
      <c r="J69" s="595"/>
      <c r="K69" s="571">
        <f>(H69+I69)-J69</f>
        <v>0</v>
      </c>
      <c r="L69" s="558"/>
      <c r="M69" s="558"/>
      <c r="N69" s="558"/>
    </row>
    <row r="70" spans="1:14" ht="18" customHeight="1" x14ac:dyDescent="0.35">
      <c r="A70" s="1631" t="s">
        <v>178</v>
      </c>
      <c r="B70" s="1083"/>
      <c r="C70" s="1084"/>
      <c r="D70" s="1085"/>
      <c r="E70" s="559"/>
      <c r="F70" s="596"/>
      <c r="G70" s="596"/>
      <c r="H70" s="597"/>
      <c r="I70" s="570">
        <v>0</v>
      </c>
      <c r="J70" s="597"/>
      <c r="K70" s="571">
        <f>(H70+I70)-J70</f>
        <v>0</v>
      </c>
      <c r="L70" s="558"/>
      <c r="M70" s="558"/>
      <c r="N70" s="558"/>
    </row>
    <row r="71" spans="1:14" ht="18" customHeight="1" x14ac:dyDescent="0.35">
      <c r="A71" s="1631" t="s">
        <v>179</v>
      </c>
      <c r="B71" s="1083"/>
      <c r="C71" s="1084"/>
      <c r="D71" s="1085"/>
      <c r="E71" s="559"/>
      <c r="F71" s="596"/>
      <c r="G71" s="596"/>
      <c r="H71" s="597"/>
      <c r="I71" s="570">
        <v>0</v>
      </c>
      <c r="J71" s="597"/>
      <c r="K71" s="571">
        <f>(H71+I71)-J71</f>
        <v>0</v>
      </c>
      <c r="L71" s="558"/>
      <c r="M71" s="558"/>
      <c r="N71" s="558"/>
    </row>
    <row r="72" spans="1:14" ht="18" customHeight="1" x14ac:dyDescent="0.35">
      <c r="A72" s="1631" t="s">
        <v>180</v>
      </c>
      <c r="B72" s="1086"/>
      <c r="C72" s="1087"/>
      <c r="D72" s="598"/>
      <c r="E72" s="559"/>
      <c r="F72" s="568"/>
      <c r="G72" s="568"/>
      <c r="H72" s="569"/>
      <c r="I72" s="570">
        <v>0</v>
      </c>
      <c r="J72" s="569"/>
      <c r="K72" s="571">
        <f>(H72+I72)-J72</f>
        <v>0</v>
      </c>
      <c r="L72" s="558"/>
      <c r="M72" s="558"/>
      <c r="N72" s="558"/>
    </row>
    <row r="73" spans="1:14" ht="18" customHeight="1" x14ac:dyDescent="0.35">
      <c r="A73" s="1631"/>
      <c r="B73" s="563"/>
      <c r="C73" s="558"/>
      <c r="D73" s="558"/>
      <c r="E73" s="559"/>
      <c r="F73" s="599"/>
      <c r="G73" s="599"/>
      <c r="H73" s="600"/>
      <c r="I73" s="591"/>
      <c r="J73" s="600"/>
      <c r="K73" s="592"/>
      <c r="L73" s="558"/>
      <c r="M73" s="558"/>
      <c r="N73" s="558"/>
    </row>
    <row r="74" spans="1:14" ht="18" customHeight="1" x14ac:dyDescent="0.35">
      <c r="A74" s="1631" t="s">
        <v>146</v>
      </c>
      <c r="B74" s="559" t="s">
        <v>147</v>
      </c>
      <c r="C74" s="558"/>
      <c r="D74" s="558"/>
      <c r="E74" s="559" t="s">
        <v>7</v>
      </c>
      <c r="F74" s="601">
        <f t="shared" ref="F74:K74" si="10">SUM(F68:F72)</f>
        <v>0</v>
      </c>
      <c r="G74" s="601">
        <f t="shared" si="10"/>
        <v>0</v>
      </c>
      <c r="H74" s="602">
        <f t="shared" si="10"/>
        <v>0</v>
      </c>
      <c r="I74" s="603">
        <f t="shared" si="10"/>
        <v>0</v>
      </c>
      <c r="J74" s="601">
        <f t="shared" si="10"/>
        <v>0</v>
      </c>
      <c r="K74" s="604">
        <f t="shared" si="10"/>
        <v>0</v>
      </c>
      <c r="L74" s="558"/>
      <c r="M74" s="558"/>
      <c r="N74" s="558"/>
    </row>
    <row r="75" spans="1:14" ht="42.75" customHeight="1" x14ac:dyDescent="0.35">
      <c r="A75" s="1630"/>
      <c r="B75" s="558"/>
      <c r="C75" s="558"/>
      <c r="D75" s="558"/>
      <c r="E75" s="558"/>
      <c r="F75" s="562" t="s">
        <v>9</v>
      </c>
      <c r="G75" s="562" t="s">
        <v>37</v>
      </c>
      <c r="H75" s="562" t="s">
        <v>29</v>
      </c>
      <c r="I75" s="562" t="s">
        <v>30</v>
      </c>
      <c r="J75" s="562" t="s">
        <v>33</v>
      </c>
      <c r="K75" s="562" t="s">
        <v>34</v>
      </c>
      <c r="L75" s="558"/>
      <c r="M75" s="558"/>
      <c r="N75" s="558"/>
    </row>
    <row r="76" spans="1:14" ht="18" customHeight="1" x14ac:dyDescent="0.35">
      <c r="A76" s="1631" t="s">
        <v>105</v>
      </c>
      <c r="B76" s="559" t="s">
        <v>106</v>
      </c>
      <c r="C76" s="558"/>
      <c r="D76" s="558"/>
      <c r="E76" s="558"/>
      <c r="F76" s="558"/>
      <c r="G76" s="558"/>
      <c r="H76" s="558"/>
      <c r="I76" s="558"/>
      <c r="J76" s="558"/>
      <c r="K76" s="558"/>
      <c r="L76" s="558"/>
      <c r="M76" s="558"/>
      <c r="N76" s="558"/>
    </row>
    <row r="77" spans="1:14" ht="18" customHeight="1" x14ac:dyDescent="0.35">
      <c r="A77" s="1631" t="s">
        <v>107</v>
      </c>
      <c r="B77" s="563" t="s">
        <v>54</v>
      </c>
      <c r="C77" s="558"/>
      <c r="D77" s="558"/>
      <c r="E77" s="558"/>
      <c r="F77" s="568"/>
      <c r="G77" s="568"/>
      <c r="H77" s="569">
        <v>11880</v>
      </c>
      <c r="I77" s="570">
        <f t="shared" ref="I77" si="11">H77*F$114</f>
        <v>4310.6088847754581</v>
      </c>
      <c r="J77" s="569"/>
      <c r="K77" s="571">
        <f>(H77+I77)-J77</f>
        <v>16190.608884775458</v>
      </c>
      <c r="L77" s="558"/>
      <c r="M77" s="558"/>
      <c r="N77" s="558"/>
    </row>
    <row r="78" spans="1:14" ht="18" customHeight="1" x14ac:dyDescent="0.35">
      <c r="A78" s="1631" t="s">
        <v>108</v>
      </c>
      <c r="B78" s="563" t="s">
        <v>55</v>
      </c>
      <c r="C78" s="558"/>
      <c r="D78" s="558"/>
      <c r="E78" s="558"/>
      <c r="F78" s="568"/>
      <c r="G78" s="568"/>
      <c r="H78" s="569"/>
      <c r="I78" s="570">
        <v>0</v>
      </c>
      <c r="J78" s="569"/>
      <c r="K78" s="571">
        <f>(H78+I78)-J78</f>
        <v>0</v>
      </c>
      <c r="L78" s="558"/>
      <c r="M78" s="558"/>
      <c r="N78" s="558"/>
    </row>
    <row r="79" spans="1:14" ht="18" customHeight="1" x14ac:dyDescent="0.35">
      <c r="A79" s="1631" t="s">
        <v>109</v>
      </c>
      <c r="B79" s="563" t="s">
        <v>13</v>
      </c>
      <c r="C79" s="558"/>
      <c r="D79" s="558"/>
      <c r="E79" s="558"/>
      <c r="F79" s="568">
        <v>10</v>
      </c>
      <c r="G79" s="568">
        <v>134</v>
      </c>
      <c r="H79" s="569">
        <v>65808</v>
      </c>
      <c r="I79" s="570">
        <f t="shared" ref="I79" si="12">H79*F$114</f>
        <v>23878.160731422842</v>
      </c>
      <c r="J79" s="569"/>
      <c r="K79" s="571">
        <f>(H79+I79)-J79</f>
        <v>89686.160731422846</v>
      </c>
      <c r="L79" s="558"/>
      <c r="M79" s="558"/>
      <c r="N79" s="558"/>
    </row>
    <row r="80" spans="1:14" ht="18" customHeight="1" x14ac:dyDescent="0.35">
      <c r="A80" s="1631" t="s">
        <v>110</v>
      </c>
      <c r="B80" s="563" t="s">
        <v>56</v>
      </c>
      <c r="C80" s="558"/>
      <c r="D80" s="558"/>
      <c r="E80" s="558"/>
      <c r="F80" s="568"/>
      <c r="G80" s="568"/>
      <c r="H80" s="569"/>
      <c r="I80" s="570">
        <v>0</v>
      </c>
      <c r="J80" s="569"/>
      <c r="K80" s="571">
        <f>(H80+I80)-J80</f>
        <v>0</v>
      </c>
      <c r="L80" s="558"/>
      <c r="M80" s="558"/>
      <c r="N80" s="558"/>
    </row>
    <row r="81" spans="1:14" ht="18" customHeight="1" x14ac:dyDescent="0.35">
      <c r="A81" s="1631"/>
      <c r="B81" s="558"/>
      <c r="C81" s="558"/>
      <c r="D81" s="558"/>
      <c r="E81" s="558"/>
      <c r="F81" s="558"/>
      <c r="G81" s="558"/>
      <c r="H81" s="558"/>
      <c r="I81" s="558"/>
      <c r="J81" s="558"/>
      <c r="K81" s="605"/>
      <c r="L81" s="558"/>
      <c r="M81" s="558"/>
      <c r="N81" s="558"/>
    </row>
    <row r="82" spans="1:14" ht="18" customHeight="1" x14ac:dyDescent="0.35">
      <c r="A82" s="1631" t="s">
        <v>148</v>
      </c>
      <c r="B82" s="559" t="s">
        <v>149</v>
      </c>
      <c r="C82" s="558"/>
      <c r="D82" s="558"/>
      <c r="E82" s="559" t="s">
        <v>7</v>
      </c>
      <c r="F82" s="601">
        <f t="shared" ref="F82:K82" si="13">SUM(F77:F80)</f>
        <v>10</v>
      </c>
      <c r="G82" s="601">
        <f t="shared" si="13"/>
        <v>134</v>
      </c>
      <c r="H82" s="604">
        <f t="shared" si="13"/>
        <v>77688</v>
      </c>
      <c r="I82" s="604">
        <f t="shared" si="13"/>
        <v>28188.7696161983</v>
      </c>
      <c r="J82" s="604">
        <f t="shared" si="13"/>
        <v>0</v>
      </c>
      <c r="K82" s="604">
        <f t="shared" si="13"/>
        <v>105876.7696161983</v>
      </c>
      <c r="L82" s="558"/>
      <c r="M82" s="558"/>
      <c r="N82" s="558"/>
    </row>
    <row r="83" spans="1:14" ht="18" customHeight="1" thickBot="1" x14ac:dyDescent="0.4">
      <c r="A83" s="1631"/>
      <c r="B83" s="558"/>
      <c r="C83" s="558"/>
      <c r="D83" s="558"/>
      <c r="E83" s="558"/>
      <c r="F83" s="585"/>
      <c r="G83" s="585"/>
      <c r="H83" s="585"/>
      <c r="I83" s="585"/>
      <c r="J83" s="585"/>
      <c r="K83" s="585"/>
      <c r="L83" s="558"/>
      <c r="M83" s="558"/>
      <c r="N83" s="558"/>
    </row>
    <row r="84" spans="1:14" ht="42.75" customHeight="1" x14ac:dyDescent="0.35">
      <c r="A84" s="1630"/>
      <c r="B84" s="558"/>
      <c r="C84" s="558"/>
      <c r="D84" s="558"/>
      <c r="E84" s="558"/>
      <c r="F84" s="562" t="s">
        <v>9</v>
      </c>
      <c r="G84" s="562" t="s">
        <v>37</v>
      </c>
      <c r="H84" s="562" t="s">
        <v>29</v>
      </c>
      <c r="I84" s="562" t="s">
        <v>30</v>
      </c>
      <c r="J84" s="562" t="s">
        <v>33</v>
      </c>
      <c r="K84" s="562" t="s">
        <v>34</v>
      </c>
      <c r="L84" s="558"/>
      <c r="M84" s="558"/>
      <c r="N84" s="558"/>
    </row>
    <row r="85" spans="1:14" ht="18" customHeight="1" x14ac:dyDescent="0.35">
      <c r="A85" s="1631" t="s">
        <v>111</v>
      </c>
      <c r="B85" s="559" t="s">
        <v>57</v>
      </c>
      <c r="C85" s="558"/>
      <c r="D85" s="558"/>
      <c r="E85" s="558"/>
      <c r="F85" s="558"/>
      <c r="G85" s="558"/>
      <c r="H85" s="558"/>
      <c r="I85" s="558"/>
      <c r="J85" s="558"/>
      <c r="K85" s="558"/>
      <c r="L85" s="558"/>
      <c r="M85" s="558"/>
      <c r="N85" s="558" t="s">
        <v>85</v>
      </c>
    </row>
    <row r="86" spans="1:14" ht="18" customHeight="1" x14ac:dyDescent="0.35">
      <c r="A86" s="1631" t="s">
        <v>112</v>
      </c>
      <c r="B86" s="563" t="s">
        <v>113</v>
      </c>
      <c r="C86" s="558"/>
      <c r="D86" s="558"/>
      <c r="E86" s="558"/>
      <c r="F86" s="568"/>
      <c r="G86" s="568"/>
      <c r="H86" s="569"/>
      <c r="I86" s="570">
        <f t="shared" ref="I86:I96" si="14">H86*F$114</f>
        <v>0</v>
      </c>
      <c r="J86" s="569"/>
      <c r="K86" s="571">
        <f t="shared" ref="K86:K96" si="15">(H86+I86)-J86</f>
        <v>0</v>
      </c>
      <c r="L86" s="558"/>
      <c r="M86" s="558"/>
      <c r="N86" s="558"/>
    </row>
    <row r="87" spans="1:14" ht="18" customHeight="1" x14ac:dyDescent="0.35">
      <c r="A87" s="1631" t="s">
        <v>114</v>
      </c>
      <c r="B87" s="563" t="s">
        <v>14</v>
      </c>
      <c r="C87" s="558"/>
      <c r="D87" s="558"/>
      <c r="E87" s="558"/>
      <c r="F87" s="568"/>
      <c r="G87" s="568"/>
      <c r="H87" s="569"/>
      <c r="I87" s="570">
        <f t="shared" si="14"/>
        <v>0</v>
      </c>
      <c r="J87" s="569"/>
      <c r="K87" s="571">
        <f t="shared" si="15"/>
        <v>0</v>
      </c>
      <c r="L87" s="558"/>
      <c r="M87" s="558"/>
      <c r="N87" s="558"/>
    </row>
    <row r="88" spans="1:14" ht="18" customHeight="1" x14ac:dyDescent="0.35">
      <c r="A88" s="1631" t="s">
        <v>115</v>
      </c>
      <c r="B88" s="563" t="s">
        <v>116</v>
      </c>
      <c r="C88" s="558"/>
      <c r="D88" s="558"/>
      <c r="E88" s="558"/>
      <c r="F88" s="568">
        <v>24</v>
      </c>
      <c r="G88" s="568">
        <v>18</v>
      </c>
      <c r="H88" s="569">
        <v>2593</v>
      </c>
      <c r="I88" s="570">
        <f t="shared" si="14"/>
        <v>940.85932981673091</v>
      </c>
      <c r="J88" s="569"/>
      <c r="K88" s="571">
        <f t="shared" si="15"/>
        <v>3533.8593298167307</v>
      </c>
      <c r="L88" s="558"/>
      <c r="M88" s="558"/>
      <c r="N88" s="558"/>
    </row>
    <row r="89" spans="1:14" ht="18" customHeight="1" x14ac:dyDescent="0.35">
      <c r="A89" s="1631" t="s">
        <v>117</v>
      </c>
      <c r="B89" s="563" t="s">
        <v>58</v>
      </c>
      <c r="C89" s="558"/>
      <c r="D89" s="558"/>
      <c r="E89" s="558"/>
      <c r="F89" s="568"/>
      <c r="G89" s="568"/>
      <c r="H89" s="569"/>
      <c r="I89" s="570">
        <f t="shared" si="14"/>
        <v>0</v>
      </c>
      <c r="J89" s="569"/>
      <c r="K89" s="571">
        <f t="shared" si="15"/>
        <v>0</v>
      </c>
      <c r="L89" s="558"/>
      <c r="M89" s="558"/>
      <c r="N89" s="558"/>
    </row>
    <row r="90" spans="1:14" ht="18" customHeight="1" x14ac:dyDescent="0.35">
      <c r="A90" s="1631" t="s">
        <v>118</v>
      </c>
      <c r="B90" s="1608" t="s">
        <v>59</v>
      </c>
      <c r="C90" s="1608"/>
      <c r="D90" s="558"/>
      <c r="E90" s="558"/>
      <c r="F90" s="568"/>
      <c r="G90" s="568"/>
      <c r="H90" s="569"/>
      <c r="I90" s="570">
        <f t="shared" si="14"/>
        <v>0</v>
      </c>
      <c r="J90" s="569"/>
      <c r="K90" s="571">
        <f t="shared" si="15"/>
        <v>0</v>
      </c>
      <c r="L90" s="558"/>
      <c r="M90" s="558"/>
      <c r="N90" s="558"/>
    </row>
    <row r="91" spans="1:14" ht="18" customHeight="1" x14ac:dyDescent="0.35">
      <c r="A91" s="1631" t="s">
        <v>119</v>
      </c>
      <c r="B91" s="563" t="s">
        <v>60</v>
      </c>
      <c r="C91" s="558"/>
      <c r="D91" s="558"/>
      <c r="E91" s="558"/>
      <c r="F91" s="568"/>
      <c r="G91" s="568"/>
      <c r="H91" s="569"/>
      <c r="I91" s="570">
        <f t="shared" si="14"/>
        <v>0</v>
      </c>
      <c r="J91" s="569"/>
      <c r="K91" s="571">
        <f t="shared" si="15"/>
        <v>0</v>
      </c>
      <c r="L91" s="558"/>
      <c r="M91" s="558"/>
      <c r="N91" s="558"/>
    </row>
    <row r="92" spans="1:14" ht="18" customHeight="1" x14ac:dyDescent="0.35">
      <c r="A92" s="1631" t="s">
        <v>120</v>
      </c>
      <c r="B92" s="563" t="s">
        <v>121</v>
      </c>
      <c r="C92" s="558"/>
      <c r="D92" s="558"/>
      <c r="E92" s="558"/>
      <c r="F92" s="606"/>
      <c r="G92" s="606"/>
      <c r="H92" s="607"/>
      <c r="I92" s="570">
        <f t="shared" si="14"/>
        <v>0</v>
      </c>
      <c r="J92" s="607"/>
      <c r="K92" s="571">
        <f t="shared" si="15"/>
        <v>0</v>
      </c>
      <c r="L92" s="558"/>
      <c r="M92" s="558"/>
      <c r="N92" s="558"/>
    </row>
    <row r="93" spans="1:14" ht="18" customHeight="1" x14ac:dyDescent="0.35">
      <c r="A93" s="1631" t="s">
        <v>122</v>
      </c>
      <c r="B93" s="563" t="s">
        <v>123</v>
      </c>
      <c r="C93" s="558"/>
      <c r="D93" s="558"/>
      <c r="E93" s="558"/>
      <c r="F93" s="568">
        <v>3376</v>
      </c>
      <c r="G93" s="568">
        <v>94</v>
      </c>
      <c r="H93" s="569">
        <v>194119</v>
      </c>
      <c r="I93" s="570">
        <f t="shared" si="14"/>
        <v>70435.276608057844</v>
      </c>
      <c r="J93" s="569"/>
      <c r="K93" s="571">
        <f t="shared" si="15"/>
        <v>264554.27660805784</v>
      </c>
      <c r="L93" s="558"/>
      <c r="M93" s="558"/>
      <c r="N93" s="558"/>
    </row>
    <row r="94" spans="1:14" ht="18" customHeight="1" x14ac:dyDescent="0.35">
      <c r="A94" s="1631" t="s">
        <v>124</v>
      </c>
      <c r="B94" s="1604"/>
      <c r="C94" s="1605"/>
      <c r="D94" s="1606"/>
      <c r="E94" s="558"/>
      <c r="F94" s="568"/>
      <c r="G94" s="568"/>
      <c r="H94" s="569">
        <v>0</v>
      </c>
      <c r="I94" s="570">
        <f t="shared" si="14"/>
        <v>0</v>
      </c>
      <c r="J94" s="569"/>
      <c r="K94" s="571">
        <f t="shared" si="15"/>
        <v>0</v>
      </c>
      <c r="L94" s="558"/>
      <c r="M94" s="558"/>
      <c r="N94" s="558"/>
    </row>
    <row r="95" spans="1:14" ht="18" customHeight="1" x14ac:dyDescent="0.35">
      <c r="A95" s="1631" t="s">
        <v>125</v>
      </c>
      <c r="B95" s="1604"/>
      <c r="C95" s="1605"/>
      <c r="D95" s="1606"/>
      <c r="E95" s="558"/>
      <c r="F95" s="568"/>
      <c r="G95" s="568"/>
      <c r="H95" s="569">
        <v>0</v>
      </c>
      <c r="I95" s="570">
        <f t="shared" si="14"/>
        <v>0</v>
      </c>
      <c r="J95" s="569"/>
      <c r="K95" s="571">
        <f t="shared" si="15"/>
        <v>0</v>
      </c>
      <c r="L95" s="558"/>
      <c r="M95" s="558"/>
      <c r="N95" s="558"/>
    </row>
    <row r="96" spans="1:14" ht="18" customHeight="1" x14ac:dyDescent="0.35">
      <c r="A96" s="1631" t="s">
        <v>126</v>
      </c>
      <c r="B96" s="1604"/>
      <c r="C96" s="1605"/>
      <c r="D96" s="1606"/>
      <c r="E96" s="558"/>
      <c r="F96" s="568"/>
      <c r="G96" s="568"/>
      <c r="H96" s="569"/>
      <c r="I96" s="570">
        <f t="shared" si="14"/>
        <v>0</v>
      </c>
      <c r="J96" s="569"/>
      <c r="K96" s="571">
        <f t="shared" si="15"/>
        <v>0</v>
      </c>
      <c r="L96" s="558"/>
      <c r="M96" s="558"/>
      <c r="N96" s="558"/>
    </row>
    <row r="97" spans="1:14" ht="18" customHeight="1" x14ac:dyDescent="0.35">
      <c r="A97" s="1631"/>
      <c r="B97" s="563"/>
      <c r="C97" s="558"/>
      <c r="D97" s="558"/>
      <c r="E97" s="558"/>
      <c r="F97" s="558"/>
      <c r="G97" s="558"/>
      <c r="H97" s="558"/>
      <c r="I97" s="558"/>
      <c r="J97" s="558"/>
      <c r="K97" s="558"/>
      <c r="L97" s="558"/>
      <c r="M97" s="558"/>
      <c r="N97" s="558"/>
    </row>
    <row r="98" spans="1:14" ht="18" customHeight="1" x14ac:dyDescent="0.35">
      <c r="A98" s="1631" t="s">
        <v>150</v>
      </c>
      <c r="B98" s="559" t="s">
        <v>151</v>
      </c>
      <c r="C98" s="558"/>
      <c r="D98" s="558"/>
      <c r="E98" s="559" t="s">
        <v>7</v>
      </c>
      <c r="F98" s="574">
        <f t="shared" ref="F98:K98" si="16">SUM(F86:F96)</f>
        <v>3400</v>
      </c>
      <c r="G98" s="574">
        <f t="shared" si="16"/>
        <v>112</v>
      </c>
      <c r="H98" s="574">
        <f t="shared" si="16"/>
        <v>196712</v>
      </c>
      <c r="I98" s="574">
        <f t="shared" si="16"/>
        <v>71376.135937874569</v>
      </c>
      <c r="J98" s="574">
        <f t="shared" si="16"/>
        <v>0</v>
      </c>
      <c r="K98" s="574">
        <f t="shared" si="16"/>
        <v>268088.13593787455</v>
      </c>
      <c r="L98" s="558"/>
      <c r="M98" s="558"/>
      <c r="N98" s="558"/>
    </row>
    <row r="99" spans="1:14" ht="18" customHeight="1" thickBot="1" x14ac:dyDescent="0.4">
      <c r="A99" s="1630"/>
      <c r="B99" s="559"/>
      <c r="C99" s="558"/>
      <c r="D99" s="558"/>
      <c r="E99" s="558"/>
      <c r="F99" s="585"/>
      <c r="G99" s="585"/>
      <c r="H99" s="585"/>
      <c r="I99" s="585"/>
      <c r="J99" s="585"/>
      <c r="K99" s="585"/>
      <c r="L99" s="558"/>
      <c r="M99" s="558"/>
      <c r="N99" s="558"/>
    </row>
    <row r="100" spans="1:14" ht="42.75" customHeight="1" x14ac:dyDescent="0.35">
      <c r="A100" s="1630"/>
      <c r="B100" s="558"/>
      <c r="C100" s="558"/>
      <c r="D100" s="558"/>
      <c r="E100" s="558"/>
      <c r="F100" s="562" t="s">
        <v>9</v>
      </c>
      <c r="G100" s="562" t="s">
        <v>37</v>
      </c>
      <c r="H100" s="562" t="s">
        <v>29</v>
      </c>
      <c r="I100" s="562" t="s">
        <v>30</v>
      </c>
      <c r="J100" s="562" t="s">
        <v>33</v>
      </c>
      <c r="K100" s="562" t="s">
        <v>34</v>
      </c>
      <c r="L100" s="558"/>
      <c r="M100" s="558"/>
      <c r="N100" s="558"/>
    </row>
    <row r="101" spans="1:14" ht="18" customHeight="1" x14ac:dyDescent="0.35">
      <c r="A101" s="1631" t="s">
        <v>130</v>
      </c>
      <c r="B101" s="559" t="s">
        <v>63</v>
      </c>
      <c r="C101" s="558"/>
      <c r="D101" s="558"/>
      <c r="E101" s="558"/>
      <c r="F101" s="558"/>
      <c r="G101" s="558"/>
      <c r="H101" s="558"/>
      <c r="I101" s="558"/>
      <c r="J101" s="558"/>
      <c r="K101" s="558"/>
      <c r="L101" s="558"/>
      <c r="M101" s="558"/>
      <c r="N101" s="558"/>
    </row>
    <row r="102" spans="1:14" ht="18" customHeight="1" x14ac:dyDescent="0.35">
      <c r="A102" s="1631" t="s">
        <v>131</v>
      </c>
      <c r="B102" s="563" t="s">
        <v>152</v>
      </c>
      <c r="C102" s="558"/>
      <c r="D102" s="558"/>
      <c r="E102" s="558"/>
      <c r="F102" s="564">
        <v>509</v>
      </c>
      <c r="G102" s="564"/>
      <c r="H102" s="565">
        <v>31154</v>
      </c>
      <c r="I102" s="566">
        <f>H102*F$114</f>
        <v>11304.100100698201</v>
      </c>
      <c r="J102" s="565"/>
      <c r="K102" s="567">
        <f>(H102+I102)-J102</f>
        <v>42458.100100698197</v>
      </c>
      <c r="L102" s="558"/>
      <c r="M102" s="558"/>
      <c r="N102" s="558"/>
    </row>
    <row r="103" spans="1:14" ht="18" customHeight="1" x14ac:dyDescent="0.35">
      <c r="A103" s="1631" t="s">
        <v>132</v>
      </c>
      <c r="B103" s="1607" t="s">
        <v>62</v>
      </c>
      <c r="C103" s="1607"/>
      <c r="D103" s="558"/>
      <c r="E103" s="558"/>
      <c r="F103" s="568"/>
      <c r="G103" s="568"/>
      <c r="H103" s="569"/>
      <c r="I103" s="570">
        <f>H103*F$114</f>
        <v>0</v>
      </c>
      <c r="J103" s="569"/>
      <c r="K103" s="571">
        <f>(H103+I103)-J103</f>
        <v>0</v>
      </c>
      <c r="L103" s="558"/>
      <c r="M103" s="558"/>
      <c r="N103" s="558"/>
    </row>
    <row r="104" spans="1:14" ht="18" customHeight="1" x14ac:dyDescent="0.35">
      <c r="A104" s="1631" t="s">
        <v>128</v>
      </c>
      <c r="B104" s="1604"/>
      <c r="C104" s="1605"/>
      <c r="D104" s="1606"/>
      <c r="E104" s="558"/>
      <c r="F104" s="568"/>
      <c r="G104" s="568"/>
      <c r="H104" s="569"/>
      <c r="I104" s="570">
        <f>H104*F$114</f>
        <v>0</v>
      </c>
      <c r="J104" s="569"/>
      <c r="K104" s="571">
        <f>(H104+I104)-J104</f>
        <v>0</v>
      </c>
      <c r="L104" s="558"/>
      <c r="M104" s="558"/>
      <c r="N104" s="558"/>
    </row>
    <row r="105" spans="1:14" ht="18" customHeight="1" x14ac:dyDescent="0.35">
      <c r="A105" s="1631" t="s">
        <v>127</v>
      </c>
      <c r="B105" s="1604"/>
      <c r="C105" s="1605"/>
      <c r="D105" s="1606"/>
      <c r="E105" s="558"/>
      <c r="F105" s="568"/>
      <c r="G105" s="568"/>
      <c r="H105" s="569"/>
      <c r="I105" s="570">
        <f>H105*F$114</f>
        <v>0</v>
      </c>
      <c r="J105" s="569"/>
      <c r="K105" s="571">
        <f>(H105+I105)-J105</f>
        <v>0</v>
      </c>
      <c r="L105" s="558"/>
      <c r="M105" s="558"/>
      <c r="N105" s="558"/>
    </row>
    <row r="106" spans="1:14" ht="18" customHeight="1" x14ac:dyDescent="0.35">
      <c r="A106" s="1631" t="s">
        <v>129</v>
      </c>
      <c r="B106" s="1604"/>
      <c r="C106" s="1605"/>
      <c r="D106" s="1606"/>
      <c r="E106" s="558"/>
      <c r="F106" s="568"/>
      <c r="G106" s="568"/>
      <c r="H106" s="569"/>
      <c r="I106" s="570">
        <f>H106*F$114</f>
        <v>0</v>
      </c>
      <c r="J106" s="569"/>
      <c r="K106" s="571">
        <f>(H106+I106)-J106</f>
        <v>0</v>
      </c>
      <c r="L106" s="558"/>
      <c r="M106" s="558"/>
      <c r="N106" s="558"/>
    </row>
    <row r="107" spans="1:14" ht="18" customHeight="1" x14ac:dyDescent="0.35">
      <c r="A107" s="1630"/>
      <c r="B107" s="559"/>
      <c r="C107" s="558"/>
      <c r="D107" s="558"/>
      <c r="E107" s="558"/>
      <c r="F107" s="558"/>
      <c r="G107" s="558"/>
      <c r="H107" s="558"/>
      <c r="I107" s="558"/>
      <c r="J107" s="558"/>
      <c r="K107" s="558"/>
      <c r="L107" s="558"/>
      <c r="M107" s="558"/>
      <c r="N107" s="558"/>
    </row>
    <row r="108" spans="1:14" s="29" customFormat="1" ht="18" customHeight="1" x14ac:dyDescent="0.35">
      <c r="A108" s="1631" t="s">
        <v>153</v>
      </c>
      <c r="B108" s="608" t="s">
        <v>154</v>
      </c>
      <c r="C108" s="558"/>
      <c r="D108" s="558"/>
      <c r="E108" s="559" t="s">
        <v>7</v>
      </c>
      <c r="F108" s="574">
        <f t="shared" ref="F108:K108" si="17">SUM(F102:F106)</f>
        <v>509</v>
      </c>
      <c r="G108" s="574">
        <f t="shared" si="17"/>
        <v>0</v>
      </c>
      <c r="H108" s="571">
        <f t="shared" si="17"/>
        <v>31154</v>
      </c>
      <c r="I108" s="571">
        <f t="shared" si="17"/>
        <v>11304.100100698201</v>
      </c>
      <c r="J108" s="571">
        <f t="shared" si="17"/>
        <v>0</v>
      </c>
      <c r="K108" s="571">
        <f t="shared" si="17"/>
        <v>42458.100100698197</v>
      </c>
      <c r="L108" s="580"/>
      <c r="M108" s="580"/>
      <c r="N108" s="580"/>
    </row>
    <row r="109" spans="1:14" s="29" customFormat="1" ht="18" customHeight="1" thickBot="1" x14ac:dyDescent="0.4">
      <c r="A109" s="1632"/>
      <c r="B109" s="608"/>
      <c r="C109" s="580"/>
      <c r="D109" s="580"/>
      <c r="E109" s="580"/>
      <c r="F109" s="585"/>
      <c r="G109" s="585"/>
      <c r="H109" s="585"/>
      <c r="I109" s="585"/>
      <c r="J109" s="585"/>
      <c r="K109" s="585"/>
      <c r="L109" s="580"/>
      <c r="M109" s="580"/>
      <c r="N109" s="580"/>
    </row>
    <row r="110" spans="1:14" s="29" customFormat="1" ht="18" customHeight="1" x14ac:dyDescent="0.35">
      <c r="A110" s="1631" t="s">
        <v>156</v>
      </c>
      <c r="B110" s="559" t="s">
        <v>39</v>
      </c>
      <c r="C110" s="558"/>
      <c r="D110" s="558"/>
      <c r="E110" s="558"/>
      <c r="F110" s="558"/>
      <c r="G110" s="558"/>
      <c r="H110" s="558"/>
      <c r="I110" s="558"/>
      <c r="J110" s="558"/>
      <c r="K110" s="558"/>
      <c r="L110" s="580"/>
      <c r="M110" s="580"/>
      <c r="N110" s="580"/>
    </row>
    <row r="111" spans="1:14" ht="18" customHeight="1" x14ac:dyDescent="0.35">
      <c r="A111" s="1631" t="s">
        <v>155</v>
      </c>
      <c r="B111" s="559" t="s">
        <v>164</v>
      </c>
      <c r="C111" s="558"/>
      <c r="D111" s="558"/>
      <c r="E111" s="559" t="s">
        <v>7</v>
      </c>
      <c r="F111" s="565">
        <v>2271000</v>
      </c>
      <c r="G111" s="558"/>
      <c r="H111" s="558"/>
      <c r="I111" s="558"/>
      <c r="J111" s="558"/>
      <c r="K111" s="558"/>
      <c r="L111" s="558"/>
      <c r="M111" s="558"/>
      <c r="N111" s="558"/>
    </row>
    <row r="112" spans="1:14" ht="18" customHeight="1" x14ac:dyDescent="0.35">
      <c r="A112" s="1630"/>
      <c r="B112" s="559"/>
      <c r="C112" s="558"/>
      <c r="D112" s="558"/>
      <c r="E112" s="559"/>
      <c r="F112" s="609"/>
      <c r="G112" s="558"/>
      <c r="H112" s="558"/>
      <c r="I112" s="558"/>
      <c r="J112" s="558"/>
      <c r="K112" s="558"/>
      <c r="L112" s="558"/>
      <c r="M112" s="558"/>
      <c r="N112" s="558"/>
    </row>
    <row r="113" spans="1:14" ht="18" customHeight="1" x14ac:dyDescent="0.35">
      <c r="A113" s="1631"/>
      <c r="B113" s="559" t="s">
        <v>15</v>
      </c>
      <c r="C113" s="558"/>
      <c r="D113" s="558"/>
      <c r="E113" s="558"/>
      <c r="F113" s="558"/>
      <c r="G113" s="558"/>
      <c r="H113" s="558"/>
      <c r="I113" s="558"/>
      <c r="J113" s="558"/>
      <c r="K113" s="558"/>
      <c r="L113" s="558"/>
      <c r="M113" s="558"/>
      <c r="N113" s="558"/>
    </row>
    <row r="114" spans="1:14" ht="18" customHeight="1" x14ac:dyDescent="0.35">
      <c r="A114" s="1631" t="s">
        <v>171</v>
      </c>
      <c r="B114" s="563" t="s">
        <v>35</v>
      </c>
      <c r="C114" s="558"/>
      <c r="D114" s="558"/>
      <c r="E114" s="558"/>
      <c r="F114" s="610">
        <v>0.36284586572183991</v>
      </c>
      <c r="G114" s="558"/>
      <c r="H114" s="558"/>
      <c r="I114" s="558"/>
      <c r="J114" s="558"/>
      <c r="K114" s="558"/>
      <c r="L114" s="558"/>
      <c r="M114" s="558"/>
      <c r="N114" s="558"/>
    </row>
    <row r="115" spans="1:14" ht="18" customHeight="1" x14ac:dyDescent="0.35">
      <c r="A115" s="1631"/>
      <c r="B115" s="559"/>
      <c r="C115" s="558"/>
      <c r="D115" s="558"/>
      <c r="E115" s="558"/>
      <c r="F115" s="558"/>
      <c r="G115" s="558"/>
      <c r="H115" s="558"/>
      <c r="I115" s="558"/>
      <c r="J115" s="558"/>
      <c r="K115" s="558"/>
      <c r="L115" s="558"/>
      <c r="M115" s="558"/>
      <c r="N115" s="558"/>
    </row>
    <row r="116" spans="1:14" ht="18" customHeight="1" x14ac:dyDescent="0.35">
      <c r="A116" s="1631" t="s">
        <v>170</v>
      </c>
      <c r="B116" s="559" t="s">
        <v>16</v>
      </c>
      <c r="C116" s="558"/>
      <c r="D116" s="558"/>
      <c r="E116" s="558"/>
      <c r="F116" s="558"/>
      <c r="G116" s="558"/>
      <c r="H116" s="558"/>
      <c r="I116" s="558"/>
      <c r="J116" s="558"/>
      <c r="K116" s="558"/>
      <c r="L116" s="558"/>
      <c r="M116" s="558"/>
      <c r="N116" s="558"/>
    </row>
    <row r="117" spans="1:14" ht="18" customHeight="1" x14ac:dyDescent="0.35">
      <c r="A117" s="1631" t="s">
        <v>172</v>
      </c>
      <c r="B117" s="563" t="s">
        <v>17</v>
      </c>
      <c r="C117" s="558"/>
      <c r="D117" s="558"/>
      <c r="E117" s="558"/>
      <c r="F117" s="565">
        <v>107841000</v>
      </c>
      <c r="G117" s="558"/>
      <c r="H117" s="558"/>
      <c r="I117" s="558"/>
      <c r="J117" s="558"/>
      <c r="K117" s="558"/>
      <c r="L117" s="558"/>
      <c r="M117" s="558"/>
      <c r="N117" s="558"/>
    </row>
    <row r="118" spans="1:14" ht="18" customHeight="1" x14ac:dyDescent="0.35">
      <c r="A118" s="1631" t="s">
        <v>173</v>
      </c>
      <c r="B118" s="558" t="s">
        <v>18</v>
      </c>
      <c r="C118" s="558"/>
      <c r="D118" s="558"/>
      <c r="E118" s="558"/>
      <c r="F118" s="565">
        <v>2602000</v>
      </c>
      <c r="G118" s="558"/>
      <c r="H118" s="558"/>
      <c r="I118" s="558"/>
      <c r="J118" s="558"/>
      <c r="K118" s="558"/>
      <c r="L118" s="558"/>
      <c r="M118" s="558"/>
      <c r="N118" s="558"/>
    </row>
    <row r="119" spans="1:14" ht="18" customHeight="1" x14ac:dyDescent="0.35">
      <c r="A119" s="1631" t="s">
        <v>174</v>
      </c>
      <c r="B119" s="559" t="s">
        <v>19</v>
      </c>
      <c r="C119" s="558"/>
      <c r="D119" s="558"/>
      <c r="E119" s="558"/>
      <c r="F119" s="582">
        <f>SUM(F117:F118)</f>
        <v>110443000</v>
      </c>
      <c r="G119" s="558"/>
      <c r="H119" s="558"/>
      <c r="I119" s="558"/>
      <c r="J119" s="558"/>
      <c r="K119" s="558"/>
      <c r="L119" s="558"/>
      <c r="M119" s="558"/>
      <c r="N119" s="558"/>
    </row>
    <row r="120" spans="1:14" ht="18" customHeight="1" x14ac:dyDescent="0.35">
      <c r="A120" s="1631"/>
      <c r="B120" s="559"/>
      <c r="C120" s="558"/>
      <c r="D120" s="558"/>
      <c r="E120" s="558"/>
      <c r="F120" s="558"/>
      <c r="G120" s="558"/>
      <c r="H120" s="558"/>
      <c r="I120" s="558"/>
      <c r="J120" s="558"/>
      <c r="K120" s="558"/>
      <c r="L120" s="558"/>
      <c r="M120" s="558"/>
      <c r="N120" s="558"/>
    </row>
    <row r="121" spans="1:14" ht="18" customHeight="1" x14ac:dyDescent="0.35">
      <c r="A121" s="1631" t="s">
        <v>167</v>
      </c>
      <c r="B121" s="559" t="s">
        <v>36</v>
      </c>
      <c r="C121" s="558"/>
      <c r="D121" s="558"/>
      <c r="E121" s="558"/>
      <c r="F121" s="565">
        <v>107006000</v>
      </c>
      <c r="G121" s="558"/>
      <c r="H121" s="558"/>
      <c r="I121" s="558"/>
      <c r="J121" s="558"/>
      <c r="K121" s="558"/>
      <c r="L121" s="558"/>
      <c r="M121" s="558"/>
      <c r="N121" s="558"/>
    </row>
    <row r="122" spans="1:14" ht="18" customHeight="1" x14ac:dyDescent="0.35">
      <c r="A122" s="1631"/>
      <c r="B122" s="558"/>
      <c r="C122" s="558"/>
      <c r="D122" s="558"/>
      <c r="E122" s="558"/>
      <c r="F122" s="558"/>
      <c r="G122" s="558"/>
      <c r="H122" s="558"/>
      <c r="I122" s="558"/>
      <c r="J122" s="558"/>
      <c r="K122" s="558"/>
      <c r="L122" s="558"/>
      <c r="M122" s="558"/>
      <c r="N122" s="558"/>
    </row>
    <row r="123" spans="1:14" ht="18" customHeight="1" x14ac:dyDescent="0.35">
      <c r="A123" s="1631" t="s">
        <v>175</v>
      </c>
      <c r="B123" s="559" t="s">
        <v>20</v>
      </c>
      <c r="C123" s="558"/>
      <c r="D123" s="558"/>
      <c r="E123" s="558"/>
      <c r="F123" s="565">
        <v>3437000</v>
      </c>
      <c r="G123" s="558"/>
      <c r="H123" s="558"/>
      <c r="I123" s="558"/>
      <c r="J123" s="558"/>
      <c r="K123" s="558"/>
      <c r="L123" s="558"/>
      <c r="M123" s="558"/>
      <c r="N123" s="558"/>
    </row>
    <row r="124" spans="1:14" ht="18" customHeight="1" x14ac:dyDescent="0.35">
      <c r="A124" s="1631"/>
      <c r="B124" s="558"/>
      <c r="C124" s="558"/>
      <c r="D124" s="558"/>
      <c r="E124" s="558"/>
      <c r="F124" s="558"/>
      <c r="G124" s="558"/>
      <c r="H124" s="558"/>
      <c r="I124" s="558"/>
      <c r="J124" s="558"/>
      <c r="K124" s="558"/>
      <c r="L124" s="558"/>
      <c r="M124" s="558"/>
      <c r="N124" s="558"/>
    </row>
    <row r="125" spans="1:14" ht="18" customHeight="1" x14ac:dyDescent="0.35">
      <c r="A125" s="1631" t="s">
        <v>176</v>
      </c>
      <c r="B125" s="559" t="s">
        <v>21</v>
      </c>
      <c r="C125" s="558"/>
      <c r="D125" s="558"/>
      <c r="E125" s="558"/>
      <c r="F125" s="565">
        <v>3350000</v>
      </c>
      <c r="G125" s="558"/>
      <c r="H125" s="558"/>
      <c r="I125" s="558"/>
      <c r="J125" s="558"/>
      <c r="K125" s="558"/>
      <c r="L125" s="558"/>
      <c r="M125" s="558"/>
      <c r="N125" s="558"/>
    </row>
    <row r="126" spans="1:14" ht="18" customHeight="1" x14ac:dyDescent="0.35">
      <c r="A126" s="1631"/>
      <c r="B126" s="558"/>
      <c r="C126" s="558"/>
      <c r="D126" s="558"/>
      <c r="E126" s="558"/>
      <c r="F126" s="558"/>
      <c r="G126" s="558"/>
      <c r="H126" s="558"/>
      <c r="I126" s="558"/>
      <c r="J126" s="558"/>
      <c r="K126" s="558"/>
      <c r="L126" s="558"/>
      <c r="M126" s="558"/>
      <c r="N126" s="558"/>
    </row>
    <row r="127" spans="1:14" ht="18" customHeight="1" x14ac:dyDescent="0.35">
      <c r="A127" s="1631" t="s">
        <v>177</v>
      </c>
      <c r="B127" s="559" t="s">
        <v>22</v>
      </c>
      <c r="C127" s="558"/>
      <c r="D127" s="558"/>
      <c r="E127" s="558"/>
      <c r="F127" s="565">
        <v>6787000</v>
      </c>
      <c r="G127" s="558"/>
      <c r="H127" s="558"/>
      <c r="I127" s="558"/>
      <c r="J127" s="558"/>
      <c r="K127" s="558"/>
      <c r="L127" s="558"/>
      <c r="M127" s="558"/>
      <c r="N127" s="558"/>
    </row>
    <row r="128" spans="1:14" ht="18" customHeight="1" x14ac:dyDescent="0.35">
      <c r="A128" s="1631"/>
      <c r="B128" s="558"/>
      <c r="C128" s="558"/>
      <c r="D128" s="558"/>
      <c r="E128" s="558"/>
      <c r="F128" s="558"/>
      <c r="G128" s="558"/>
      <c r="H128" s="558"/>
      <c r="I128" s="558"/>
      <c r="J128" s="558"/>
      <c r="K128" s="558"/>
      <c r="L128" s="558"/>
      <c r="M128" s="558"/>
      <c r="N128" s="558"/>
    </row>
    <row r="129" spans="1:14" ht="42.75" customHeight="1" x14ac:dyDescent="0.35">
      <c r="A129" s="1630"/>
      <c r="B129" s="558"/>
      <c r="C129" s="558"/>
      <c r="D129" s="558"/>
      <c r="E129" s="558"/>
      <c r="F129" s="562" t="s">
        <v>9</v>
      </c>
      <c r="G129" s="562" t="s">
        <v>37</v>
      </c>
      <c r="H129" s="562" t="s">
        <v>29</v>
      </c>
      <c r="I129" s="562" t="s">
        <v>30</v>
      </c>
      <c r="J129" s="562" t="s">
        <v>33</v>
      </c>
      <c r="K129" s="562" t="s">
        <v>34</v>
      </c>
      <c r="L129" s="558"/>
      <c r="M129" s="558"/>
      <c r="N129" s="558"/>
    </row>
    <row r="130" spans="1:14" ht="18" customHeight="1" x14ac:dyDescent="0.35">
      <c r="A130" s="1631" t="s">
        <v>157</v>
      </c>
      <c r="B130" s="559" t="s">
        <v>23</v>
      </c>
      <c r="C130" s="558"/>
      <c r="D130" s="558"/>
      <c r="E130" s="558"/>
      <c r="F130" s="558"/>
      <c r="G130" s="558"/>
      <c r="H130" s="558"/>
      <c r="I130" s="558"/>
      <c r="J130" s="558"/>
      <c r="K130" s="558"/>
      <c r="L130" s="558"/>
      <c r="M130" s="558"/>
      <c r="N130" s="558"/>
    </row>
    <row r="131" spans="1:14" ht="18" customHeight="1" x14ac:dyDescent="0.35">
      <c r="A131" s="1631" t="s">
        <v>158</v>
      </c>
      <c r="B131" s="558" t="s">
        <v>24</v>
      </c>
      <c r="C131" s="558"/>
      <c r="D131" s="558"/>
      <c r="E131" s="558"/>
      <c r="F131" s="568"/>
      <c r="G131" s="568"/>
      <c r="H131" s="569"/>
      <c r="I131" s="570">
        <v>0</v>
      </c>
      <c r="J131" s="569"/>
      <c r="K131" s="571">
        <f>(H131+I131)-J131</f>
        <v>0</v>
      </c>
      <c r="L131" s="558"/>
      <c r="M131" s="558"/>
      <c r="N131" s="558"/>
    </row>
    <row r="132" spans="1:14" ht="18" customHeight="1" x14ac:dyDescent="0.35">
      <c r="A132" s="1631" t="s">
        <v>159</v>
      </c>
      <c r="B132" s="558" t="s">
        <v>25</v>
      </c>
      <c r="C132" s="558"/>
      <c r="D132" s="558"/>
      <c r="E132" s="558"/>
      <c r="F132" s="568"/>
      <c r="G132" s="568"/>
      <c r="H132" s="569"/>
      <c r="I132" s="570">
        <v>0</v>
      </c>
      <c r="J132" s="569"/>
      <c r="K132" s="571">
        <f>(H132+I132)-J132</f>
        <v>0</v>
      </c>
      <c r="L132" s="558"/>
      <c r="M132" s="558"/>
      <c r="N132" s="558"/>
    </row>
    <row r="133" spans="1:14" ht="18" customHeight="1" x14ac:dyDescent="0.35">
      <c r="A133" s="1631" t="s">
        <v>160</v>
      </c>
      <c r="B133" s="1601"/>
      <c r="C133" s="1602"/>
      <c r="D133" s="1603"/>
      <c r="E133" s="558"/>
      <c r="F133" s="568"/>
      <c r="G133" s="568"/>
      <c r="H133" s="569"/>
      <c r="I133" s="570">
        <v>0</v>
      </c>
      <c r="J133" s="569"/>
      <c r="K133" s="571">
        <f>(H133+I133)-J133</f>
        <v>0</v>
      </c>
      <c r="L133" s="558"/>
      <c r="M133" s="558"/>
      <c r="N133" s="558"/>
    </row>
    <row r="134" spans="1:14" ht="18" customHeight="1" x14ac:dyDescent="0.35">
      <c r="A134" s="1631" t="s">
        <v>161</v>
      </c>
      <c r="B134" s="1601"/>
      <c r="C134" s="1602"/>
      <c r="D134" s="1603"/>
      <c r="E134" s="558"/>
      <c r="F134" s="568"/>
      <c r="G134" s="568"/>
      <c r="H134" s="569"/>
      <c r="I134" s="570">
        <v>0</v>
      </c>
      <c r="J134" s="569"/>
      <c r="K134" s="571">
        <f>(H134+I134)-J134</f>
        <v>0</v>
      </c>
      <c r="L134" s="558"/>
      <c r="M134" s="558"/>
      <c r="N134" s="558"/>
    </row>
    <row r="135" spans="1:14" ht="18" customHeight="1" x14ac:dyDescent="0.35">
      <c r="A135" s="1631" t="s">
        <v>162</v>
      </c>
      <c r="B135" s="1601"/>
      <c r="C135" s="1602"/>
      <c r="D135" s="1603"/>
      <c r="E135" s="558"/>
      <c r="F135" s="568"/>
      <c r="G135" s="568"/>
      <c r="H135" s="569"/>
      <c r="I135" s="570">
        <v>0</v>
      </c>
      <c r="J135" s="569"/>
      <c r="K135" s="571">
        <f>(H135+I135)-J135</f>
        <v>0</v>
      </c>
      <c r="L135" s="558"/>
      <c r="M135" s="558"/>
      <c r="N135" s="558"/>
    </row>
    <row r="136" spans="1:14" ht="18" customHeight="1" x14ac:dyDescent="0.35">
      <c r="A136" s="1631"/>
      <c r="B136" s="558"/>
      <c r="C136" s="558"/>
      <c r="D136" s="558"/>
      <c r="E136" s="558"/>
      <c r="F136" s="558"/>
      <c r="G136" s="558"/>
      <c r="H136" s="558"/>
      <c r="I136" s="558"/>
      <c r="J136" s="558"/>
      <c r="K136" s="558"/>
      <c r="L136" s="558"/>
      <c r="M136" s="558"/>
      <c r="N136" s="558"/>
    </row>
    <row r="137" spans="1:14" ht="18" customHeight="1" x14ac:dyDescent="0.35">
      <c r="A137" s="1631" t="s">
        <v>163</v>
      </c>
      <c r="B137" s="559" t="s">
        <v>27</v>
      </c>
      <c r="C137" s="558"/>
      <c r="D137" s="558"/>
      <c r="E137" s="558"/>
      <c r="F137" s="574">
        <f t="shared" ref="F137:K137" si="18">SUM(F131:F135)</f>
        <v>0</v>
      </c>
      <c r="G137" s="574">
        <f t="shared" si="18"/>
        <v>0</v>
      </c>
      <c r="H137" s="571">
        <f t="shared" si="18"/>
        <v>0</v>
      </c>
      <c r="I137" s="571">
        <f t="shared" si="18"/>
        <v>0</v>
      </c>
      <c r="J137" s="571">
        <f t="shared" si="18"/>
        <v>0</v>
      </c>
      <c r="K137" s="571">
        <f t="shared" si="18"/>
        <v>0</v>
      </c>
      <c r="L137" s="558"/>
      <c r="M137" s="558"/>
      <c r="N137" s="558"/>
    </row>
    <row r="138" spans="1:14" ht="18" customHeight="1" x14ac:dyDescent="0.35">
      <c r="A138" s="1630"/>
      <c r="B138" s="558"/>
      <c r="C138" s="558"/>
      <c r="D138" s="558"/>
      <c r="E138" s="558"/>
      <c r="F138" s="558"/>
      <c r="G138" s="558"/>
      <c r="H138" s="558"/>
      <c r="I138" s="558"/>
      <c r="J138" s="558"/>
      <c r="K138" s="558"/>
      <c r="L138" s="558"/>
      <c r="M138" s="558"/>
      <c r="N138" s="558"/>
    </row>
    <row r="139" spans="1:14" ht="42.75" customHeight="1" x14ac:dyDescent="0.35">
      <c r="A139" s="1630"/>
      <c r="B139" s="558"/>
      <c r="C139" s="558"/>
      <c r="D139" s="558"/>
      <c r="E139" s="558"/>
      <c r="F139" s="562" t="s">
        <v>9</v>
      </c>
      <c r="G139" s="562" t="s">
        <v>37</v>
      </c>
      <c r="H139" s="562" t="s">
        <v>29</v>
      </c>
      <c r="I139" s="562" t="s">
        <v>30</v>
      </c>
      <c r="J139" s="562" t="s">
        <v>33</v>
      </c>
      <c r="K139" s="562" t="s">
        <v>34</v>
      </c>
      <c r="L139" s="558"/>
      <c r="M139" s="558"/>
      <c r="N139" s="558"/>
    </row>
    <row r="140" spans="1:14" ht="18" customHeight="1" x14ac:dyDescent="0.35">
      <c r="A140" s="1631" t="s">
        <v>166</v>
      </c>
      <c r="B140" s="559" t="s">
        <v>26</v>
      </c>
      <c r="C140" s="558"/>
      <c r="D140" s="558"/>
      <c r="E140" s="558"/>
      <c r="F140" s="558"/>
      <c r="G140" s="558"/>
      <c r="H140" s="558"/>
      <c r="I140" s="558"/>
      <c r="J140" s="558"/>
      <c r="K140" s="558"/>
      <c r="L140" s="558"/>
      <c r="M140" s="558"/>
      <c r="N140" s="558"/>
    </row>
    <row r="141" spans="1:14" ht="18" customHeight="1" x14ac:dyDescent="0.35">
      <c r="A141" s="1631" t="s">
        <v>137</v>
      </c>
      <c r="B141" s="559" t="s">
        <v>64</v>
      </c>
      <c r="C141" s="558"/>
      <c r="D141" s="558"/>
      <c r="E141" s="558"/>
      <c r="F141" s="611">
        <f t="shared" ref="F141:K141" si="19">F36</f>
        <v>702</v>
      </c>
      <c r="G141" s="611">
        <f t="shared" si="19"/>
        <v>1761</v>
      </c>
      <c r="H141" s="612">
        <f t="shared" si="19"/>
        <v>43623</v>
      </c>
      <c r="I141" s="612">
        <f t="shared" si="19"/>
        <v>15828.425200383823</v>
      </c>
      <c r="J141" s="612">
        <f t="shared" si="19"/>
        <v>0</v>
      </c>
      <c r="K141" s="612">
        <f t="shared" si="19"/>
        <v>59451.425200383819</v>
      </c>
      <c r="L141" s="558"/>
      <c r="M141" s="558"/>
      <c r="N141" s="558"/>
    </row>
    <row r="142" spans="1:14" ht="18" customHeight="1" x14ac:dyDescent="0.35">
      <c r="A142" s="1631" t="s">
        <v>142</v>
      </c>
      <c r="B142" s="559" t="s">
        <v>65</v>
      </c>
      <c r="C142" s="558"/>
      <c r="D142" s="558"/>
      <c r="E142" s="558"/>
      <c r="F142" s="613">
        <f t="shared" ref="F142:K142" si="20">F49</f>
        <v>88709.407841638138</v>
      </c>
      <c r="G142" s="611">
        <f t="shared" si="20"/>
        <v>409</v>
      </c>
      <c r="H142" s="612">
        <f t="shared" si="20"/>
        <v>5159930.2492000014</v>
      </c>
      <c r="I142" s="612">
        <f t="shared" si="20"/>
        <v>1872259.3583352836</v>
      </c>
      <c r="J142" s="612">
        <f t="shared" si="20"/>
        <v>0</v>
      </c>
      <c r="K142" s="612">
        <f t="shared" si="20"/>
        <v>7032189.6075352849</v>
      </c>
      <c r="L142" s="558"/>
      <c r="M142" s="558"/>
      <c r="N142" s="558"/>
    </row>
    <row r="143" spans="1:14" ht="18" customHeight="1" x14ac:dyDescent="0.35">
      <c r="A143" s="1631" t="s">
        <v>144</v>
      </c>
      <c r="B143" s="559" t="s">
        <v>66</v>
      </c>
      <c r="C143" s="558"/>
      <c r="D143" s="558"/>
      <c r="E143" s="558"/>
      <c r="F143" s="611">
        <f t="shared" ref="F143:K143" si="21">F64</f>
        <v>709</v>
      </c>
      <c r="G143" s="611">
        <f t="shared" si="21"/>
        <v>617</v>
      </c>
      <c r="H143" s="612">
        <f t="shared" si="21"/>
        <v>83578</v>
      </c>
      <c r="I143" s="612">
        <f t="shared" si="21"/>
        <v>30325.931765299938</v>
      </c>
      <c r="J143" s="612">
        <f t="shared" si="21"/>
        <v>0</v>
      </c>
      <c r="K143" s="612">
        <f t="shared" si="21"/>
        <v>113903.93176529993</v>
      </c>
      <c r="L143" s="558"/>
      <c r="M143" s="558"/>
      <c r="N143" s="558"/>
    </row>
    <row r="144" spans="1:14" ht="18" customHeight="1" x14ac:dyDescent="0.35">
      <c r="A144" s="1631" t="s">
        <v>146</v>
      </c>
      <c r="B144" s="559" t="s">
        <v>67</v>
      </c>
      <c r="C144" s="558"/>
      <c r="D144" s="558"/>
      <c r="E144" s="558"/>
      <c r="F144" s="611">
        <f t="shared" ref="F144:K144" si="22">F74</f>
        <v>0</v>
      </c>
      <c r="G144" s="611">
        <f t="shared" si="22"/>
        <v>0</v>
      </c>
      <c r="H144" s="612">
        <f t="shared" si="22"/>
        <v>0</v>
      </c>
      <c r="I144" s="612">
        <f t="shared" si="22"/>
        <v>0</v>
      </c>
      <c r="J144" s="612">
        <f t="shared" si="22"/>
        <v>0</v>
      </c>
      <c r="K144" s="612">
        <f t="shared" si="22"/>
        <v>0</v>
      </c>
      <c r="L144" s="558"/>
      <c r="M144" s="558"/>
      <c r="N144" s="558"/>
    </row>
    <row r="145" spans="1:14" ht="18" customHeight="1" x14ac:dyDescent="0.35">
      <c r="A145" s="1631" t="s">
        <v>148</v>
      </c>
      <c r="B145" s="559" t="s">
        <v>68</v>
      </c>
      <c r="C145" s="558"/>
      <c r="D145" s="558"/>
      <c r="E145" s="558"/>
      <c r="F145" s="611">
        <f t="shared" ref="F145:K145" si="23">F82</f>
        <v>10</v>
      </c>
      <c r="G145" s="611">
        <f t="shared" si="23"/>
        <v>134</v>
      </c>
      <c r="H145" s="612">
        <f t="shared" si="23"/>
        <v>77688</v>
      </c>
      <c r="I145" s="612">
        <f t="shared" si="23"/>
        <v>28188.7696161983</v>
      </c>
      <c r="J145" s="612">
        <f t="shared" si="23"/>
        <v>0</v>
      </c>
      <c r="K145" s="612">
        <f t="shared" si="23"/>
        <v>105876.7696161983</v>
      </c>
      <c r="L145" s="558"/>
      <c r="M145" s="558"/>
      <c r="N145" s="558"/>
    </row>
    <row r="146" spans="1:14" ht="18" customHeight="1" x14ac:dyDescent="0.35">
      <c r="A146" s="1631" t="s">
        <v>150</v>
      </c>
      <c r="B146" s="559" t="s">
        <v>69</v>
      </c>
      <c r="C146" s="558"/>
      <c r="D146" s="558"/>
      <c r="E146" s="558"/>
      <c r="F146" s="611">
        <f t="shared" ref="F146:K146" si="24">F98</f>
        <v>3400</v>
      </c>
      <c r="G146" s="611">
        <f t="shared" si="24"/>
        <v>112</v>
      </c>
      <c r="H146" s="612">
        <f t="shared" si="24"/>
        <v>196712</v>
      </c>
      <c r="I146" s="612">
        <f t="shared" si="24"/>
        <v>71376.135937874569</v>
      </c>
      <c r="J146" s="612">
        <f t="shared" si="24"/>
        <v>0</v>
      </c>
      <c r="K146" s="612">
        <f t="shared" si="24"/>
        <v>268088.13593787455</v>
      </c>
      <c r="L146" s="558"/>
      <c r="M146" s="558"/>
      <c r="N146" s="558"/>
    </row>
    <row r="147" spans="1:14" ht="18" customHeight="1" x14ac:dyDescent="0.35">
      <c r="A147" s="1631" t="s">
        <v>153</v>
      </c>
      <c r="B147" s="559" t="s">
        <v>61</v>
      </c>
      <c r="C147" s="558"/>
      <c r="D147" s="558"/>
      <c r="E147" s="558"/>
      <c r="F147" s="614">
        <f t="shared" ref="F147:K147" si="25">F108</f>
        <v>509</v>
      </c>
      <c r="G147" s="614">
        <f t="shared" si="25"/>
        <v>0</v>
      </c>
      <c r="H147" s="575">
        <f t="shared" si="25"/>
        <v>31154</v>
      </c>
      <c r="I147" s="575">
        <f t="shared" si="25"/>
        <v>11304.100100698201</v>
      </c>
      <c r="J147" s="575">
        <f t="shared" si="25"/>
        <v>0</v>
      </c>
      <c r="K147" s="575">
        <f t="shared" si="25"/>
        <v>42458.100100698197</v>
      </c>
      <c r="L147" s="558"/>
      <c r="M147" s="558"/>
      <c r="N147" s="558"/>
    </row>
    <row r="148" spans="1:14" ht="18" customHeight="1" x14ac:dyDescent="0.35">
      <c r="A148" s="1631" t="s">
        <v>155</v>
      </c>
      <c r="B148" s="559" t="s">
        <v>70</v>
      </c>
      <c r="C148" s="558"/>
      <c r="D148" s="558"/>
      <c r="E148" s="558"/>
      <c r="F148" s="615" t="s">
        <v>73</v>
      </c>
      <c r="G148" s="615" t="s">
        <v>73</v>
      </c>
      <c r="H148" s="616" t="s">
        <v>73</v>
      </c>
      <c r="I148" s="616" t="s">
        <v>73</v>
      </c>
      <c r="J148" s="616" t="s">
        <v>73</v>
      </c>
      <c r="K148" s="617">
        <f>F111</f>
        <v>2271000</v>
      </c>
      <c r="L148" s="558"/>
      <c r="M148" s="558"/>
      <c r="N148" s="558"/>
    </row>
    <row r="149" spans="1:14" ht="18" customHeight="1" x14ac:dyDescent="0.35">
      <c r="A149" s="1631" t="s">
        <v>163</v>
      </c>
      <c r="B149" s="559" t="s">
        <v>71</v>
      </c>
      <c r="C149" s="558"/>
      <c r="D149" s="558"/>
      <c r="E149" s="558"/>
      <c r="F149" s="614">
        <f t="shared" ref="F149:K149" si="26">F137</f>
        <v>0</v>
      </c>
      <c r="G149" s="614">
        <f t="shared" si="26"/>
        <v>0</v>
      </c>
      <c r="H149" s="575">
        <f t="shared" si="26"/>
        <v>0</v>
      </c>
      <c r="I149" s="575">
        <f t="shared" si="26"/>
        <v>0</v>
      </c>
      <c r="J149" s="575">
        <f t="shared" si="26"/>
        <v>0</v>
      </c>
      <c r="K149" s="575">
        <f t="shared" si="26"/>
        <v>0</v>
      </c>
      <c r="L149" s="558"/>
      <c r="M149" s="558"/>
      <c r="N149" s="558"/>
    </row>
    <row r="150" spans="1:14" ht="18" customHeight="1" x14ac:dyDescent="0.35">
      <c r="A150" s="1631" t="s">
        <v>185</v>
      </c>
      <c r="B150" s="559" t="s">
        <v>186</v>
      </c>
      <c r="C150" s="558"/>
      <c r="D150" s="558"/>
      <c r="E150" s="558"/>
      <c r="F150" s="618" t="s">
        <v>73</v>
      </c>
      <c r="G150" s="619" t="s">
        <v>73</v>
      </c>
      <c r="H150" s="620">
        <f>H18</f>
        <v>2739966.9077848075</v>
      </c>
      <c r="I150" s="620">
        <f>I18</f>
        <v>0</v>
      </c>
      <c r="J150" s="620">
        <f>J18</f>
        <v>2315812.7153695575</v>
      </c>
      <c r="K150" s="620">
        <f>K18</f>
        <v>424154.19241525</v>
      </c>
      <c r="L150" s="558"/>
      <c r="M150" s="558"/>
      <c r="N150" s="558"/>
    </row>
    <row r="151" spans="1:14" ht="18" customHeight="1" x14ac:dyDescent="0.35">
      <c r="A151" s="1630"/>
      <c r="B151" s="559"/>
      <c r="C151" s="558"/>
      <c r="D151" s="558"/>
      <c r="E151" s="558"/>
      <c r="F151" s="588"/>
      <c r="G151" s="621"/>
      <c r="H151" s="588"/>
      <c r="I151" s="588"/>
      <c r="J151" s="588"/>
      <c r="K151" s="588"/>
      <c r="L151" s="558"/>
      <c r="M151" s="558"/>
      <c r="N151" s="558"/>
    </row>
    <row r="152" spans="1:14" ht="18" customHeight="1" x14ac:dyDescent="0.35">
      <c r="A152" s="1631" t="s">
        <v>165</v>
      </c>
      <c r="B152" s="559" t="s">
        <v>26</v>
      </c>
      <c r="C152" s="558"/>
      <c r="D152" s="558"/>
      <c r="E152" s="558"/>
      <c r="F152" s="574">
        <f t="shared" ref="F152:K152" si="27">SUM(F141:F150)</f>
        <v>94039.407841638138</v>
      </c>
      <c r="G152" s="622">
        <f t="shared" si="27"/>
        <v>3033</v>
      </c>
      <c r="H152" s="575">
        <f t="shared" si="27"/>
        <v>8332652.1569848089</v>
      </c>
      <c r="I152" s="575">
        <f t="shared" si="27"/>
        <v>2029282.7209557386</v>
      </c>
      <c r="J152" s="575">
        <f t="shared" si="27"/>
        <v>2315812.7153695575</v>
      </c>
      <c r="K152" s="575">
        <f t="shared" si="27"/>
        <v>10317122.162570991</v>
      </c>
      <c r="L152" s="558"/>
      <c r="M152" s="558"/>
      <c r="N152" s="558"/>
    </row>
    <row r="153" spans="1:14" ht="18" customHeight="1" x14ac:dyDescent="0.35">
      <c r="A153" s="1630"/>
      <c r="B153" s="558"/>
      <c r="C153" s="558"/>
      <c r="D153" s="558"/>
      <c r="E153" s="558"/>
      <c r="F153" s="558"/>
      <c r="G153" s="558"/>
      <c r="H153" s="558"/>
      <c r="I153" s="558"/>
      <c r="J153" s="558"/>
      <c r="K153" s="558"/>
      <c r="L153" s="558"/>
      <c r="M153" s="558"/>
      <c r="N153" s="558"/>
    </row>
    <row r="154" spans="1:14" ht="18" customHeight="1" x14ac:dyDescent="0.35">
      <c r="A154" s="1631" t="s">
        <v>168</v>
      </c>
      <c r="B154" s="559" t="s">
        <v>28</v>
      </c>
      <c r="C154" s="558"/>
      <c r="D154" s="558"/>
      <c r="E154" s="558"/>
      <c r="F154" s="623">
        <f>K152/F121</f>
        <v>9.6416295932667234E-2</v>
      </c>
      <c r="G154" s="558"/>
      <c r="H154" s="558"/>
      <c r="I154" s="558"/>
      <c r="J154" s="558"/>
      <c r="K154" s="558"/>
      <c r="L154" s="558"/>
      <c r="M154" s="558"/>
      <c r="N154" s="558"/>
    </row>
    <row r="155" spans="1:14" ht="18" customHeight="1" x14ac:dyDescent="0.35">
      <c r="A155" s="1631" t="s">
        <v>169</v>
      </c>
      <c r="B155" s="559" t="s">
        <v>72</v>
      </c>
      <c r="C155" s="558"/>
      <c r="D155" s="558"/>
      <c r="E155" s="558"/>
      <c r="F155" s="624">
        <f>K152/F127</f>
        <v>1.5201299782777355</v>
      </c>
      <c r="G155" s="559"/>
      <c r="H155" s="558"/>
      <c r="I155" s="558"/>
      <c r="J155" s="558"/>
      <c r="K155" s="558"/>
      <c r="L155" s="558"/>
      <c r="M155" s="558"/>
      <c r="N155" s="558"/>
    </row>
    <row r="156" spans="1:14" ht="18" customHeight="1" x14ac:dyDescent="0.35">
      <c r="A156" s="1630"/>
      <c r="B156" s="558"/>
      <c r="C156" s="558"/>
      <c r="D156" s="558"/>
      <c r="E156" s="558"/>
      <c r="F156" s="558"/>
      <c r="G156" s="559"/>
      <c r="H156" s="558"/>
      <c r="I156" s="558"/>
      <c r="J156" s="558"/>
      <c r="K156" s="558"/>
      <c r="L156" s="558"/>
      <c r="M156" s="558"/>
      <c r="N156" s="558"/>
    </row>
    <row r="157" spans="1:14" ht="18" customHeight="1" x14ac:dyDescent="0.35">
      <c r="A157" s="1630"/>
      <c r="B157" s="558"/>
      <c r="C157" s="558"/>
      <c r="D157" s="558"/>
      <c r="E157" s="558"/>
      <c r="F157" s="558"/>
      <c r="G157" s="558"/>
      <c r="H157" s="558"/>
      <c r="I157" s="558"/>
      <c r="J157" s="558"/>
      <c r="K157" s="558"/>
      <c r="L157" s="558"/>
      <c r="M157" s="558"/>
      <c r="N157" s="558"/>
    </row>
    <row r="158" spans="1:14" ht="18" customHeight="1" x14ac:dyDescent="0.35">
      <c r="A158" s="1630"/>
      <c r="B158" s="558"/>
      <c r="C158" s="558"/>
      <c r="D158" s="558"/>
      <c r="E158" s="558"/>
      <c r="F158" s="558"/>
      <c r="G158" s="558"/>
      <c r="H158" s="558"/>
      <c r="I158" s="558"/>
      <c r="J158" s="558"/>
      <c r="K158" s="558"/>
      <c r="L158" s="558"/>
      <c r="M158" s="558"/>
      <c r="N158" s="558"/>
    </row>
    <row r="159" spans="1:14" ht="18" customHeight="1" x14ac:dyDescent="0.35">
      <c r="A159" s="1630"/>
      <c r="B159" s="558"/>
      <c r="C159" s="558"/>
      <c r="D159" s="558"/>
      <c r="E159" s="558"/>
      <c r="F159" s="558"/>
      <c r="G159" s="558"/>
      <c r="H159" s="558"/>
      <c r="I159" s="558"/>
      <c r="J159" s="558"/>
      <c r="K159" s="558"/>
      <c r="L159" s="558"/>
      <c r="M159" s="558"/>
      <c r="N159" s="558"/>
    </row>
    <row r="160" spans="1:14" ht="18" customHeight="1" x14ac:dyDescent="0.35">
      <c r="A160" s="1630"/>
      <c r="B160" s="558"/>
      <c r="C160" s="558"/>
      <c r="D160" s="558"/>
      <c r="E160" s="558"/>
      <c r="F160" s="558"/>
      <c r="G160" s="558"/>
      <c r="H160" s="558"/>
      <c r="I160" s="558"/>
      <c r="J160" s="558"/>
      <c r="K160" s="558"/>
      <c r="L160" s="558"/>
      <c r="M160" s="558"/>
      <c r="N160" s="558"/>
    </row>
    <row r="161" spans="1:14" ht="18" customHeight="1" x14ac:dyDescent="0.35">
      <c r="A161" s="1630"/>
      <c r="B161" s="558"/>
      <c r="C161" s="558"/>
      <c r="D161" s="558"/>
      <c r="E161" s="558"/>
      <c r="F161" s="558"/>
      <c r="G161" s="558"/>
      <c r="H161" s="558"/>
      <c r="I161" s="558"/>
      <c r="J161" s="558"/>
      <c r="K161" s="558"/>
      <c r="L161" s="558"/>
      <c r="M161" s="558"/>
      <c r="N161" s="558"/>
    </row>
    <row r="162" spans="1:14" ht="18" customHeight="1" x14ac:dyDescent="0.3">
      <c r="A162" s="1633"/>
      <c r="B162" s="557"/>
      <c r="C162" s="557"/>
      <c r="D162" s="557"/>
      <c r="E162" s="557"/>
      <c r="F162" s="557"/>
      <c r="G162" s="557"/>
      <c r="H162" s="557"/>
      <c r="I162" s="557"/>
      <c r="J162" s="557"/>
      <c r="K162" s="557"/>
      <c r="L162" s="557"/>
      <c r="M162" s="557"/>
      <c r="N162" s="557"/>
    </row>
    <row r="163" spans="1:14" ht="18" customHeight="1" x14ac:dyDescent="0.3">
      <c r="A163" s="1633"/>
      <c r="B163" s="557"/>
      <c r="C163" s="557"/>
      <c r="D163" s="557"/>
      <c r="E163" s="557"/>
      <c r="F163" s="557"/>
      <c r="G163" s="557"/>
      <c r="H163" s="557"/>
      <c r="I163" s="557"/>
      <c r="J163" s="557"/>
      <c r="K163" s="557"/>
      <c r="L163" s="557"/>
      <c r="M163" s="557"/>
      <c r="N163" s="557"/>
    </row>
    <row r="164" spans="1:14" ht="18" customHeight="1" x14ac:dyDescent="0.3">
      <c r="A164" s="1633"/>
      <c r="B164" s="557"/>
      <c r="C164" s="557"/>
      <c r="D164" s="557"/>
      <c r="E164" s="557"/>
      <c r="F164" s="557"/>
      <c r="G164" s="557"/>
      <c r="H164" s="557"/>
      <c r="I164" s="557"/>
      <c r="J164" s="557"/>
      <c r="K164" s="557"/>
      <c r="L164" s="557"/>
      <c r="M164" s="557"/>
      <c r="N164" s="557"/>
    </row>
    <row r="165" spans="1:14" ht="18" customHeight="1" x14ac:dyDescent="0.3">
      <c r="A165" s="1633"/>
      <c r="B165" s="557"/>
      <c r="C165" s="557"/>
      <c r="D165" s="557"/>
      <c r="E165" s="557"/>
      <c r="F165" s="557"/>
      <c r="G165" s="557"/>
      <c r="H165" s="557"/>
      <c r="I165" s="557"/>
      <c r="J165" s="557"/>
      <c r="K165" s="557"/>
      <c r="L165" s="557"/>
      <c r="M165" s="557"/>
      <c r="N165" s="557"/>
    </row>
    <row r="166" spans="1:14" ht="18" customHeight="1" x14ac:dyDescent="0.3">
      <c r="A166" s="1633"/>
      <c r="B166" s="557"/>
      <c r="C166" s="557"/>
      <c r="D166" s="557"/>
      <c r="E166" s="557"/>
      <c r="F166" s="557"/>
      <c r="G166" s="557"/>
      <c r="H166" s="557"/>
      <c r="I166" s="557"/>
      <c r="J166" s="557"/>
      <c r="K166" s="557"/>
      <c r="L166" s="557"/>
      <c r="M166" s="557"/>
      <c r="N166" s="557"/>
    </row>
    <row r="167" spans="1:14" ht="18" customHeight="1" x14ac:dyDescent="0.3">
      <c r="A167" s="1633"/>
      <c r="B167" s="557"/>
      <c r="C167" s="557"/>
      <c r="D167" s="557"/>
      <c r="E167" s="557"/>
      <c r="F167" s="557"/>
      <c r="G167" s="557"/>
      <c r="H167" s="557"/>
      <c r="I167" s="557"/>
      <c r="J167" s="557"/>
      <c r="K167" s="557"/>
      <c r="L167" s="557"/>
      <c r="M167" s="557"/>
      <c r="N167" s="557"/>
    </row>
    <row r="168" spans="1:14" ht="18" customHeight="1" x14ac:dyDescent="0.3">
      <c r="A168" s="1633"/>
      <c r="B168" s="557"/>
      <c r="C168" s="557"/>
      <c r="D168" s="557"/>
      <c r="E168" s="557"/>
      <c r="F168" s="557"/>
      <c r="G168" s="557"/>
      <c r="H168" s="557"/>
      <c r="I168" s="557"/>
      <c r="J168" s="557"/>
      <c r="K168" s="557"/>
      <c r="L168" s="557"/>
      <c r="M168" s="557"/>
      <c r="N168" s="557"/>
    </row>
    <row r="169" spans="1:14" ht="18" customHeight="1" x14ac:dyDescent="0.3">
      <c r="A169" s="1633"/>
      <c r="B169" s="557"/>
      <c r="C169" s="557"/>
      <c r="D169" s="557"/>
      <c r="E169" s="557"/>
      <c r="F169" s="557"/>
      <c r="G169" s="557"/>
      <c r="H169" s="557"/>
      <c r="I169" s="557"/>
      <c r="J169" s="557"/>
      <c r="K169" s="557"/>
      <c r="L169" s="557"/>
      <c r="M169" s="557"/>
      <c r="N169" s="557"/>
    </row>
    <row r="170" spans="1:14" ht="18" customHeight="1" x14ac:dyDescent="0.3">
      <c r="A170" s="1633"/>
      <c r="B170" s="557"/>
      <c r="C170" s="557"/>
      <c r="D170" s="557"/>
      <c r="E170" s="557"/>
      <c r="F170" s="557"/>
      <c r="G170" s="557"/>
      <c r="H170" s="557"/>
      <c r="I170" s="557"/>
      <c r="J170" s="557"/>
      <c r="K170" s="557"/>
      <c r="L170" s="557"/>
      <c r="M170" s="557"/>
      <c r="N170" s="557"/>
    </row>
    <row r="171" spans="1:14" ht="18" customHeight="1" x14ac:dyDescent="0.3">
      <c r="A171" s="1633"/>
      <c r="B171" s="557"/>
      <c r="C171" s="557"/>
      <c r="D171" s="557"/>
      <c r="E171" s="557"/>
      <c r="F171" s="557"/>
      <c r="G171" s="557"/>
      <c r="H171" s="557"/>
      <c r="I171" s="557"/>
      <c r="J171" s="557"/>
      <c r="K171" s="557"/>
      <c r="L171" s="557"/>
      <c r="M171" s="557"/>
      <c r="N171" s="557"/>
    </row>
    <row r="172" spans="1:14" ht="18" customHeight="1" x14ac:dyDescent="0.3">
      <c r="A172" s="1633"/>
      <c r="B172" s="557"/>
      <c r="C172" s="557"/>
      <c r="D172" s="557"/>
      <c r="E172" s="557"/>
      <c r="F172" s="557"/>
      <c r="G172" s="557"/>
      <c r="H172" s="557"/>
      <c r="I172" s="557"/>
      <c r="J172" s="557"/>
      <c r="K172" s="557"/>
      <c r="L172" s="557"/>
      <c r="M172" s="557"/>
      <c r="N172" s="557"/>
    </row>
    <row r="173" spans="1:14" ht="18" customHeight="1" x14ac:dyDescent="0.3">
      <c r="A173" s="1633"/>
      <c r="B173" s="557"/>
      <c r="C173" s="557"/>
      <c r="D173" s="557"/>
      <c r="E173" s="557"/>
      <c r="F173" s="557"/>
      <c r="G173" s="557"/>
      <c r="H173" s="557"/>
      <c r="I173" s="557"/>
      <c r="J173" s="557"/>
      <c r="K173" s="557"/>
      <c r="L173" s="557"/>
      <c r="M173" s="557"/>
      <c r="N173" s="557"/>
    </row>
    <row r="174" spans="1:14" ht="18" customHeight="1" x14ac:dyDescent="0.3">
      <c r="A174" s="1633"/>
      <c r="B174" s="557"/>
      <c r="C174" s="557"/>
      <c r="D174" s="557"/>
      <c r="E174" s="557"/>
      <c r="F174" s="557"/>
      <c r="G174" s="557"/>
      <c r="H174" s="557"/>
      <c r="I174" s="557"/>
      <c r="J174" s="557"/>
      <c r="K174" s="557"/>
      <c r="L174" s="557"/>
      <c r="M174" s="557"/>
      <c r="N174" s="557"/>
    </row>
    <row r="175" spans="1:14" ht="18" customHeight="1" x14ac:dyDescent="0.3">
      <c r="A175" s="1633"/>
      <c r="B175" s="557"/>
      <c r="C175" s="557"/>
      <c r="D175" s="557"/>
      <c r="E175" s="557"/>
      <c r="F175" s="557"/>
      <c r="G175" s="557"/>
      <c r="H175" s="557"/>
      <c r="I175" s="557"/>
      <c r="J175" s="557"/>
      <c r="K175" s="557"/>
      <c r="L175" s="557"/>
      <c r="M175" s="557"/>
      <c r="N175" s="557"/>
    </row>
    <row r="176" spans="1:14" ht="18" customHeight="1" x14ac:dyDescent="0.3">
      <c r="A176" s="1633"/>
      <c r="B176" s="557"/>
      <c r="C176" s="557"/>
      <c r="D176" s="557"/>
      <c r="E176" s="557"/>
      <c r="F176" s="557"/>
      <c r="G176" s="557"/>
      <c r="H176" s="557"/>
      <c r="I176" s="557"/>
      <c r="J176" s="557"/>
      <c r="K176" s="557"/>
      <c r="L176" s="557"/>
      <c r="M176" s="557"/>
      <c r="N176" s="557"/>
    </row>
    <row r="177" spans="1:14" ht="18" customHeight="1" x14ac:dyDescent="0.3">
      <c r="A177" s="1633"/>
      <c r="B177" s="557"/>
      <c r="C177" s="557"/>
      <c r="D177" s="557"/>
      <c r="E177" s="557"/>
      <c r="F177" s="557"/>
      <c r="G177" s="557"/>
      <c r="H177" s="557"/>
      <c r="I177" s="557"/>
      <c r="J177" s="557"/>
      <c r="K177" s="557"/>
      <c r="L177" s="557"/>
      <c r="M177" s="557"/>
      <c r="N177" s="557"/>
    </row>
    <row r="178" spans="1:14" ht="18" customHeight="1" x14ac:dyDescent="0.3">
      <c r="A178" s="1633"/>
      <c r="B178" s="557"/>
      <c r="C178" s="557"/>
      <c r="D178" s="557"/>
      <c r="E178" s="557"/>
      <c r="F178" s="557"/>
      <c r="G178" s="557"/>
      <c r="H178" s="557"/>
      <c r="I178" s="557"/>
      <c r="J178" s="557"/>
      <c r="K178" s="557"/>
      <c r="L178" s="557"/>
      <c r="M178" s="557"/>
      <c r="N178" s="557"/>
    </row>
    <row r="179" spans="1:14" ht="18" customHeight="1" x14ac:dyDescent="0.3">
      <c r="A179" s="1633"/>
      <c r="B179" s="557"/>
      <c r="C179" s="557"/>
      <c r="D179" s="557"/>
      <c r="E179" s="557"/>
      <c r="F179" s="557"/>
      <c r="G179" s="557"/>
      <c r="H179" s="557"/>
      <c r="I179" s="557"/>
      <c r="J179" s="557"/>
      <c r="K179" s="557"/>
      <c r="L179" s="557"/>
      <c r="M179" s="557"/>
      <c r="N179" s="557"/>
    </row>
    <row r="180" spans="1:14" ht="18" customHeight="1" x14ac:dyDescent="0.3">
      <c r="A180" s="1633"/>
      <c r="B180" s="557"/>
      <c r="C180" s="557"/>
      <c r="D180" s="557"/>
      <c r="E180" s="557"/>
      <c r="F180" s="557"/>
      <c r="G180" s="557"/>
      <c r="H180" s="557"/>
      <c r="I180" s="557"/>
      <c r="J180" s="557"/>
      <c r="K180" s="557"/>
      <c r="L180" s="557"/>
      <c r="M180" s="557"/>
      <c r="N180" s="557"/>
    </row>
    <row r="181" spans="1:14" ht="18" customHeight="1" x14ac:dyDescent="0.3">
      <c r="A181" s="1633"/>
      <c r="B181" s="557"/>
      <c r="C181" s="557"/>
      <c r="D181" s="557"/>
      <c r="E181" s="557"/>
      <c r="F181" s="557"/>
      <c r="G181" s="557"/>
      <c r="H181" s="557"/>
      <c r="I181" s="557"/>
      <c r="J181" s="557"/>
      <c r="K181" s="557"/>
      <c r="L181" s="557"/>
      <c r="M181" s="557"/>
      <c r="N181" s="557"/>
    </row>
    <row r="182" spans="1:14" ht="18" customHeight="1" x14ac:dyDescent="0.3">
      <c r="A182" s="1633"/>
      <c r="B182" s="557"/>
      <c r="C182" s="557"/>
      <c r="D182" s="557"/>
      <c r="E182" s="557"/>
      <c r="F182" s="557"/>
      <c r="G182" s="557"/>
      <c r="H182" s="557"/>
      <c r="I182" s="557"/>
      <c r="J182" s="557"/>
      <c r="K182" s="557"/>
      <c r="L182" s="557"/>
      <c r="M182" s="557"/>
      <c r="N182" s="557"/>
    </row>
    <row r="183" spans="1:14" ht="18" customHeight="1" x14ac:dyDescent="0.3">
      <c r="A183" s="1633"/>
      <c r="B183" s="557"/>
      <c r="C183" s="557"/>
      <c r="D183" s="557"/>
      <c r="E183" s="557"/>
      <c r="F183" s="557"/>
      <c r="G183" s="557"/>
      <c r="H183" s="557"/>
      <c r="I183" s="557"/>
      <c r="J183" s="557"/>
      <c r="K183" s="557"/>
      <c r="L183" s="557"/>
      <c r="M183" s="557"/>
      <c r="N183" s="557"/>
    </row>
    <row r="184" spans="1:14" ht="18" customHeight="1" x14ac:dyDescent="0.3">
      <c r="A184" s="1633"/>
      <c r="B184" s="557"/>
      <c r="C184" s="557"/>
      <c r="D184" s="557"/>
      <c r="E184" s="557"/>
      <c r="F184" s="557"/>
      <c r="G184" s="557"/>
      <c r="H184" s="557"/>
      <c r="I184" s="557"/>
      <c r="J184" s="557"/>
      <c r="K184" s="557"/>
      <c r="L184" s="557"/>
      <c r="M184" s="557"/>
      <c r="N184" s="557"/>
    </row>
    <row r="185" spans="1:14" ht="18" customHeight="1" x14ac:dyDescent="0.3">
      <c r="A185" s="1633"/>
      <c r="B185" s="557"/>
      <c r="C185" s="557"/>
      <c r="D185" s="557"/>
      <c r="E185" s="557"/>
      <c r="F185" s="557"/>
      <c r="G185" s="557"/>
      <c r="H185" s="557"/>
      <c r="I185" s="557"/>
      <c r="J185" s="557"/>
      <c r="K185" s="557"/>
      <c r="L185" s="557"/>
      <c r="M185" s="557"/>
      <c r="N185" s="557"/>
    </row>
    <row r="186" spans="1:14" ht="18" customHeight="1" x14ac:dyDescent="0.3">
      <c r="A186" s="1633"/>
      <c r="B186" s="557"/>
      <c r="C186" s="557"/>
      <c r="D186" s="557"/>
      <c r="E186" s="557"/>
      <c r="F186" s="557"/>
      <c r="G186" s="557"/>
      <c r="H186" s="557"/>
      <c r="I186" s="557"/>
      <c r="J186" s="557"/>
      <c r="K186" s="557"/>
      <c r="L186" s="557"/>
      <c r="M186" s="557"/>
      <c r="N186" s="557"/>
    </row>
    <row r="187" spans="1:14" ht="18" customHeight="1" x14ac:dyDescent="0.3">
      <c r="A187" s="1633"/>
      <c r="B187" s="557"/>
      <c r="C187" s="557"/>
      <c r="D187" s="557"/>
      <c r="E187" s="557"/>
      <c r="F187" s="557"/>
      <c r="G187" s="557"/>
      <c r="H187" s="557"/>
      <c r="I187" s="557"/>
      <c r="J187" s="557"/>
      <c r="K187" s="557"/>
      <c r="L187" s="557"/>
      <c r="M187" s="557"/>
      <c r="N187" s="557"/>
    </row>
    <row r="188" spans="1:14" ht="18" customHeight="1" x14ac:dyDescent="0.3">
      <c r="A188" s="1633"/>
      <c r="B188" s="557"/>
      <c r="C188" s="557"/>
      <c r="D188" s="557"/>
      <c r="E188" s="557"/>
      <c r="F188" s="557"/>
      <c r="G188" s="557"/>
      <c r="H188" s="557"/>
      <c r="I188" s="557"/>
      <c r="J188" s="557"/>
      <c r="K188" s="557"/>
      <c r="L188" s="557"/>
      <c r="M188" s="557"/>
      <c r="N188" s="557"/>
    </row>
    <row r="189" spans="1:14" ht="18" customHeight="1" x14ac:dyDescent="0.3">
      <c r="A189" s="1633"/>
      <c r="B189" s="557"/>
      <c r="C189" s="557"/>
      <c r="D189" s="557"/>
      <c r="E189" s="557"/>
      <c r="F189" s="557"/>
      <c r="G189" s="557"/>
      <c r="H189" s="557"/>
      <c r="I189" s="557"/>
      <c r="J189" s="557"/>
      <c r="K189" s="557"/>
      <c r="L189" s="557"/>
      <c r="M189" s="557"/>
      <c r="N189" s="557"/>
    </row>
    <row r="190" spans="1:14" ht="18" customHeight="1" x14ac:dyDescent="0.3">
      <c r="A190" s="1633"/>
      <c r="B190" s="557"/>
      <c r="C190" s="557"/>
      <c r="D190" s="557"/>
      <c r="E190" s="557"/>
      <c r="F190" s="557"/>
      <c r="G190" s="557"/>
      <c r="H190" s="557"/>
      <c r="I190" s="557"/>
      <c r="J190" s="557"/>
      <c r="K190" s="557"/>
      <c r="L190" s="557"/>
      <c r="M190" s="557"/>
      <c r="N190" s="557"/>
    </row>
    <row r="191" spans="1:14" ht="18" customHeight="1" x14ac:dyDescent="0.3">
      <c r="A191" s="1633"/>
      <c r="B191" s="557"/>
      <c r="C191" s="557"/>
      <c r="D191" s="557"/>
      <c r="E191" s="557"/>
      <c r="F191" s="557"/>
      <c r="G191" s="557"/>
      <c r="H191" s="557"/>
      <c r="I191" s="557"/>
      <c r="J191" s="557"/>
      <c r="K191" s="557"/>
      <c r="L191" s="557"/>
      <c r="M191" s="557"/>
      <c r="N191" s="557"/>
    </row>
    <row r="192" spans="1:14" ht="18" customHeight="1" x14ac:dyDescent="0.3">
      <c r="A192" s="1633"/>
      <c r="B192" s="557"/>
      <c r="C192" s="557"/>
      <c r="D192" s="557"/>
      <c r="E192" s="557"/>
      <c r="F192" s="557"/>
      <c r="G192" s="557"/>
      <c r="H192" s="557"/>
      <c r="I192" s="557"/>
      <c r="J192" s="557"/>
      <c r="K192" s="557"/>
      <c r="L192" s="557"/>
      <c r="M192" s="557"/>
      <c r="N192" s="557"/>
    </row>
    <row r="193" spans="1:14" ht="18" customHeight="1" x14ac:dyDescent="0.3">
      <c r="A193" s="1633"/>
      <c r="B193" s="557"/>
      <c r="C193" s="557"/>
      <c r="D193" s="557"/>
      <c r="E193" s="557"/>
      <c r="F193" s="557"/>
      <c r="G193" s="557"/>
      <c r="H193" s="557"/>
      <c r="I193" s="557"/>
      <c r="J193" s="557"/>
      <c r="K193" s="557"/>
      <c r="L193" s="557"/>
      <c r="M193" s="557"/>
      <c r="N193" s="557"/>
    </row>
    <row r="194" spans="1:14" ht="18" customHeight="1" x14ac:dyDescent="0.3">
      <c r="A194" s="1633"/>
      <c r="B194" s="557"/>
      <c r="C194" s="557"/>
      <c r="D194" s="557"/>
      <c r="E194" s="557"/>
      <c r="F194" s="557"/>
      <c r="G194" s="557"/>
      <c r="H194" s="557"/>
      <c r="I194" s="557"/>
      <c r="J194" s="557"/>
      <c r="K194" s="557"/>
      <c r="L194" s="557"/>
      <c r="M194" s="557"/>
      <c r="N194" s="557"/>
    </row>
    <row r="195" spans="1:14" ht="18" customHeight="1" x14ac:dyDescent="0.3">
      <c r="A195" s="1633"/>
      <c r="B195" s="557"/>
      <c r="C195" s="557"/>
      <c r="D195" s="557"/>
      <c r="E195" s="557"/>
      <c r="F195" s="557"/>
      <c r="G195" s="557"/>
      <c r="H195" s="557"/>
      <c r="I195" s="557"/>
      <c r="J195" s="557"/>
      <c r="K195" s="557"/>
      <c r="L195" s="557"/>
      <c r="M195" s="557"/>
      <c r="N195" s="557"/>
    </row>
    <row r="196" spans="1:14" ht="18" customHeight="1" x14ac:dyDescent="0.3">
      <c r="A196" s="1633"/>
      <c r="B196" s="557"/>
      <c r="C196" s="557"/>
      <c r="D196" s="557"/>
      <c r="E196" s="557"/>
      <c r="F196" s="557"/>
      <c r="G196" s="557"/>
      <c r="H196" s="557"/>
      <c r="I196" s="557"/>
      <c r="J196" s="557"/>
      <c r="K196" s="557"/>
      <c r="L196" s="557"/>
      <c r="M196" s="557"/>
      <c r="N196" s="557"/>
    </row>
    <row r="197" spans="1:14" ht="18" customHeight="1" x14ac:dyDescent="0.3">
      <c r="A197" s="1633"/>
      <c r="B197" s="557"/>
      <c r="C197" s="557"/>
      <c r="D197" s="557"/>
      <c r="E197" s="557"/>
      <c r="F197" s="557"/>
      <c r="G197" s="557"/>
      <c r="H197" s="557"/>
      <c r="I197" s="557"/>
      <c r="J197" s="557"/>
      <c r="K197" s="557"/>
      <c r="L197" s="557"/>
      <c r="M197" s="557"/>
      <c r="N197" s="557"/>
    </row>
    <row r="198" spans="1:14" ht="18" customHeight="1" x14ac:dyDescent="0.3">
      <c r="A198" s="1633"/>
      <c r="B198" s="557"/>
      <c r="C198" s="557"/>
      <c r="D198" s="557"/>
      <c r="E198" s="557"/>
      <c r="F198" s="557"/>
      <c r="G198" s="557"/>
      <c r="H198" s="557"/>
      <c r="I198" s="557"/>
      <c r="J198" s="557"/>
      <c r="K198" s="557"/>
      <c r="L198" s="557"/>
      <c r="M198" s="557"/>
      <c r="N198" s="557"/>
    </row>
    <row r="199" spans="1:14" ht="18" customHeight="1" x14ac:dyDescent="0.3">
      <c r="A199" s="1633"/>
      <c r="B199" s="557"/>
      <c r="C199" s="557"/>
      <c r="D199" s="557"/>
      <c r="E199" s="557"/>
      <c r="F199" s="557"/>
      <c r="G199" s="557"/>
      <c r="H199" s="557"/>
      <c r="I199" s="557"/>
      <c r="J199" s="557"/>
      <c r="K199" s="557"/>
      <c r="L199" s="557"/>
      <c r="M199" s="557"/>
      <c r="N199" s="557"/>
    </row>
    <row r="200" spans="1:14" ht="18" customHeight="1" x14ac:dyDescent="0.3">
      <c r="A200" s="1633"/>
      <c r="B200" s="557"/>
      <c r="C200" s="557"/>
      <c r="D200" s="557"/>
      <c r="E200" s="557"/>
      <c r="F200" s="557"/>
      <c r="G200" s="557"/>
      <c r="H200" s="557"/>
      <c r="I200" s="557"/>
      <c r="J200" s="557"/>
      <c r="K200" s="557"/>
      <c r="L200" s="557"/>
      <c r="M200" s="557"/>
      <c r="N200" s="557"/>
    </row>
    <row r="201" spans="1:14" ht="18" customHeight="1" x14ac:dyDescent="0.3">
      <c r="A201" s="1633"/>
      <c r="B201" s="557"/>
      <c r="C201" s="557"/>
      <c r="D201" s="557"/>
      <c r="E201" s="557"/>
      <c r="F201" s="557"/>
      <c r="G201" s="557"/>
      <c r="H201" s="557"/>
      <c r="I201" s="557"/>
      <c r="J201" s="557"/>
      <c r="K201" s="557"/>
      <c r="L201" s="557"/>
      <c r="M201" s="557"/>
      <c r="N201" s="557"/>
    </row>
    <row r="202" spans="1:14" ht="18" customHeight="1" x14ac:dyDescent="0.3">
      <c r="A202" s="1633"/>
      <c r="B202" s="557"/>
      <c r="C202" s="557"/>
      <c r="D202" s="557"/>
      <c r="E202" s="557"/>
      <c r="F202" s="557"/>
      <c r="G202" s="557"/>
      <c r="H202" s="557"/>
      <c r="I202" s="557"/>
      <c r="J202" s="557"/>
      <c r="K202" s="557"/>
      <c r="L202" s="557"/>
      <c r="M202" s="557"/>
      <c r="N202" s="557"/>
    </row>
    <row r="203" spans="1:14" ht="18" customHeight="1" x14ac:dyDescent="0.3">
      <c r="A203" s="1633"/>
      <c r="B203" s="557"/>
      <c r="C203" s="557"/>
      <c r="D203" s="557"/>
      <c r="E203" s="557"/>
      <c r="F203" s="557"/>
      <c r="G203" s="557"/>
      <c r="H203" s="557"/>
      <c r="I203" s="557"/>
      <c r="J203" s="557"/>
      <c r="K203" s="557"/>
      <c r="L203" s="557"/>
      <c r="M203" s="557"/>
      <c r="N203" s="557"/>
    </row>
    <row r="204" spans="1:14" ht="18" customHeight="1" x14ac:dyDescent="0.3">
      <c r="A204" s="1633"/>
      <c r="B204" s="557"/>
      <c r="C204" s="557"/>
      <c r="D204" s="557"/>
      <c r="E204" s="557"/>
      <c r="F204" s="557"/>
      <c r="G204" s="557"/>
      <c r="H204" s="557"/>
      <c r="I204" s="557"/>
      <c r="J204" s="557"/>
      <c r="K204" s="557"/>
      <c r="L204" s="557"/>
      <c r="M204" s="557"/>
      <c r="N204" s="557"/>
    </row>
    <row r="205" spans="1:14" ht="18" customHeight="1" x14ac:dyDescent="0.3">
      <c r="A205" s="1633"/>
      <c r="B205" s="557"/>
      <c r="C205" s="557"/>
      <c r="D205" s="557"/>
      <c r="E205" s="557"/>
      <c r="F205" s="557"/>
      <c r="G205" s="557"/>
      <c r="H205" s="557"/>
      <c r="I205" s="557"/>
      <c r="J205" s="557"/>
      <c r="K205" s="557"/>
      <c r="L205" s="557"/>
      <c r="M205" s="557"/>
      <c r="N205" s="557"/>
    </row>
    <row r="206" spans="1:14" ht="18" customHeight="1" x14ac:dyDescent="0.3">
      <c r="A206" s="1633"/>
      <c r="B206" s="557"/>
      <c r="C206" s="557"/>
      <c r="D206" s="557"/>
      <c r="E206" s="557"/>
      <c r="F206" s="557"/>
      <c r="G206" s="557"/>
      <c r="H206" s="557"/>
      <c r="I206" s="557"/>
      <c r="J206" s="557"/>
      <c r="K206" s="557"/>
      <c r="L206" s="557"/>
      <c r="M206" s="557"/>
      <c r="N206" s="557"/>
    </row>
    <row r="207" spans="1:14" ht="18" customHeight="1" x14ac:dyDescent="0.3">
      <c r="A207" s="1633"/>
      <c r="B207" s="557"/>
      <c r="C207" s="557"/>
      <c r="D207" s="557"/>
      <c r="E207" s="557"/>
      <c r="F207" s="557"/>
      <c r="G207" s="557"/>
      <c r="H207" s="557"/>
      <c r="I207" s="557"/>
      <c r="J207" s="557"/>
      <c r="K207" s="557"/>
      <c r="L207" s="557"/>
      <c r="M207" s="557"/>
      <c r="N207" s="557"/>
    </row>
    <row r="208" spans="1:14" ht="18" customHeight="1" x14ac:dyDescent="0.3">
      <c r="A208" s="1633"/>
      <c r="B208" s="557"/>
      <c r="C208" s="557"/>
      <c r="D208" s="557"/>
      <c r="E208" s="557"/>
      <c r="F208" s="557"/>
      <c r="G208" s="557"/>
      <c r="H208" s="557"/>
      <c r="I208" s="557"/>
      <c r="J208" s="557"/>
      <c r="K208" s="557"/>
      <c r="L208" s="557"/>
      <c r="M208" s="557"/>
      <c r="N208" s="557"/>
    </row>
    <row r="209" spans="1:14" ht="18" customHeight="1" x14ac:dyDescent="0.3">
      <c r="A209" s="1633"/>
      <c r="B209" s="557"/>
      <c r="C209" s="557"/>
      <c r="D209" s="557"/>
      <c r="E209" s="557"/>
      <c r="F209" s="557"/>
      <c r="G209" s="557"/>
      <c r="H209" s="557"/>
      <c r="I209" s="557"/>
      <c r="J209" s="557"/>
      <c r="K209" s="557"/>
      <c r="L209" s="557"/>
      <c r="M209" s="557"/>
      <c r="N209" s="557"/>
    </row>
    <row r="210" spans="1:14" ht="18" customHeight="1" x14ac:dyDescent="0.3">
      <c r="A210" s="1633"/>
      <c r="B210" s="557"/>
      <c r="C210" s="557"/>
      <c r="D210" s="557"/>
      <c r="E210" s="557"/>
      <c r="F210" s="557"/>
      <c r="G210" s="557"/>
      <c r="H210" s="557"/>
      <c r="I210" s="557"/>
      <c r="J210" s="557"/>
      <c r="K210" s="557"/>
      <c r="L210" s="557"/>
      <c r="M210" s="557"/>
      <c r="N210" s="557"/>
    </row>
    <row r="211" spans="1:14" ht="18" customHeight="1" x14ac:dyDescent="0.3">
      <c r="A211" s="1633"/>
      <c r="B211" s="557"/>
      <c r="C211" s="557"/>
      <c r="D211" s="557"/>
      <c r="E211" s="557"/>
      <c r="F211" s="557"/>
      <c r="G211" s="557"/>
      <c r="H211" s="557"/>
      <c r="I211" s="557"/>
      <c r="J211" s="557"/>
      <c r="K211" s="557"/>
      <c r="L211" s="557"/>
      <c r="M211" s="557"/>
      <c r="N211" s="557"/>
    </row>
    <row r="212" spans="1:14" ht="18" customHeight="1" x14ac:dyDescent="0.3">
      <c r="A212" s="1633"/>
      <c r="B212" s="557"/>
      <c r="C212" s="557"/>
      <c r="D212" s="557"/>
      <c r="E212" s="557"/>
      <c r="F212" s="557"/>
      <c r="G212" s="557"/>
      <c r="H212" s="557"/>
      <c r="I212" s="557"/>
      <c r="J212" s="557"/>
      <c r="K212" s="557"/>
      <c r="L212" s="557"/>
      <c r="M212" s="557"/>
      <c r="N212" s="557"/>
    </row>
    <row r="213" spans="1:14" ht="18" customHeight="1" x14ac:dyDescent="0.3">
      <c r="A213" s="1633"/>
      <c r="B213" s="557"/>
      <c r="C213" s="557"/>
      <c r="D213" s="557"/>
      <c r="E213" s="557"/>
      <c r="F213" s="557"/>
      <c r="G213" s="557"/>
      <c r="H213" s="557"/>
      <c r="I213" s="557"/>
      <c r="J213" s="557"/>
      <c r="K213" s="557"/>
      <c r="L213" s="557"/>
      <c r="M213" s="557"/>
      <c r="N213" s="557"/>
    </row>
    <row r="214" spans="1:14" ht="18" customHeight="1" x14ac:dyDescent="0.3">
      <c r="A214" s="1633"/>
      <c r="B214" s="557"/>
      <c r="C214" s="557"/>
      <c r="D214" s="557"/>
      <c r="E214" s="557"/>
      <c r="F214" s="557"/>
      <c r="G214" s="557"/>
      <c r="H214" s="557"/>
      <c r="I214" s="557"/>
      <c r="J214" s="557"/>
      <c r="K214" s="557"/>
      <c r="L214" s="557"/>
      <c r="M214" s="557"/>
      <c r="N214" s="557"/>
    </row>
    <row r="215" spans="1:14" ht="18" customHeight="1" x14ac:dyDescent="0.3">
      <c r="A215" s="1633"/>
      <c r="B215" s="557"/>
      <c r="C215" s="557"/>
      <c r="D215" s="557"/>
      <c r="E215" s="557"/>
      <c r="F215" s="557"/>
      <c r="G215" s="557"/>
      <c r="H215" s="557"/>
      <c r="I215" s="557"/>
      <c r="J215" s="557"/>
      <c r="K215" s="557"/>
      <c r="L215" s="557"/>
      <c r="M215" s="557"/>
      <c r="N215" s="557"/>
    </row>
    <row r="216" spans="1:14" ht="18" customHeight="1" x14ac:dyDescent="0.3">
      <c r="A216" s="1633"/>
      <c r="B216" s="557"/>
      <c r="C216" s="557"/>
      <c r="D216" s="557"/>
      <c r="E216" s="557"/>
      <c r="F216" s="557"/>
      <c r="G216" s="557"/>
      <c r="H216" s="557"/>
      <c r="I216" s="557"/>
      <c r="J216" s="557"/>
      <c r="K216" s="557"/>
      <c r="L216" s="557"/>
      <c r="M216" s="557"/>
      <c r="N216" s="557"/>
    </row>
    <row r="217" spans="1:14" ht="18" customHeight="1" x14ac:dyDescent="0.3">
      <c r="A217" s="1633"/>
      <c r="B217" s="557"/>
      <c r="C217" s="557"/>
      <c r="D217" s="557"/>
      <c r="E217" s="557"/>
      <c r="F217" s="557"/>
      <c r="G217" s="557"/>
      <c r="H217" s="557"/>
      <c r="I217" s="557"/>
      <c r="J217" s="557"/>
      <c r="K217" s="557"/>
      <c r="L217" s="557"/>
      <c r="M217" s="557"/>
      <c r="N217" s="557"/>
    </row>
    <row r="218" spans="1:14" ht="18" customHeight="1" x14ac:dyDescent="0.3">
      <c r="A218" s="1633"/>
      <c r="B218" s="557"/>
      <c r="C218" s="557"/>
      <c r="D218" s="557"/>
      <c r="E218" s="557"/>
      <c r="F218" s="557"/>
      <c r="G218" s="557"/>
      <c r="H218" s="557"/>
      <c r="I218" s="557"/>
      <c r="J218" s="557"/>
      <c r="K218" s="557"/>
      <c r="L218" s="557"/>
      <c r="M218" s="557"/>
      <c r="N218" s="557"/>
    </row>
    <row r="219" spans="1:14" ht="18" customHeight="1" x14ac:dyDescent="0.3">
      <c r="A219" s="1633"/>
      <c r="B219" s="557"/>
      <c r="C219" s="557"/>
      <c r="D219" s="557"/>
      <c r="E219" s="557"/>
      <c r="F219" s="557"/>
      <c r="G219" s="557"/>
      <c r="H219" s="557"/>
      <c r="I219" s="557"/>
      <c r="J219" s="557"/>
      <c r="K219" s="557"/>
      <c r="L219" s="557"/>
      <c r="M219" s="557"/>
      <c r="N219" s="557"/>
    </row>
    <row r="220" spans="1:14" ht="18" customHeight="1" x14ac:dyDescent="0.3">
      <c r="A220" s="1633"/>
      <c r="B220" s="557"/>
      <c r="C220" s="557"/>
      <c r="D220" s="557"/>
      <c r="E220" s="557"/>
      <c r="F220" s="557"/>
      <c r="G220" s="557"/>
      <c r="H220" s="557"/>
      <c r="I220" s="557"/>
      <c r="J220" s="557"/>
      <c r="K220" s="557"/>
      <c r="L220" s="557"/>
      <c r="M220" s="557"/>
      <c r="N220" s="557"/>
    </row>
    <row r="221" spans="1:14" ht="18" customHeight="1" x14ac:dyDescent="0.3">
      <c r="A221" s="1633"/>
      <c r="B221" s="557"/>
      <c r="C221" s="557"/>
      <c r="D221" s="557"/>
      <c r="E221" s="557"/>
      <c r="F221" s="557"/>
      <c r="G221" s="557"/>
      <c r="H221" s="557"/>
      <c r="I221" s="557"/>
      <c r="J221" s="557"/>
      <c r="K221" s="557"/>
      <c r="L221" s="557"/>
      <c r="M221" s="557"/>
      <c r="N221" s="557"/>
    </row>
    <row r="222" spans="1:14" ht="18" customHeight="1" x14ac:dyDescent="0.3">
      <c r="A222" s="1633"/>
      <c r="B222" s="557"/>
      <c r="C222" s="557"/>
      <c r="D222" s="557"/>
      <c r="E222" s="557"/>
      <c r="F222" s="557"/>
      <c r="G222" s="557"/>
      <c r="H222" s="557"/>
      <c r="I222" s="557"/>
      <c r="J222" s="557"/>
      <c r="K222" s="557"/>
      <c r="L222" s="557"/>
      <c r="M222" s="557"/>
      <c r="N222" s="557"/>
    </row>
    <row r="223" spans="1:14" ht="18" customHeight="1" x14ac:dyDescent="0.3">
      <c r="A223" s="1633"/>
      <c r="B223" s="557"/>
      <c r="C223" s="557"/>
      <c r="D223" s="557"/>
      <c r="E223" s="557"/>
      <c r="F223" s="557"/>
      <c r="G223" s="557"/>
      <c r="H223" s="557"/>
      <c r="I223" s="557"/>
      <c r="J223" s="557"/>
      <c r="K223" s="557"/>
      <c r="L223" s="557"/>
      <c r="M223" s="557"/>
      <c r="N223" s="557"/>
    </row>
    <row r="224" spans="1:14" ht="18" customHeight="1" x14ac:dyDescent="0.3">
      <c r="A224" s="1633"/>
      <c r="B224" s="557"/>
      <c r="C224" s="557"/>
      <c r="D224" s="557"/>
      <c r="E224" s="557"/>
      <c r="F224" s="557"/>
      <c r="G224" s="557"/>
      <c r="H224" s="557"/>
      <c r="I224" s="557"/>
      <c r="J224" s="557"/>
      <c r="K224" s="557"/>
      <c r="L224" s="557"/>
      <c r="M224" s="557"/>
      <c r="N224" s="557"/>
    </row>
    <row r="225" spans="1:14" ht="18" customHeight="1" x14ac:dyDescent="0.3">
      <c r="A225" s="1633"/>
      <c r="B225" s="557"/>
      <c r="C225" s="557"/>
      <c r="D225" s="557"/>
      <c r="E225" s="557"/>
      <c r="F225" s="557"/>
      <c r="G225" s="557"/>
      <c r="H225" s="557"/>
      <c r="I225" s="557"/>
      <c r="J225" s="557"/>
      <c r="K225" s="557"/>
      <c r="L225" s="557"/>
      <c r="M225" s="557"/>
      <c r="N225" s="557"/>
    </row>
    <row r="226" spans="1:14" ht="18" customHeight="1" x14ac:dyDescent="0.3">
      <c r="A226" s="1633"/>
      <c r="B226" s="557"/>
      <c r="C226" s="557"/>
      <c r="D226" s="557"/>
      <c r="E226" s="557"/>
      <c r="F226" s="557"/>
      <c r="G226" s="557"/>
      <c r="H226" s="557"/>
      <c r="I226" s="557"/>
      <c r="J226" s="557"/>
      <c r="K226" s="557"/>
      <c r="L226" s="557"/>
      <c r="M226" s="557"/>
      <c r="N226" s="557"/>
    </row>
    <row r="227" spans="1:14" ht="18" customHeight="1" x14ac:dyDescent="0.3">
      <c r="A227" s="1633"/>
      <c r="B227" s="557"/>
      <c r="C227" s="557"/>
      <c r="D227" s="557"/>
      <c r="E227" s="557"/>
      <c r="F227" s="557"/>
      <c r="G227" s="557"/>
      <c r="H227" s="557"/>
      <c r="I227" s="557"/>
      <c r="J227" s="557"/>
      <c r="K227" s="557"/>
      <c r="L227" s="557"/>
      <c r="M227" s="557"/>
      <c r="N227" s="557"/>
    </row>
    <row r="228" spans="1:14" ht="18" customHeight="1" x14ac:dyDescent="0.3">
      <c r="A228" s="1633"/>
      <c r="B228" s="557"/>
      <c r="C228" s="557"/>
      <c r="D228" s="557"/>
      <c r="E228" s="557"/>
      <c r="F228" s="557"/>
      <c r="G228" s="557"/>
      <c r="H228" s="557"/>
      <c r="I228" s="557"/>
      <c r="J228" s="557"/>
      <c r="K228" s="557"/>
      <c r="L228" s="557"/>
      <c r="M228" s="557"/>
      <c r="N228" s="557"/>
    </row>
    <row r="229" spans="1:14" ht="18" customHeight="1" x14ac:dyDescent="0.3">
      <c r="A229" s="1633"/>
      <c r="B229" s="557"/>
      <c r="C229" s="557"/>
      <c r="D229" s="557"/>
      <c r="E229" s="557"/>
      <c r="F229" s="557"/>
      <c r="G229" s="557"/>
      <c r="H229" s="557"/>
      <c r="I229" s="557"/>
      <c r="J229" s="557"/>
      <c r="K229" s="557"/>
      <c r="L229" s="557"/>
      <c r="M229" s="557"/>
      <c r="N229" s="557"/>
    </row>
    <row r="230" spans="1:14" ht="18" customHeight="1" x14ac:dyDescent="0.3">
      <c r="A230" s="1633"/>
      <c r="B230" s="557"/>
      <c r="C230" s="557"/>
      <c r="D230" s="557"/>
      <c r="E230" s="557"/>
      <c r="F230" s="557"/>
      <c r="G230" s="557"/>
      <c r="H230" s="557"/>
      <c r="I230" s="557"/>
      <c r="J230" s="557"/>
      <c r="K230" s="557"/>
      <c r="L230" s="557"/>
      <c r="M230" s="557"/>
      <c r="N230" s="557"/>
    </row>
    <row r="231" spans="1:14" ht="18" customHeight="1" x14ac:dyDescent="0.3">
      <c r="A231" s="1633"/>
      <c r="B231" s="557"/>
      <c r="C231" s="557"/>
      <c r="D231" s="557"/>
      <c r="E231" s="557"/>
      <c r="F231" s="557"/>
      <c r="G231" s="557"/>
      <c r="H231" s="557"/>
      <c r="I231" s="557"/>
      <c r="J231" s="557"/>
      <c r="K231" s="557"/>
      <c r="L231" s="557"/>
      <c r="M231" s="557"/>
      <c r="N231" s="557"/>
    </row>
    <row r="232" spans="1:14" ht="18" customHeight="1" x14ac:dyDescent="0.3">
      <c r="A232" s="1633"/>
      <c r="B232" s="557"/>
      <c r="C232" s="557"/>
      <c r="D232" s="557"/>
      <c r="E232" s="557"/>
      <c r="F232" s="557"/>
      <c r="G232" s="557"/>
      <c r="H232" s="557"/>
      <c r="I232" s="557"/>
      <c r="J232" s="557"/>
      <c r="K232" s="557"/>
      <c r="L232" s="557"/>
      <c r="M232" s="557"/>
      <c r="N232" s="557"/>
    </row>
    <row r="233" spans="1:14" ht="18" customHeight="1" x14ac:dyDescent="0.3">
      <c r="A233" s="1633"/>
      <c r="B233" s="557"/>
      <c r="C233" s="557"/>
      <c r="D233" s="557"/>
      <c r="E233" s="557"/>
      <c r="F233" s="557"/>
      <c r="G233" s="557"/>
      <c r="H233" s="557"/>
      <c r="I233" s="557"/>
      <c r="J233" s="557"/>
      <c r="K233" s="557"/>
      <c r="L233" s="557"/>
      <c r="M233" s="557"/>
      <c r="N233" s="557"/>
    </row>
    <row r="234" spans="1:14" ht="18" customHeight="1" x14ac:dyDescent="0.3">
      <c r="A234" s="1633"/>
      <c r="B234" s="557"/>
      <c r="C234" s="557"/>
      <c r="D234" s="557"/>
      <c r="E234" s="557"/>
      <c r="F234" s="557"/>
      <c r="G234" s="557"/>
      <c r="H234" s="557"/>
      <c r="I234" s="557"/>
      <c r="J234" s="557"/>
      <c r="K234" s="557"/>
      <c r="L234" s="557"/>
      <c r="M234" s="557"/>
      <c r="N234" s="557"/>
    </row>
    <row r="235" spans="1:14" ht="18" customHeight="1" x14ac:dyDescent="0.3">
      <c r="A235" s="1633"/>
      <c r="B235" s="557"/>
      <c r="C235" s="557"/>
      <c r="D235" s="557"/>
      <c r="E235" s="557"/>
      <c r="F235" s="557"/>
      <c r="G235" s="557"/>
      <c r="H235" s="557"/>
      <c r="I235" s="557"/>
      <c r="J235" s="557"/>
      <c r="K235" s="557"/>
      <c r="L235" s="557"/>
      <c r="M235" s="557"/>
      <c r="N235" s="557"/>
    </row>
    <row r="236" spans="1:14" ht="18" customHeight="1" x14ac:dyDescent="0.3">
      <c r="A236" s="1633"/>
      <c r="B236" s="557"/>
      <c r="C236" s="557"/>
      <c r="D236" s="557"/>
      <c r="E236" s="557"/>
      <c r="F236" s="557"/>
      <c r="G236" s="557"/>
      <c r="H236" s="557"/>
      <c r="I236" s="557"/>
      <c r="J236" s="557"/>
      <c r="K236" s="557"/>
      <c r="L236" s="557"/>
      <c r="M236" s="557"/>
      <c r="N236" s="557"/>
    </row>
    <row r="237" spans="1:14" ht="18" customHeight="1" x14ac:dyDescent="0.3">
      <c r="A237" s="1633"/>
      <c r="B237" s="557"/>
      <c r="C237" s="557"/>
      <c r="D237" s="557"/>
      <c r="E237" s="557"/>
      <c r="F237" s="557"/>
      <c r="G237" s="557"/>
      <c r="H237" s="557"/>
      <c r="I237" s="557"/>
      <c r="J237" s="557"/>
      <c r="K237" s="557"/>
      <c r="L237" s="557"/>
      <c r="M237" s="557"/>
      <c r="N237" s="557"/>
    </row>
    <row r="238" spans="1:14" ht="18" customHeight="1" x14ac:dyDescent="0.3">
      <c r="A238" s="1633"/>
      <c r="B238" s="557"/>
      <c r="C238" s="557"/>
      <c r="D238" s="557"/>
      <c r="E238" s="557"/>
      <c r="F238" s="557"/>
      <c r="G238" s="557"/>
      <c r="H238" s="557"/>
      <c r="I238" s="557"/>
      <c r="J238" s="557"/>
      <c r="K238" s="557"/>
      <c r="L238" s="557"/>
      <c r="M238" s="557"/>
      <c r="N238" s="557"/>
    </row>
    <row r="239" spans="1:14" ht="18" customHeight="1" x14ac:dyDescent="0.3">
      <c r="A239" s="1633"/>
      <c r="B239" s="557"/>
      <c r="C239" s="557"/>
      <c r="D239" s="557"/>
      <c r="E239" s="557"/>
      <c r="F239" s="557"/>
      <c r="G239" s="557"/>
      <c r="H239" s="557"/>
      <c r="I239" s="557"/>
      <c r="J239" s="557"/>
      <c r="K239" s="557"/>
      <c r="L239" s="557"/>
      <c r="M239" s="557"/>
      <c r="N239" s="557"/>
    </row>
    <row r="240" spans="1:14" ht="18" customHeight="1" x14ac:dyDescent="0.3">
      <c r="A240" s="1633"/>
      <c r="B240" s="557"/>
      <c r="C240" s="557"/>
      <c r="D240" s="557"/>
      <c r="E240" s="557"/>
      <c r="F240" s="557"/>
      <c r="G240" s="557"/>
      <c r="H240" s="557"/>
      <c r="I240" s="557"/>
      <c r="J240" s="557"/>
      <c r="K240" s="557"/>
      <c r="L240" s="557"/>
      <c r="M240" s="557"/>
      <c r="N240" s="557"/>
    </row>
    <row r="241" spans="1:14" ht="18" customHeight="1" x14ac:dyDescent="0.3">
      <c r="A241" s="1633"/>
      <c r="B241" s="557"/>
      <c r="C241" s="557"/>
      <c r="D241" s="557"/>
      <c r="E241" s="557"/>
      <c r="F241" s="557"/>
      <c r="G241" s="557"/>
      <c r="H241" s="557"/>
      <c r="I241" s="557"/>
      <c r="J241" s="557"/>
      <c r="K241" s="557"/>
      <c r="L241" s="557"/>
      <c r="M241" s="557"/>
      <c r="N241" s="557"/>
    </row>
    <row r="242" spans="1:14" ht="18" customHeight="1" x14ac:dyDescent="0.3">
      <c r="A242" s="1633"/>
      <c r="B242" s="557"/>
      <c r="C242" s="557"/>
      <c r="D242" s="557"/>
      <c r="E242" s="557"/>
      <c r="F242" s="557"/>
      <c r="G242" s="557"/>
      <c r="H242" s="557"/>
      <c r="I242" s="557"/>
      <c r="J242" s="557"/>
      <c r="K242" s="557"/>
      <c r="L242" s="557"/>
      <c r="M242" s="557"/>
      <c r="N242" s="557"/>
    </row>
    <row r="243" spans="1:14" ht="18" customHeight="1" x14ac:dyDescent="0.3">
      <c r="A243" s="1633"/>
      <c r="B243" s="557"/>
      <c r="C243" s="557"/>
      <c r="D243" s="557"/>
      <c r="E243" s="557"/>
      <c r="F243" s="557"/>
      <c r="G243" s="557"/>
      <c r="H243" s="557"/>
      <c r="I243" s="557"/>
      <c r="J243" s="557"/>
      <c r="K243" s="557"/>
      <c r="L243" s="557"/>
      <c r="M243" s="557"/>
      <c r="N243" s="557"/>
    </row>
    <row r="244" spans="1:14" ht="18" customHeight="1" x14ac:dyDescent="0.3">
      <c r="A244" s="1633"/>
      <c r="B244" s="557"/>
      <c r="C244" s="557"/>
      <c r="D244" s="557"/>
      <c r="E244" s="557"/>
      <c r="F244" s="557"/>
      <c r="G244" s="557"/>
      <c r="H244" s="557"/>
      <c r="I244" s="557"/>
      <c r="J244" s="557"/>
      <c r="K244" s="557"/>
      <c r="L244" s="557"/>
      <c r="M244" s="557"/>
      <c r="N244" s="557"/>
    </row>
    <row r="245" spans="1:14" ht="18" customHeight="1" x14ac:dyDescent="0.3">
      <c r="A245" s="1633"/>
      <c r="B245" s="557"/>
      <c r="C245" s="557"/>
      <c r="D245" s="557"/>
      <c r="E245" s="557"/>
      <c r="F245" s="557"/>
      <c r="G245" s="557"/>
      <c r="H245" s="557"/>
      <c r="I245" s="557"/>
      <c r="J245" s="557"/>
      <c r="K245" s="557"/>
      <c r="L245" s="557"/>
      <c r="M245" s="557"/>
      <c r="N245" s="557"/>
    </row>
    <row r="246" spans="1:14" ht="18" customHeight="1" x14ac:dyDescent="0.3">
      <c r="A246" s="1633"/>
      <c r="B246" s="557"/>
      <c r="C246" s="557"/>
      <c r="D246" s="557"/>
      <c r="E246" s="557"/>
      <c r="F246" s="557"/>
      <c r="G246" s="557"/>
      <c r="H246" s="557"/>
      <c r="I246" s="557"/>
      <c r="J246" s="557"/>
      <c r="K246" s="557"/>
      <c r="L246" s="557"/>
      <c r="M246" s="557"/>
      <c r="N246" s="557"/>
    </row>
    <row r="247" spans="1:14" ht="18" customHeight="1" x14ac:dyDescent="0.3">
      <c r="A247" s="1633"/>
      <c r="B247" s="557"/>
      <c r="C247" s="557"/>
      <c r="D247" s="557"/>
      <c r="E247" s="557"/>
      <c r="F247" s="557"/>
      <c r="G247" s="557"/>
      <c r="H247" s="557"/>
      <c r="I247" s="557"/>
      <c r="J247" s="557"/>
      <c r="K247" s="557"/>
      <c r="L247" s="557"/>
      <c r="M247" s="557"/>
      <c r="N247" s="557"/>
    </row>
    <row r="248" spans="1:14" ht="18" customHeight="1" x14ac:dyDescent="0.3">
      <c r="A248" s="1633"/>
      <c r="B248" s="557"/>
      <c r="C248" s="557"/>
      <c r="D248" s="557"/>
      <c r="E248" s="557"/>
      <c r="F248" s="557"/>
      <c r="G248" s="557"/>
      <c r="H248" s="557"/>
      <c r="I248" s="557"/>
      <c r="J248" s="557"/>
      <c r="K248" s="557"/>
      <c r="L248" s="557"/>
      <c r="M248" s="557"/>
      <c r="N248" s="557"/>
    </row>
    <row r="249" spans="1:14" ht="18" customHeight="1" x14ac:dyDescent="0.3">
      <c r="A249" s="1633"/>
      <c r="B249" s="557"/>
      <c r="C249" s="557"/>
      <c r="D249" s="557"/>
      <c r="E249" s="557"/>
      <c r="F249" s="557"/>
      <c r="G249" s="557"/>
      <c r="H249" s="557"/>
      <c r="I249" s="557"/>
      <c r="J249" s="557"/>
      <c r="K249" s="557"/>
      <c r="L249" s="557"/>
      <c r="M249" s="557"/>
      <c r="N249" s="557"/>
    </row>
    <row r="250" spans="1:14" ht="18" customHeight="1" x14ac:dyDescent="0.3">
      <c r="A250" s="1633"/>
      <c r="B250" s="557"/>
      <c r="C250" s="557"/>
      <c r="D250" s="557"/>
      <c r="E250" s="557"/>
      <c r="F250" s="557"/>
      <c r="G250" s="557"/>
      <c r="H250" s="557"/>
      <c r="I250" s="557"/>
      <c r="J250" s="557"/>
      <c r="K250" s="557"/>
      <c r="L250" s="557"/>
      <c r="M250" s="557"/>
      <c r="N250" s="557"/>
    </row>
    <row r="251" spans="1:14" ht="18" customHeight="1" x14ac:dyDescent="0.3">
      <c r="A251" s="1633"/>
      <c r="B251" s="557"/>
      <c r="C251" s="557"/>
      <c r="D251" s="557"/>
      <c r="E251" s="557"/>
      <c r="F251" s="557"/>
      <c r="G251" s="557"/>
      <c r="H251" s="557"/>
      <c r="I251" s="557"/>
      <c r="J251" s="557"/>
      <c r="K251" s="557"/>
      <c r="L251" s="557"/>
      <c r="M251" s="557"/>
      <c r="N251" s="557"/>
    </row>
    <row r="252" spans="1:14" ht="18" customHeight="1" x14ac:dyDescent="0.3">
      <c r="A252" s="1633"/>
      <c r="B252" s="557"/>
      <c r="C252" s="557"/>
      <c r="D252" s="557"/>
      <c r="E252" s="557"/>
      <c r="F252" s="557"/>
      <c r="G252" s="557"/>
      <c r="H252" s="557"/>
      <c r="I252" s="557"/>
      <c r="J252" s="557"/>
      <c r="K252" s="557"/>
      <c r="L252" s="557"/>
      <c r="M252" s="557"/>
      <c r="N252" s="557"/>
    </row>
    <row r="253" spans="1:14" ht="18" customHeight="1" x14ac:dyDescent="0.3">
      <c r="A253" s="1633"/>
      <c r="B253" s="557"/>
      <c r="C253" s="557"/>
      <c r="D253" s="557"/>
      <c r="E253" s="557"/>
      <c r="F253" s="557"/>
      <c r="G253" s="557"/>
      <c r="H253" s="557"/>
      <c r="I253" s="557"/>
      <c r="J253" s="557"/>
      <c r="K253" s="557"/>
      <c r="L253" s="557"/>
      <c r="M253" s="557"/>
      <c r="N253" s="557"/>
    </row>
    <row r="254" spans="1:14" ht="18" customHeight="1" x14ac:dyDescent="0.3">
      <c r="A254" s="1633"/>
      <c r="B254" s="557"/>
      <c r="C254" s="557"/>
      <c r="D254" s="557"/>
      <c r="E254" s="557"/>
      <c r="F254" s="557"/>
      <c r="G254" s="557"/>
      <c r="H254" s="557"/>
      <c r="I254" s="557"/>
      <c r="J254" s="557"/>
      <c r="K254" s="557"/>
      <c r="L254" s="557"/>
      <c r="M254" s="557"/>
      <c r="N254" s="557"/>
    </row>
    <row r="255" spans="1:14" ht="18" customHeight="1" x14ac:dyDescent="0.3">
      <c r="A255" s="1633"/>
      <c r="B255" s="557"/>
      <c r="C255" s="557"/>
      <c r="D255" s="557"/>
      <c r="E255" s="557"/>
      <c r="F255" s="557"/>
      <c r="G255" s="557"/>
      <c r="H255" s="557"/>
      <c r="I255" s="557"/>
      <c r="J255" s="557"/>
      <c r="K255" s="557"/>
      <c r="L255" s="557"/>
      <c r="M255" s="557"/>
      <c r="N255" s="557"/>
    </row>
  </sheetData>
  <sheetProtection sheet="1" objects="1" scenarios="1"/>
  <mergeCells count="34">
    <mergeCell ref="B34:D34"/>
    <mergeCell ref="B41:C41"/>
    <mergeCell ref="C10:G10"/>
    <mergeCell ref="C11:G11"/>
    <mergeCell ref="B13:H13"/>
    <mergeCell ref="B30:D30"/>
    <mergeCell ref="B31:D31"/>
    <mergeCell ref="D2:H2"/>
    <mergeCell ref="C5:G5"/>
    <mergeCell ref="C6:G6"/>
    <mergeCell ref="C7:G7"/>
    <mergeCell ref="C9:G9"/>
    <mergeCell ref="B44:D44"/>
    <mergeCell ref="B45:D45"/>
    <mergeCell ref="B55:D55"/>
    <mergeCell ref="B56:D56"/>
    <mergeCell ref="B57:D57"/>
    <mergeCell ref="B46:D46"/>
    <mergeCell ref="B47:D47"/>
    <mergeCell ref="B52:C52"/>
    <mergeCell ref="B53:D53"/>
    <mergeCell ref="B59:D59"/>
    <mergeCell ref="B62:D62"/>
    <mergeCell ref="B90:C90"/>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K156"/>
  <sheetViews>
    <sheetView showGridLines="0" zoomScale="70" zoomScaleNormal="70" zoomScaleSheetLayoutView="100" workbookViewId="0">
      <selection activeCell="A2" sqref="A2"/>
    </sheetView>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61" t="s">
        <v>562</v>
      </c>
      <c r="D5" s="1362"/>
      <c r="E5" s="1362"/>
      <c r="F5" s="1362"/>
      <c r="G5" s="1364"/>
      <c r="H5" s="742"/>
      <c r="I5" s="742"/>
      <c r="J5" s="742"/>
      <c r="K5" s="742"/>
    </row>
    <row r="6" spans="1:11" ht="18" customHeight="1" x14ac:dyDescent="0.3">
      <c r="A6" s="633"/>
      <c r="B6" s="733" t="s">
        <v>3</v>
      </c>
      <c r="C6" s="1365">
        <v>210056</v>
      </c>
      <c r="D6" s="1366"/>
      <c r="E6" s="1366"/>
      <c r="F6" s="1366"/>
      <c r="G6" s="1367"/>
      <c r="H6" s="742"/>
      <c r="I6" s="742"/>
      <c r="J6" s="742"/>
      <c r="K6" s="742"/>
    </row>
    <row r="7" spans="1:11" ht="18" customHeight="1" x14ac:dyDescent="0.3">
      <c r="A7" s="633"/>
      <c r="B7" s="733" t="s">
        <v>4</v>
      </c>
      <c r="C7" s="1368">
        <v>2018</v>
      </c>
      <c r="D7" s="1369"/>
      <c r="E7" s="1369"/>
      <c r="F7" s="1369"/>
      <c r="G7" s="1370"/>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61" t="s">
        <v>614</v>
      </c>
      <c r="D9" s="1362"/>
      <c r="E9" s="1362"/>
      <c r="F9" s="1362"/>
      <c r="G9" s="1364"/>
      <c r="H9" s="742"/>
      <c r="I9" s="742"/>
      <c r="J9" s="742"/>
      <c r="K9" s="742"/>
    </row>
    <row r="10" spans="1:11" ht="18" customHeight="1" x14ac:dyDescent="0.3">
      <c r="A10" s="633"/>
      <c r="B10" s="733" t="s">
        <v>2</v>
      </c>
      <c r="C10" s="1371" t="s">
        <v>615</v>
      </c>
      <c r="D10" s="1372"/>
      <c r="E10" s="1372"/>
      <c r="F10" s="1372"/>
      <c r="G10" s="1373"/>
      <c r="H10" s="742"/>
      <c r="I10" s="742"/>
      <c r="J10" s="742"/>
      <c r="K10" s="742"/>
    </row>
    <row r="11" spans="1:11" ht="18" customHeight="1" x14ac:dyDescent="0.3">
      <c r="A11" s="633"/>
      <c r="B11" s="733" t="s">
        <v>32</v>
      </c>
      <c r="C11" s="1361" t="s">
        <v>616</v>
      </c>
      <c r="D11" s="1362"/>
      <c r="E11" s="1362"/>
      <c r="F11" s="1362"/>
      <c r="G11" s="1362"/>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6279223</v>
      </c>
      <c r="I18" s="673">
        <v>0</v>
      </c>
      <c r="J18" s="647">
        <v>5307182</v>
      </c>
      <c r="K18" s="648">
        <f>(H18+I18)-J18</f>
        <v>972041</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618</v>
      </c>
      <c r="G21" s="646">
        <v>2141</v>
      </c>
      <c r="H21" s="647">
        <v>34503</v>
      </c>
      <c r="I21" s="673">
        <v>8292</v>
      </c>
      <c r="J21" s="647">
        <v>8240</v>
      </c>
      <c r="K21" s="648">
        <f t="shared" ref="K21:K34" si="0">(H21+I21)-J21</f>
        <v>34555</v>
      </c>
    </row>
    <row r="22" spans="1:11" ht="18" customHeight="1" x14ac:dyDescent="0.3">
      <c r="A22" s="639" t="s">
        <v>76</v>
      </c>
      <c r="B22" s="742" t="s">
        <v>6</v>
      </c>
      <c r="C22" s="742"/>
      <c r="D22" s="742"/>
      <c r="E22" s="742"/>
      <c r="F22" s="646">
        <v>72</v>
      </c>
      <c r="G22" s="646">
        <v>326</v>
      </c>
      <c r="H22" s="647">
        <v>2477</v>
      </c>
      <c r="I22" s="673">
        <v>1836</v>
      </c>
      <c r="J22" s="647">
        <v>0</v>
      </c>
      <c r="K22" s="648">
        <f t="shared" si="0"/>
        <v>4313</v>
      </c>
    </row>
    <row r="23" spans="1:11" ht="18" customHeight="1" x14ac:dyDescent="0.3">
      <c r="A23" s="639" t="s">
        <v>77</v>
      </c>
      <c r="B23" s="742" t="s">
        <v>43</v>
      </c>
      <c r="C23" s="742"/>
      <c r="D23" s="742"/>
      <c r="E23" s="742"/>
      <c r="F23" s="646">
        <v>2575.5</v>
      </c>
      <c r="G23" s="646">
        <v>20360</v>
      </c>
      <c r="H23" s="647">
        <v>97254</v>
      </c>
      <c r="I23" s="673">
        <v>56835</v>
      </c>
      <c r="J23" s="647">
        <v>26295</v>
      </c>
      <c r="K23" s="648">
        <f t="shared" si="0"/>
        <v>127794</v>
      </c>
    </row>
    <row r="24" spans="1:11" ht="18" customHeight="1" x14ac:dyDescent="0.3">
      <c r="A24" s="639" t="s">
        <v>78</v>
      </c>
      <c r="B24" s="742" t="s">
        <v>44</v>
      </c>
      <c r="C24" s="742"/>
      <c r="D24" s="742"/>
      <c r="E24" s="742"/>
      <c r="F24" s="646">
        <v>1960</v>
      </c>
      <c r="G24" s="646">
        <v>996</v>
      </c>
      <c r="H24" s="647">
        <v>110230</v>
      </c>
      <c r="I24" s="673">
        <v>74769</v>
      </c>
      <c r="J24" s="647">
        <v>780</v>
      </c>
      <c r="K24" s="648">
        <f t="shared" si="0"/>
        <v>184219</v>
      </c>
    </row>
    <row r="25" spans="1:11" ht="18" customHeight="1" x14ac:dyDescent="0.3">
      <c r="A25" s="639" t="s">
        <v>79</v>
      </c>
      <c r="B25" s="742" t="s">
        <v>5</v>
      </c>
      <c r="C25" s="742"/>
      <c r="D25" s="742"/>
      <c r="E25" s="742"/>
      <c r="F25" s="646">
        <v>105.5</v>
      </c>
      <c r="G25" s="646">
        <v>1560</v>
      </c>
      <c r="H25" s="647">
        <v>4718</v>
      </c>
      <c r="I25" s="673">
        <v>827</v>
      </c>
      <c r="J25" s="647">
        <v>540</v>
      </c>
      <c r="K25" s="648">
        <f t="shared" si="0"/>
        <v>5005</v>
      </c>
    </row>
    <row r="26" spans="1:11" ht="18" customHeight="1" x14ac:dyDescent="0.3">
      <c r="A26" s="639" t="s">
        <v>80</v>
      </c>
      <c r="B26" s="742" t="s">
        <v>45</v>
      </c>
      <c r="C26" s="742"/>
      <c r="D26" s="742"/>
      <c r="E26" s="742"/>
      <c r="F26" s="646"/>
      <c r="G26" s="646"/>
      <c r="H26" s="647"/>
      <c r="I26" s="673">
        <f t="shared" ref="I26:I34" si="1">H26*F$114</f>
        <v>0</v>
      </c>
      <c r="J26" s="647"/>
      <c r="K26" s="648">
        <f t="shared" si="0"/>
        <v>0</v>
      </c>
    </row>
    <row r="27" spans="1:11" ht="18" customHeight="1" x14ac:dyDescent="0.3">
      <c r="A27" s="639" t="s">
        <v>81</v>
      </c>
      <c r="B27" s="742" t="s">
        <v>46</v>
      </c>
      <c r="C27" s="742"/>
      <c r="D27" s="742"/>
      <c r="E27" s="742"/>
      <c r="F27" s="646"/>
      <c r="G27" s="646"/>
      <c r="H27" s="647">
        <v>500</v>
      </c>
      <c r="I27" s="673">
        <v>0</v>
      </c>
      <c r="J27" s="647"/>
      <c r="K27" s="648">
        <f t="shared" si="0"/>
        <v>500</v>
      </c>
    </row>
    <row r="28" spans="1:11" ht="18" customHeight="1" x14ac:dyDescent="0.3">
      <c r="A28" s="639" t="s">
        <v>82</v>
      </c>
      <c r="B28" s="742" t="s">
        <v>47</v>
      </c>
      <c r="C28" s="742"/>
      <c r="D28" s="742"/>
      <c r="E28" s="742"/>
      <c r="F28" s="646"/>
      <c r="G28" s="646"/>
      <c r="H28" s="647"/>
      <c r="I28" s="673">
        <f t="shared" si="1"/>
        <v>0</v>
      </c>
      <c r="J28" s="647"/>
      <c r="K28" s="648">
        <f t="shared" si="0"/>
        <v>0</v>
      </c>
    </row>
    <row r="29" spans="1:11" ht="18" customHeight="1" x14ac:dyDescent="0.3">
      <c r="A29" s="639" t="s">
        <v>83</v>
      </c>
      <c r="B29" s="742" t="s">
        <v>48</v>
      </c>
      <c r="C29" s="742"/>
      <c r="D29" s="742"/>
      <c r="E29" s="742"/>
      <c r="F29" s="646">
        <v>8821</v>
      </c>
      <c r="G29" s="646">
        <v>41000</v>
      </c>
      <c r="H29" s="647">
        <v>311838</v>
      </c>
      <c r="I29" s="673">
        <v>231072</v>
      </c>
      <c r="J29" s="647"/>
      <c r="K29" s="648">
        <f t="shared" si="0"/>
        <v>542910</v>
      </c>
    </row>
    <row r="30" spans="1:11" ht="18" customHeight="1" x14ac:dyDescent="0.3">
      <c r="A30" s="639" t="s">
        <v>84</v>
      </c>
      <c r="B30" s="1351"/>
      <c r="C30" s="1352"/>
      <c r="D30" s="1353"/>
      <c r="E30" s="742"/>
      <c r="F30" s="646"/>
      <c r="G30" s="646"/>
      <c r="H30" s="647"/>
      <c r="I30" s="673">
        <f t="shared" si="1"/>
        <v>0</v>
      </c>
      <c r="J30" s="647"/>
      <c r="K30" s="648">
        <f t="shared" si="0"/>
        <v>0</v>
      </c>
    </row>
    <row r="31" spans="1:11" ht="18" customHeight="1" x14ac:dyDescent="0.3">
      <c r="A31" s="639" t="s">
        <v>133</v>
      </c>
      <c r="B31" s="1351"/>
      <c r="C31" s="1352"/>
      <c r="D31" s="1353"/>
      <c r="E31" s="742"/>
      <c r="F31" s="646"/>
      <c r="G31" s="646"/>
      <c r="H31" s="647"/>
      <c r="I31" s="673">
        <f t="shared" si="1"/>
        <v>0</v>
      </c>
      <c r="J31" s="647"/>
      <c r="K31" s="648">
        <f t="shared" si="0"/>
        <v>0</v>
      </c>
    </row>
    <row r="32" spans="1:11" ht="18" customHeight="1" x14ac:dyDescent="0.3">
      <c r="A32" s="639" t="s">
        <v>134</v>
      </c>
      <c r="B32" s="1059"/>
      <c r="C32" s="1060"/>
      <c r="D32" s="1061"/>
      <c r="E32" s="742"/>
      <c r="F32" s="646"/>
      <c r="G32" s="675"/>
      <c r="H32" s="647"/>
      <c r="I32" s="673">
        <f t="shared" si="1"/>
        <v>0</v>
      </c>
      <c r="J32" s="647"/>
      <c r="K32" s="648">
        <f t="shared" si="0"/>
        <v>0</v>
      </c>
    </row>
    <row r="33" spans="1:11" ht="18" customHeight="1" x14ac:dyDescent="0.3">
      <c r="A33" s="639" t="s">
        <v>135</v>
      </c>
      <c r="B33" s="1059"/>
      <c r="C33" s="1060"/>
      <c r="D33" s="1061"/>
      <c r="E33" s="742"/>
      <c r="F33" s="646"/>
      <c r="G33" s="675"/>
      <c r="H33" s="647"/>
      <c r="I33" s="673">
        <f t="shared" si="1"/>
        <v>0</v>
      </c>
      <c r="J33" s="647"/>
      <c r="K33" s="648">
        <f t="shared" si="0"/>
        <v>0</v>
      </c>
    </row>
    <row r="34" spans="1:11" ht="18" customHeight="1" x14ac:dyDescent="0.3">
      <c r="A34" s="639" t="s">
        <v>136</v>
      </c>
      <c r="B34" s="1351"/>
      <c r="C34" s="1352"/>
      <c r="D34" s="1353"/>
      <c r="E34" s="742"/>
      <c r="F34" s="646"/>
      <c r="G34" s="675"/>
      <c r="H34" s="647"/>
      <c r="I34" s="673">
        <f t="shared" si="1"/>
        <v>0</v>
      </c>
      <c r="J34" s="647"/>
      <c r="K34" s="648">
        <f t="shared" si="0"/>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14152</v>
      </c>
      <c r="G36" s="650">
        <f t="shared" si="2"/>
        <v>66383</v>
      </c>
      <c r="H36" s="650">
        <f t="shared" si="2"/>
        <v>561520</v>
      </c>
      <c r="I36" s="648">
        <f t="shared" si="2"/>
        <v>373631</v>
      </c>
      <c r="J36" s="648">
        <f t="shared" si="2"/>
        <v>35855</v>
      </c>
      <c r="K36" s="648">
        <f t="shared" si="2"/>
        <v>899296</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v>95177</v>
      </c>
      <c r="G40" s="646">
        <v>0</v>
      </c>
      <c r="H40" s="647">
        <v>4884988</v>
      </c>
      <c r="I40" s="673">
        <v>3619776</v>
      </c>
      <c r="J40" s="647"/>
      <c r="K40" s="648">
        <f t="shared" ref="K40:K47" si="3">(H40+I40)-J40</f>
        <v>8504764</v>
      </c>
    </row>
    <row r="41" spans="1:11" ht="18" customHeight="1" x14ac:dyDescent="0.3">
      <c r="A41" s="639" t="s">
        <v>88</v>
      </c>
      <c r="B41" s="1359" t="s">
        <v>50</v>
      </c>
      <c r="C41" s="1359"/>
      <c r="D41" s="742"/>
      <c r="E41" s="742"/>
      <c r="F41" s="646">
        <v>870</v>
      </c>
      <c r="G41" s="646">
        <v>274</v>
      </c>
      <c r="H41" s="647">
        <v>50045</v>
      </c>
      <c r="I41" s="673">
        <v>37082</v>
      </c>
      <c r="J41" s="647"/>
      <c r="K41" s="648">
        <f t="shared" si="3"/>
        <v>87127</v>
      </c>
    </row>
    <row r="42" spans="1:11" ht="18" customHeight="1" x14ac:dyDescent="0.3">
      <c r="A42" s="639" t="s">
        <v>89</v>
      </c>
      <c r="B42" s="635" t="s">
        <v>11</v>
      </c>
      <c r="C42" s="742"/>
      <c r="D42" s="742"/>
      <c r="E42" s="742"/>
      <c r="F42" s="646">
        <v>220</v>
      </c>
      <c r="G42" s="646">
        <v>6</v>
      </c>
      <c r="H42" s="647">
        <v>12490</v>
      </c>
      <c r="I42" s="673">
        <v>730</v>
      </c>
      <c r="J42" s="647"/>
      <c r="K42" s="648">
        <f t="shared" si="3"/>
        <v>13220</v>
      </c>
    </row>
    <row r="43" spans="1:11" ht="18" customHeight="1" x14ac:dyDescent="0.3">
      <c r="A43" s="639" t="s">
        <v>90</v>
      </c>
      <c r="B43" s="670" t="s">
        <v>10</v>
      </c>
      <c r="C43" s="642"/>
      <c r="D43" s="642"/>
      <c r="E43" s="742"/>
      <c r="F43" s="646"/>
      <c r="G43" s="646"/>
      <c r="H43" s="647"/>
      <c r="I43" s="673">
        <v>0</v>
      </c>
      <c r="J43" s="647"/>
      <c r="K43" s="648">
        <f t="shared" si="3"/>
        <v>0</v>
      </c>
    </row>
    <row r="44" spans="1:11" ht="18" customHeight="1" x14ac:dyDescent="0.3">
      <c r="A44" s="639" t="s">
        <v>91</v>
      </c>
      <c r="B44" s="1351"/>
      <c r="C44" s="1352"/>
      <c r="D44" s="1353"/>
      <c r="E44" s="742"/>
      <c r="F44" s="677"/>
      <c r="G44" s="677"/>
      <c r="H44" s="67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96267</v>
      </c>
      <c r="G49" s="654">
        <f t="shared" si="4"/>
        <v>280</v>
      </c>
      <c r="H49" s="648">
        <f t="shared" si="4"/>
        <v>4947523</v>
      </c>
      <c r="I49" s="648">
        <f t="shared" si="4"/>
        <v>3657588</v>
      </c>
      <c r="J49" s="648">
        <f t="shared" si="4"/>
        <v>0</v>
      </c>
      <c r="K49" s="648">
        <f t="shared" si="4"/>
        <v>8605111</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563</v>
      </c>
      <c r="C53" s="1355"/>
      <c r="D53" s="1356"/>
      <c r="E53" s="742"/>
      <c r="F53" s="646"/>
      <c r="G53" s="646"/>
      <c r="H53" s="647">
        <v>4561271</v>
      </c>
      <c r="I53" s="673">
        <v>0</v>
      </c>
      <c r="J53" s="647">
        <v>1838626</v>
      </c>
      <c r="K53" s="648">
        <f t="shared" ref="K53:K62" si="5">(H53+I53)-J53</f>
        <v>2722645</v>
      </c>
    </row>
    <row r="54" spans="1:11" ht="18" customHeight="1" x14ac:dyDescent="0.3">
      <c r="A54" s="639" t="s">
        <v>93</v>
      </c>
      <c r="B54" s="1062"/>
      <c r="C54" s="1063"/>
      <c r="D54" s="1064"/>
      <c r="E54" s="742"/>
      <c r="F54" s="646"/>
      <c r="G54" s="646"/>
      <c r="H54" s="647"/>
      <c r="I54" s="673">
        <v>0</v>
      </c>
      <c r="J54" s="647"/>
      <c r="K54" s="648">
        <f t="shared" si="5"/>
        <v>0</v>
      </c>
    </row>
    <row r="55" spans="1:11" ht="18" customHeight="1" x14ac:dyDescent="0.3">
      <c r="A55" s="639" t="s">
        <v>94</v>
      </c>
      <c r="B55" s="1354"/>
      <c r="C55" s="1355"/>
      <c r="D55" s="1356"/>
      <c r="E55" s="742"/>
      <c r="F55" s="646"/>
      <c r="G55" s="646"/>
      <c r="H55" s="647"/>
      <c r="I55" s="673">
        <v>0</v>
      </c>
      <c r="J55" s="647"/>
      <c r="K55" s="648">
        <f t="shared" si="5"/>
        <v>0</v>
      </c>
    </row>
    <row r="56" spans="1:11" ht="18" customHeight="1" x14ac:dyDescent="0.3">
      <c r="A56" s="639" t="s">
        <v>95</v>
      </c>
      <c r="B56" s="1354"/>
      <c r="C56" s="1355"/>
      <c r="D56" s="1356"/>
      <c r="E56" s="742"/>
      <c r="F56" s="646"/>
      <c r="G56" s="646"/>
      <c r="H56" s="647"/>
      <c r="I56" s="673">
        <v>0</v>
      </c>
      <c r="J56" s="647"/>
      <c r="K56" s="648">
        <f t="shared" si="5"/>
        <v>0</v>
      </c>
    </row>
    <row r="57" spans="1:11" ht="18" customHeight="1" x14ac:dyDescent="0.3">
      <c r="A57" s="639" t="s">
        <v>96</v>
      </c>
      <c r="B57" s="1354"/>
      <c r="C57" s="1355"/>
      <c r="D57" s="1356"/>
      <c r="E57" s="742"/>
      <c r="F57" s="646"/>
      <c r="G57" s="646"/>
      <c r="H57" s="647"/>
      <c r="I57" s="673">
        <v>0</v>
      </c>
      <c r="J57" s="647"/>
      <c r="K57" s="648">
        <f t="shared" si="5"/>
        <v>0</v>
      </c>
    </row>
    <row r="58" spans="1:11" ht="18" customHeight="1" x14ac:dyDescent="0.3">
      <c r="A58" s="639" t="s">
        <v>97</v>
      </c>
      <c r="B58" s="1062" t="s">
        <v>396</v>
      </c>
      <c r="C58" s="1063"/>
      <c r="D58" s="1064"/>
      <c r="E58" s="742"/>
      <c r="F58" s="646"/>
      <c r="G58" s="646"/>
      <c r="H58" s="647">
        <v>478600</v>
      </c>
      <c r="I58" s="673">
        <v>517071</v>
      </c>
      <c r="J58" s="647">
        <v>269708</v>
      </c>
      <c r="K58" s="648">
        <f t="shared" si="5"/>
        <v>725963</v>
      </c>
    </row>
    <row r="59" spans="1:11" ht="18" customHeight="1" x14ac:dyDescent="0.3">
      <c r="A59" s="639" t="s">
        <v>98</v>
      </c>
      <c r="B59" s="1354" t="s">
        <v>395</v>
      </c>
      <c r="C59" s="1355"/>
      <c r="D59" s="1356"/>
      <c r="E59" s="742"/>
      <c r="F59" s="646"/>
      <c r="G59" s="646"/>
      <c r="H59" s="647">
        <v>2008500</v>
      </c>
      <c r="I59" s="673">
        <v>685978</v>
      </c>
      <c r="J59" s="647">
        <v>1184225</v>
      </c>
      <c r="K59" s="648">
        <f t="shared" si="5"/>
        <v>1510253</v>
      </c>
    </row>
    <row r="60" spans="1:11" ht="18" customHeight="1" x14ac:dyDescent="0.3">
      <c r="A60" s="639" t="s">
        <v>99</v>
      </c>
      <c r="B60" s="1062"/>
      <c r="C60" s="1063"/>
      <c r="D60" s="1064"/>
      <c r="E60" s="742"/>
      <c r="F60" s="646"/>
      <c r="G60" s="646"/>
      <c r="H60" s="647"/>
      <c r="I60" s="673">
        <v>0</v>
      </c>
      <c r="J60" s="647"/>
      <c r="K60" s="648">
        <f t="shared" si="5"/>
        <v>0</v>
      </c>
    </row>
    <row r="61" spans="1:11" ht="18" customHeight="1" x14ac:dyDescent="0.3">
      <c r="A61" s="639" t="s">
        <v>100</v>
      </c>
      <c r="B61" s="1062"/>
      <c r="C61" s="1063"/>
      <c r="D61" s="1064"/>
      <c r="E61" s="742"/>
      <c r="F61" s="646"/>
      <c r="G61" s="646"/>
      <c r="H61" s="647"/>
      <c r="I61" s="673">
        <v>0</v>
      </c>
      <c r="J61" s="647"/>
      <c r="K61" s="648">
        <f t="shared" si="5"/>
        <v>0</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0</v>
      </c>
      <c r="G64" s="650">
        <f t="shared" si="6"/>
        <v>0</v>
      </c>
      <c r="H64" s="648">
        <f t="shared" si="6"/>
        <v>7048371</v>
      </c>
      <c r="I64" s="648">
        <f t="shared" si="6"/>
        <v>1203049</v>
      </c>
      <c r="J64" s="648">
        <f t="shared" si="6"/>
        <v>3292559</v>
      </c>
      <c r="K64" s="648">
        <f t="shared" si="6"/>
        <v>4958861</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1062"/>
      <c r="C70" s="1063"/>
      <c r="D70" s="1064"/>
      <c r="E70" s="636"/>
      <c r="F70" s="658"/>
      <c r="G70" s="658"/>
      <c r="H70" s="659"/>
      <c r="I70" s="673">
        <v>0</v>
      </c>
      <c r="J70" s="659"/>
      <c r="K70" s="648">
        <f>(H70+I70)-J70</f>
        <v>0</v>
      </c>
    </row>
    <row r="71" spans="1:11" ht="18" customHeight="1" x14ac:dyDescent="0.3">
      <c r="A71" s="639" t="s">
        <v>179</v>
      </c>
      <c r="B71" s="1062"/>
      <c r="C71" s="1063"/>
      <c r="D71" s="1064"/>
      <c r="E71" s="636"/>
      <c r="F71" s="658"/>
      <c r="G71" s="658"/>
      <c r="H71" s="659"/>
      <c r="I71" s="673">
        <v>0</v>
      </c>
      <c r="J71" s="659"/>
      <c r="K71" s="648">
        <f>(H71+I71)-J71</f>
        <v>0</v>
      </c>
    </row>
    <row r="72" spans="1:11" ht="18" customHeight="1" x14ac:dyDescent="0.3">
      <c r="A72" s="639" t="s">
        <v>180</v>
      </c>
      <c r="B72" s="1077"/>
      <c r="C72" s="1076"/>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c r="G77" s="646"/>
      <c r="H77" s="647">
        <v>28915</v>
      </c>
      <c r="I77" s="673">
        <v>0</v>
      </c>
      <c r="J77" s="647"/>
      <c r="K77" s="648">
        <f>(H77+I77)-J77</f>
        <v>28915</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c r="G79" s="646"/>
      <c r="H79" s="647"/>
      <c r="I79" s="673">
        <v>0</v>
      </c>
      <c r="J79" s="647"/>
      <c r="K79" s="648">
        <f>(H79+I79)-J79</f>
        <v>0</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0</v>
      </c>
      <c r="G82" s="653">
        <f t="shared" si="8"/>
        <v>0</v>
      </c>
      <c r="H82" s="649">
        <f t="shared" si="8"/>
        <v>28915</v>
      </c>
      <c r="I82" s="649">
        <f t="shared" si="8"/>
        <v>0</v>
      </c>
      <c r="J82" s="649">
        <f t="shared" si="8"/>
        <v>0</v>
      </c>
      <c r="K82" s="649">
        <f t="shared" si="8"/>
        <v>28915</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639" t="s">
        <v>114</v>
      </c>
      <c r="B87" s="635" t="s">
        <v>14</v>
      </c>
      <c r="C87" s="742"/>
      <c r="D87" s="742"/>
      <c r="E87" s="742"/>
      <c r="F87" s="646"/>
      <c r="G87" s="646"/>
      <c r="H87" s="647"/>
      <c r="I87" s="673">
        <f t="shared" si="9"/>
        <v>0</v>
      </c>
      <c r="J87" s="647"/>
      <c r="K87" s="648">
        <f t="shared" si="10"/>
        <v>0</v>
      </c>
    </row>
    <row r="88" spans="1:11" ht="18" customHeight="1" x14ac:dyDescent="0.3">
      <c r="A88" s="639" t="s">
        <v>115</v>
      </c>
      <c r="B88" s="635" t="s">
        <v>116</v>
      </c>
      <c r="C88" s="742"/>
      <c r="D88" s="742"/>
      <c r="E88" s="742"/>
      <c r="F88" s="646">
        <v>34640</v>
      </c>
      <c r="G88" s="646">
        <v>43</v>
      </c>
      <c r="H88" s="647">
        <v>664379</v>
      </c>
      <c r="I88" s="673">
        <v>238159</v>
      </c>
      <c r="J88" s="647">
        <v>552938</v>
      </c>
      <c r="K88" s="648">
        <f t="shared" si="10"/>
        <v>349600</v>
      </c>
    </row>
    <row r="89" spans="1:11" ht="18" customHeight="1" x14ac:dyDescent="0.3">
      <c r="A89" s="639" t="s">
        <v>117</v>
      </c>
      <c r="B89" s="635" t="s">
        <v>58</v>
      </c>
      <c r="C89" s="742"/>
      <c r="D89" s="742"/>
      <c r="E89" s="742"/>
      <c r="F89" s="646"/>
      <c r="G89" s="646"/>
      <c r="H89" s="647"/>
      <c r="I89" s="673">
        <f t="shared" si="9"/>
        <v>0</v>
      </c>
      <c r="J89" s="647"/>
      <c r="K89" s="648">
        <f t="shared" si="10"/>
        <v>0</v>
      </c>
    </row>
    <row r="90" spans="1:11" ht="18" customHeight="1" x14ac:dyDescent="0.3">
      <c r="A90" s="639" t="s">
        <v>118</v>
      </c>
      <c r="B90" s="1359" t="s">
        <v>59</v>
      </c>
      <c r="C90" s="1359"/>
      <c r="D90" s="742"/>
      <c r="E90" s="742"/>
      <c r="F90" s="646"/>
      <c r="G90" s="646"/>
      <c r="H90" s="647"/>
      <c r="I90" s="673">
        <f t="shared" si="9"/>
        <v>0</v>
      </c>
      <c r="J90" s="647"/>
      <c r="K90" s="648">
        <f t="shared" si="10"/>
        <v>0</v>
      </c>
    </row>
    <row r="91" spans="1:11" ht="18" customHeight="1" x14ac:dyDescent="0.3">
      <c r="A91" s="639" t="s">
        <v>119</v>
      </c>
      <c r="B91" s="635" t="s">
        <v>60</v>
      </c>
      <c r="C91" s="742"/>
      <c r="D91" s="742"/>
      <c r="E91" s="742"/>
      <c r="F91" s="646"/>
      <c r="G91" s="646"/>
      <c r="H91" s="647"/>
      <c r="I91" s="673">
        <f t="shared" si="9"/>
        <v>0</v>
      </c>
      <c r="J91" s="647"/>
      <c r="K91" s="648">
        <f t="shared" si="10"/>
        <v>0</v>
      </c>
    </row>
    <row r="92" spans="1:11" ht="18" customHeight="1" x14ac:dyDescent="0.3">
      <c r="A92" s="639" t="s">
        <v>120</v>
      </c>
      <c r="B92" s="635" t="s">
        <v>121</v>
      </c>
      <c r="C92" s="742"/>
      <c r="D92" s="742"/>
      <c r="E92" s="742"/>
      <c r="F92" s="661"/>
      <c r="G92" s="661"/>
      <c r="H92" s="662">
        <v>26386</v>
      </c>
      <c r="I92" s="673">
        <v>0</v>
      </c>
      <c r="J92" s="662"/>
      <c r="K92" s="648">
        <f t="shared" si="10"/>
        <v>26386</v>
      </c>
    </row>
    <row r="93" spans="1:11" ht="18" customHeight="1" x14ac:dyDescent="0.3">
      <c r="A93" s="639" t="s">
        <v>122</v>
      </c>
      <c r="B93" s="635" t="s">
        <v>123</v>
      </c>
      <c r="C93" s="742"/>
      <c r="D93" s="742"/>
      <c r="E93" s="742"/>
      <c r="F93" s="646"/>
      <c r="G93" s="646"/>
      <c r="H93" s="647">
        <v>4016</v>
      </c>
      <c r="I93" s="673">
        <v>0</v>
      </c>
      <c r="J93" s="647"/>
      <c r="K93" s="648">
        <f t="shared" si="10"/>
        <v>4016</v>
      </c>
    </row>
    <row r="94" spans="1:11" ht="18" customHeight="1" x14ac:dyDescent="0.3">
      <c r="A94" s="639" t="s">
        <v>124</v>
      </c>
      <c r="B94" s="1354"/>
      <c r="C94" s="1355"/>
      <c r="D94" s="1356"/>
      <c r="E94" s="742"/>
      <c r="F94" s="646"/>
      <c r="G94" s="646"/>
      <c r="H94" s="647"/>
      <c r="I94" s="673">
        <f t="shared" si="9"/>
        <v>0</v>
      </c>
      <c r="J94" s="647"/>
      <c r="K94" s="648">
        <f t="shared" si="10"/>
        <v>0</v>
      </c>
    </row>
    <row r="95" spans="1:11" ht="18" customHeight="1" x14ac:dyDescent="0.3">
      <c r="A95" s="639" t="s">
        <v>125</v>
      </c>
      <c r="B95" s="1354"/>
      <c r="C95" s="1355"/>
      <c r="D95" s="1356"/>
      <c r="E95" s="742"/>
      <c r="F95" s="646"/>
      <c r="G95" s="646"/>
      <c r="H95" s="647"/>
      <c r="I95" s="673">
        <f t="shared" si="9"/>
        <v>0</v>
      </c>
      <c r="J95" s="647"/>
      <c r="K95" s="648">
        <f t="shared" si="10"/>
        <v>0</v>
      </c>
    </row>
    <row r="96" spans="1:11" ht="18" customHeight="1" x14ac:dyDescent="0.3">
      <c r="A96" s="639" t="s">
        <v>126</v>
      </c>
      <c r="B96" s="1354"/>
      <c r="C96" s="1355"/>
      <c r="D96" s="1356"/>
      <c r="E96" s="742"/>
      <c r="F96" s="646"/>
      <c r="G96" s="646"/>
      <c r="H96" s="647"/>
      <c r="I96" s="673">
        <f t="shared" si="9"/>
        <v>0</v>
      </c>
      <c r="J96" s="647"/>
      <c r="K96" s="648">
        <f t="shared" si="10"/>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34640</v>
      </c>
      <c r="G98" s="650">
        <f t="shared" si="11"/>
        <v>43</v>
      </c>
      <c r="H98" s="650">
        <f t="shared" si="11"/>
        <v>694781</v>
      </c>
      <c r="I98" s="650">
        <f t="shared" si="11"/>
        <v>238159</v>
      </c>
      <c r="J98" s="650">
        <f t="shared" si="11"/>
        <v>552938</v>
      </c>
      <c r="K98" s="650">
        <f t="shared" si="11"/>
        <v>380002</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916</v>
      </c>
      <c r="G102" s="646"/>
      <c r="H102" s="647">
        <v>123194</v>
      </c>
      <c r="I102" s="673">
        <v>33759</v>
      </c>
      <c r="J102" s="647"/>
      <c r="K102" s="648">
        <f>(H102+I102)-J102</f>
        <v>156953</v>
      </c>
    </row>
    <row r="103" spans="1:11" ht="18" customHeight="1" x14ac:dyDescent="0.3">
      <c r="A103" s="639" t="s">
        <v>132</v>
      </c>
      <c r="B103" s="1357" t="s">
        <v>62</v>
      </c>
      <c r="C103" s="1357"/>
      <c r="D103" s="742"/>
      <c r="E103" s="742"/>
      <c r="F103" s="646"/>
      <c r="G103" s="646"/>
      <c r="H103" s="647"/>
      <c r="I103" s="673">
        <f>H103*F$114</f>
        <v>0</v>
      </c>
      <c r="J103" s="647"/>
      <c r="K103" s="648">
        <f>(H103+I103)-J103</f>
        <v>0</v>
      </c>
    </row>
    <row r="104" spans="1:11" ht="18" customHeight="1" x14ac:dyDescent="0.3">
      <c r="A104" s="639" t="s">
        <v>128</v>
      </c>
      <c r="B104" s="1354"/>
      <c r="C104" s="1355"/>
      <c r="D104" s="1356"/>
      <c r="E104" s="742"/>
      <c r="F104" s="646"/>
      <c r="G104" s="646"/>
      <c r="H104" s="647"/>
      <c r="I104" s="673">
        <f>H104*F$114</f>
        <v>0</v>
      </c>
      <c r="J104" s="647"/>
      <c r="K104" s="648">
        <f>(H104+I104)-J104</f>
        <v>0</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916</v>
      </c>
      <c r="G108" s="650">
        <f t="shared" si="12"/>
        <v>0</v>
      </c>
      <c r="H108" s="648">
        <f t="shared" si="12"/>
        <v>123194</v>
      </c>
      <c r="I108" s="648">
        <f t="shared" si="12"/>
        <v>33759</v>
      </c>
      <c r="J108" s="648">
        <f t="shared" si="12"/>
        <v>0</v>
      </c>
      <c r="K108" s="648">
        <f t="shared" si="12"/>
        <v>156953</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4078427</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v>0.74080000000000001</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279869237</v>
      </c>
      <c r="G117" s="740"/>
      <c r="H117" s="740"/>
      <c r="I117" s="740"/>
      <c r="J117" s="740"/>
      <c r="K117" s="740"/>
    </row>
    <row r="118" spans="1:11" ht="18" customHeight="1" x14ac:dyDescent="0.3">
      <c r="A118" s="639" t="s">
        <v>173</v>
      </c>
      <c r="B118" s="742" t="s">
        <v>18</v>
      </c>
      <c r="C118" s="742"/>
      <c r="D118" s="742"/>
      <c r="E118" s="742"/>
      <c r="F118" s="647">
        <v>11993390</v>
      </c>
      <c r="G118" s="740"/>
      <c r="H118" s="740"/>
      <c r="I118" s="740"/>
      <c r="J118" s="740"/>
      <c r="K118" s="740"/>
    </row>
    <row r="119" spans="1:11" ht="18" customHeight="1" x14ac:dyDescent="0.3">
      <c r="A119" s="639" t="s">
        <v>174</v>
      </c>
      <c r="B119" s="636" t="s">
        <v>19</v>
      </c>
      <c r="C119" s="742"/>
      <c r="D119" s="742"/>
      <c r="E119" s="742"/>
      <c r="F119" s="649">
        <f>SUM(F117:F118)</f>
        <v>291862627</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282735786</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f>+F119-F121</f>
        <v>9126841</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1917906</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f>+F123+F125</f>
        <v>11044747</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14152</v>
      </c>
      <c r="G141" s="664">
        <f t="shared" si="14"/>
        <v>66383</v>
      </c>
      <c r="H141" s="664">
        <f t="shared" si="14"/>
        <v>561520</v>
      </c>
      <c r="I141" s="664">
        <f t="shared" si="14"/>
        <v>373631</v>
      </c>
      <c r="J141" s="664">
        <f t="shared" si="14"/>
        <v>35855</v>
      </c>
      <c r="K141" s="664">
        <f t="shared" si="14"/>
        <v>899296</v>
      </c>
    </row>
    <row r="142" spans="1:11" ht="18" customHeight="1" x14ac:dyDescent="0.3">
      <c r="A142" s="639" t="s">
        <v>142</v>
      </c>
      <c r="B142" s="636" t="s">
        <v>65</v>
      </c>
      <c r="C142" s="742"/>
      <c r="D142" s="742"/>
      <c r="E142" s="742"/>
      <c r="F142" s="664">
        <f t="shared" ref="F142:K142" si="15">F49</f>
        <v>96267</v>
      </c>
      <c r="G142" s="664">
        <f t="shared" si="15"/>
        <v>280</v>
      </c>
      <c r="H142" s="664">
        <f t="shared" si="15"/>
        <v>4947523</v>
      </c>
      <c r="I142" s="664">
        <f t="shared" si="15"/>
        <v>3657588</v>
      </c>
      <c r="J142" s="664">
        <f t="shared" si="15"/>
        <v>0</v>
      </c>
      <c r="K142" s="664">
        <f t="shared" si="15"/>
        <v>8605111</v>
      </c>
    </row>
    <row r="143" spans="1:11" ht="18" customHeight="1" x14ac:dyDescent="0.3">
      <c r="A143" s="639" t="s">
        <v>144</v>
      </c>
      <c r="B143" s="636" t="s">
        <v>66</v>
      </c>
      <c r="C143" s="742"/>
      <c r="D143" s="742"/>
      <c r="E143" s="742"/>
      <c r="F143" s="664">
        <f t="shared" ref="F143:K143" si="16">F64</f>
        <v>0</v>
      </c>
      <c r="G143" s="664">
        <f t="shared" si="16"/>
        <v>0</v>
      </c>
      <c r="H143" s="664">
        <f t="shared" si="16"/>
        <v>7048371</v>
      </c>
      <c r="I143" s="664">
        <f t="shared" si="16"/>
        <v>1203049</v>
      </c>
      <c r="J143" s="664">
        <f t="shared" si="16"/>
        <v>3292559</v>
      </c>
      <c r="K143" s="664">
        <f t="shared" si="16"/>
        <v>4958861</v>
      </c>
    </row>
    <row r="144" spans="1:11" ht="18" customHeight="1" x14ac:dyDescent="0.3">
      <c r="A144" s="639"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639" t="s">
        <v>148</v>
      </c>
      <c r="B145" s="636" t="s">
        <v>68</v>
      </c>
      <c r="C145" s="742"/>
      <c r="D145" s="742"/>
      <c r="E145" s="742"/>
      <c r="F145" s="664">
        <f t="shared" ref="F145:K145" si="18">F82</f>
        <v>0</v>
      </c>
      <c r="G145" s="664">
        <f t="shared" si="18"/>
        <v>0</v>
      </c>
      <c r="H145" s="664">
        <f t="shared" si="18"/>
        <v>28915</v>
      </c>
      <c r="I145" s="664">
        <f t="shared" si="18"/>
        <v>0</v>
      </c>
      <c r="J145" s="664">
        <f t="shared" si="18"/>
        <v>0</v>
      </c>
      <c r="K145" s="664">
        <f t="shared" si="18"/>
        <v>28915</v>
      </c>
    </row>
    <row r="146" spans="1:11" ht="18" customHeight="1" x14ac:dyDescent="0.3">
      <c r="A146" s="639" t="s">
        <v>150</v>
      </c>
      <c r="B146" s="636" t="s">
        <v>69</v>
      </c>
      <c r="C146" s="742"/>
      <c r="D146" s="742"/>
      <c r="E146" s="742"/>
      <c r="F146" s="664">
        <f t="shared" ref="F146:K146" si="19">F98</f>
        <v>34640</v>
      </c>
      <c r="G146" s="664">
        <f t="shared" si="19"/>
        <v>43</v>
      </c>
      <c r="H146" s="664">
        <f t="shared" si="19"/>
        <v>694781</v>
      </c>
      <c r="I146" s="664">
        <f t="shared" si="19"/>
        <v>238159</v>
      </c>
      <c r="J146" s="664">
        <f t="shared" si="19"/>
        <v>552938</v>
      </c>
      <c r="K146" s="664">
        <f t="shared" si="19"/>
        <v>380002</v>
      </c>
    </row>
    <row r="147" spans="1:11" ht="18" customHeight="1" x14ac:dyDescent="0.3">
      <c r="A147" s="639" t="s">
        <v>153</v>
      </c>
      <c r="B147" s="636" t="s">
        <v>61</v>
      </c>
      <c r="C147" s="742"/>
      <c r="D147" s="742"/>
      <c r="E147" s="742"/>
      <c r="F147" s="650">
        <f t="shared" ref="F147:K147" si="20">F108</f>
        <v>916</v>
      </c>
      <c r="G147" s="650">
        <f t="shared" si="20"/>
        <v>0</v>
      </c>
      <c r="H147" s="650">
        <f t="shared" si="20"/>
        <v>123194</v>
      </c>
      <c r="I147" s="650">
        <f t="shared" si="20"/>
        <v>33759</v>
      </c>
      <c r="J147" s="650">
        <f t="shared" si="20"/>
        <v>0</v>
      </c>
      <c r="K147" s="650">
        <f t="shared" si="20"/>
        <v>156953</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4078427</v>
      </c>
    </row>
    <row r="149" spans="1:11" ht="18" customHeight="1" x14ac:dyDescent="0.3">
      <c r="A149" s="639"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639" t="s">
        <v>185</v>
      </c>
      <c r="B150" s="636" t="s">
        <v>186</v>
      </c>
      <c r="C150" s="742"/>
      <c r="D150" s="742"/>
      <c r="E150" s="742"/>
      <c r="F150" s="665" t="s">
        <v>73</v>
      </c>
      <c r="G150" s="665" t="s">
        <v>73</v>
      </c>
      <c r="H150" s="650">
        <f>H18</f>
        <v>6279223</v>
      </c>
      <c r="I150" s="650">
        <f>I18</f>
        <v>0</v>
      </c>
      <c r="J150" s="650">
        <f>J18</f>
        <v>5307182</v>
      </c>
      <c r="K150" s="650">
        <f>K18</f>
        <v>972041</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145975</v>
      </c>
      <c r="G152" s="672">
        <f t="shared" si="22"/>
        <v>66706</v>
      </c>
      <c r="H152" s="672">
        <f t="shared" si="22"/>
        <v>19683527</v>
      </c>
      <c r="I152" s="672">
        <f t="shared" si="22"/>
        <v>5506186</v>
      </c>
      <c r="J152" s="672">
        <f t="shared" si="22"/>
        <v>9188534</v>
      </c>
      <c r="K152" s="672">
        <f t="shared" si="22"/>
        <v>20079606</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7.1018975999026873E-2</v>
      </c>
      <c r="G154" s="742"/>
      <c r="H154" s="742"/>
      <c r="I154" s="742"/>
      <c r="J154" s="742"/>
      <c r="K154" s="742"/>
    </row>
    <row r="155" spans="1:11" ht="18" customHeight="1" x14ac:dyDescent="0.3">
      <c r="A155" s="639" t="s">
        <v>169</v>
      </c>
      <c r="B155" s="636" t="s">
        <v>72</v>
      </c>
      <c r="C155" s="742"/>
      <c r="D155" s="742"/>
      <c r="E155" s="742"/>
      <c r="F155" s="687">
        <f>K152/F127</f>
        <v>1.8180231742746122</v>
      </c>
      <c r="G155" s="636"/>
      <c r="H155" s="742"/>
      <c r="I155" s="742"/>
      <c r="J155" s="742"/>
      <c r="K155" s="742"/>
    </row>
    <row r="156" spans="1:11" ht="18" customHeight="1" x14ac:dyDescent="0.3">
      <c r="A156" s="633"/>
      <c r="B156" s="625"/>
      <c r="C156" s="625"/>
      <c r="D156" s="625"/>
      <c r="E156" s="625"/>
      <c r="F156" s="625"/>
      <c r="G156" s="626"/>
      <c r="H156" s="625"/>
      <c r="I156" s="625"/>
      <c r="J156" s="625"/>
      <c r="K156" s="625"/>
    </row>
  </sheetData>
  <sheetProtection sheet="1" objects="1" scenarios="1"/>
  <mergeCells count="34">
    <mergeCell ref="B44:D44"/>
    <mergeCell ref="D2:H2"/>
    <mergeCell ref="B34:D34"/>
    <mergeCell ref="C11:G11"/>
    <mergeCell ref="B41:C41"/>
    <mergeCell ref="B13:H13"/>
    <mergeCell ref="C5:G5"/>
    <mergeCell ref="C6:G6"/>
    <mergeCell ref="C7:G7"/>
    <mergeCell ref="C9:G9"/>
    <mergeCell ref="C10:G10"/>
    <mergeCell ref="B30:D30"/>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B45:D45"/>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156"/>
  <sheetViews>
    <sheetView showGridLines="0" zoomScale="70" zoomScaleNormal="70" zoomScaleSheetLayoutView="70" workbookViewId="0">
      <selection activeCell="B27" sqref="B27"/>
    </sheetView>
  </sheetViews>
  <sheetFormatPr defaultRowHeight="18" customHeight="1" x14ac:dyDescent="0.25"/>
  <cols>
    <col min="1" max="1" width="8.26953125" style="633" customWidth="1"/>
    <col min="2" max="2" width="55.453125" bestFit="1" customWidth="1"/>
    <col min="3" max="3" width="9.54296875" customWidth="1"/>
    <col min="5" max="5" width="12.453125" customWidth="1"/>
    <col min="6" max="6" width="18.54296875" customWidth="1"/>
    <col min="7" max="7" width="23.54296875" customWidth="1"/>
    <col min="8" max="8" width="17.26953125" customWidth="1"/>
    <col min="9" max="9" width="21.26953125" customWidth="1"/>
    <col min="10" max="10" width="19.7265625" customWidth="1"/>
    <col min="11" max="11" width="17.54296875" customWidth="1"/>
  </cols>
  <sheetData>
    <row r="1" spans="1:11" ht="18" customHeight="1" x14ac:dyDescent="0.3">
      <c r="B1" s="742"/>
      <c r="C1" s="888"/>
      <c r="D1" s="889"/>
      <c r="E1" s="888"/>
      <c r="F1" s="888"/>
      <c r="G1" s="888"/>
      <c r="H1" s="888"/>
      <c r="I1" s="888"/>
      <c r="J1" s="888"/>
      <c r="K1" s="888"/>
    </row>
    <row r="2" spans="1:11" ht="18" customHeight="1" x14ac:dyDescent="0.35">
      <c r="B2" s="742"/>
      <c r="C2" s="742"/>
      <c r="D2" s="1360" t="s">
        <v>700</v>
      </c>
      <c r="E2" s="1360"/>
      <c r="F2" s="1360"/>
      <c r="G2" s="1360"/>
      <c r="H2" s="1360"/>
      <c r="I2" s="742"/>
      <c r="J2" s="742"/>
      <c r="K2" s="742"/>
    </row>
    <row r="3" spans="1:11" ht="18" customHeight="1" x14ac:dyDescent="0.3">
      <c r="B3" s="636" t="s">
        <v>0</v>
      </c>
      <c r="C3" s="742"/>
      <c r="D3" s="742"/>
      <c r="E3" s="742"/>
      <c r="F3" s="742"/>
      <c r="G3" s="742"/>
      <c r="H3" s="742"/>
      <c r="I3" s="742"/>
      <c r="J3" s="742"/>
      <c r="K3" s="742"/>
    </row>
    <row r="4" spans="1:11" ht="18" customHeight="1" x14ac:dyDescent="0.25">
      <c r="B4" s="742"/>
      <c r="C4" s="742"/>
      <c r="D4" s="742"/>
      <c r="E4" s="742"/>
      <c r="F4" s="742"/>
      <c r="G4" s="742"/>
      <c r="H4" s="742"/>
      <c r="I4" s="742"/>
      <c r="J4" s="742"/>
      <c r="K4" s="742"/>
    </row>
    <row r="5" spans="1:11" ht="18" customHeight="1" x14ac:dyDescent="0.3">
      <c r="B5" s="733" t="s">
        <v>40</v>
      </c>
      <c r="C5" s="1386" t="s">
        <v>581</v>
      </c>
      <c r="D5" s="1387"/>
      <c r="E5" s="1387"/>
      <c r="F5" s="1387"/>
      <c r="G5" s="1388"/>
      <c r="H5" s="742"/>
      <c r="I5" s="742"/>
      <c r="J5" s="742"/>
      <c r="K5" s="742"/>
    </row>
    <row r="6" spans="1:11" ht="18" customHeight="1" x14ac:dyDescent="0.3">
      <c r="B6" s="733" t="s">
        <v>3</v>
      </c>
      <c r="C6" s="1365">
        <v>210057</v>
      </c>
      <c r="D6" s="1366"/>
      <c r="E6" s="1366"/>
      <c r="F6" s="1366"/>
      <c r="G6" s="1367"/>
      <c r="H6" s="742"/>
      <c r="I6" s="742"/>
      <c r="J6" s="742"/>
      <c r="K6" s="742"/>
    </row>
    <row r="7" spans="1:11" ht="18" customHeight="1" x14ac:dyDescent="0.3">
      <c r="B7" s="733" t="s">
        <v>4</v>
      </c>
      <c r="C7" s="1368">
        <v>1994</v>
      </c>
      <c r="D7" s="1369"/>
      <c r="E7" s="1369"/>
      <c r="F7" s="1369"/>
      <c r="G7" s="1370"/>
      <c r="H7" s="742"/>
      <c r="I7" s="742"/>
      <c r="J7" s="742"/>
      <c r="K7" s="742"/>
    </row>
    <row r="8" spans="1:11" ht="18" customHeight="1" x14ac:dyDescent="0.25">
      <c r="B8" s="742"/>
      <c r="C8" s="742"/>
      <c r="D8" s="742"/>
      <c r="E8" s="742"/>
      <c r="F8" s="742"/>
      <c r="G8" s="742"/>
      <c r="H8" s="742"/>
      <c r="I8" s="742"/>
      <c r="J8" s="742"/>
      <c r="K8" s="742"/>
    </row>
    <row r="9" spans="1:11" ht="18" customHeight="1" x14ac:dyDescent="0.3">
      <c r="B9" s="733" t="s">
        <v>1</v>
      </c>
      <c r="C9" s="1361" t="s">
        <v>187</v>
      </c>
      <c r="D9" s="1362"/>
      <c r="E9" s="1362"/>
      <c r="F9" s="1362"/>
      <c r="G9" s="1364"/>
      <c r="H9" s="742"/>
      <c r="I9" s="742"/>
      <c r="J9" s="742"/>
      <c r="K9" s="742"/>
    </row>
    <row r="10" spans="1:11" ht="18" customHeight="1" x14ac:dyDescent="0.3">
      <c r="B10" s="733" t="s">
        <v>2</v>
      </c>
      <c r="C10" s="1371" t="s">
        <v>188</v>
      </c>
      <c r="D10" s="1372"/>
      <c r="E10" s="1372"/>
      <c r="F10" s="1372"/>
      <c r="G10" s="1373"/>
      <c r="H10" s="742"/>
      <c r="I10" s="742"/>
      <c r="J10" s="742"/>
      <c r="K10" s="742"/>
    </row>
    <row r="11" spans="1:11" ht="18" customHeight="1" x14ac:dyDescent="0.3">
      <c r="B11" s="733" t="s">
        <v>32</v>
      </c>
      <c r="C11" s="1361" t="s">
        <v>189</v>
      </c>
      <c r="D11" s="1362"/>
      <c r="E11" s="1362"/>
      <c r="F11" s="1362"/>
      <c r="G11" s="1362"/>
      <c r="H11" s="742"/>
      <c r="I11" s="742"/>
      <c r="J11" s="742"/>
      <c r="K11" s="742"/>
    </row>
    <row r="12" spans="1:11" ht="18" customHeight="1" x14ac:dyDescent="0.3">
      <c r="B12" s="733"/>
      <c r="C12" s="733"/>
      <c r="D12" s="733"/>
      <c r="E12" s="733"/>
      <c r="F12" s="733"/>
      <c r="G12" s="733"/>
      <c r="H12" s="742"/>
      <c r="I12" s="742"/>
      <c r="J12" s="742"/>
      <c r="K12" s="742"/>
    </row>
    <row r="13" spans="1:11" ht="24.65" customHeight="1" x14ac:dyDescent="0.25">
      <c r="B13" s="1363"/>
      <c r="C13" s="1363"/>
      <c r="D13" s="1363"/>
      <c r="E13" s="1363"/>
      <c r="F13" s="1363"/>
      <c r="G13" s="1363"/>
      <c r="H13" s="1363"/>
      <c r="I13" s="888"/>
      <c r="J13" s="742"/>
      <c r="K13" s="742"/>
    </row>
    <row r="14" spans="1:11" ht="18" customHeight="1" x14ac:dyDescent="0.3">
      <c r="B14" s="640"/>
      <c r="C14" s="742"/>
      <c r="D14" s="742"/>
      <c r="E14" s="742"/>
      <c r="F14" s="742"/>
      <c r="G14" s="742"/>
      <c r="H14" s="742"/>
      <c r="I14" s="742"/>
      <c r="J14" s="742"/>
      <c r="K14" s="742"/>
    </row>
    <row r="15" spans="1:11" ht="18" customHeight="1" x14ac:dyDescent="0.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v>8862204.481623264</v>
      </c>
      <c r="I18" s="673">
        <v>0</v>
      </c>
      <c r="J18" s="647">
        <f>'[10]CB Master List - FY17 &amp; CY16'!$K$12</f>
        <v>7796492.9189298907</v>
      </c>
      <c r="K18" s="648">
        <f>(H18+I18)-J18</f>
        <v>1065711.5626933733</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f>'[10]CB Master List - FY17 &amp; CY16'!$G$40</f>
        <v>8547.7855999054991</v>
      </c>
      <c r="G21" s="646">
        <f>'[10]CB Master List - FY17 &amp; CY16'!$H$40</f>
        <v>4882.9926961871051</v>
      </c>
      <c r="H21" s="647">
        <f>'[10]CB Master List - FY17 &amp; CY16'!$I$40</f>
        <v>446571.58033615683</v>
      </c>
      <c r="I21" s="673">
        <f>'[10]CB Master List - FY17 &amp; CY16'!$J$40</f>
        <v>310806.99908981397</v>
      </c>
      <c r="J21" s="647">
        <f>'[10]CB Master List - FY17 &amp; CY16'!$K$40</f>
        <v>27992.117749999998</v>
      </c>
      <c r="K21" s="648">
        <f t="shared" ref="K21:K34" si="0">(H21+I21)-J21</f>
        <v>729386.46167597082</v>
      </c>
    </row>
    <row r="22" spans="1:11" ht="18" customHeight="1" x14ac:dyDescent="0.3">
      <c r="A22" s="639" t="s">
        <v>76</v>
      </c>
      <c r="B22" s="742" t="s">
        <v>6</v>
      </c>
      <c r="C22" s="742"/>
      <c r="D22" s="742"/>
      <c r="E22" s="742"/>
      <c r="F22" s="646">
        <f>'[10]CB Master List - FY17 &amp; CY16'!$G$59</f>
        <v>955.49175000000002</v>
      </c>
      <c r="G22" s="646"/>
      <c r="H22" s="647">
        <f>'[10]CB Master List - FY17 &amp; CY16'!$I$59</f>
        <v>56564.434249999998</v>
      </c>
      <c r="I22" s="673">
        <f>'[10]CB Master List - FY17 &amp; CY16'!$J$59</f>
        <v>39367.982286785409</v>
      </c>
      <c r="J22" s="647">
        <f>'[10]CB Master List - FY17 &amp; CY16'!$K$59</f>
        <v>18218.486124999999</v>
      </c>
      <c r="K22" s="648">
        <f t="shared" si="0"/>
        <v>77713.930411785404</v>
      </c>
    </row>
    <row r="23" spans="1:11" ht="18" customHeight="1" x14ac:dyDescent="0.3">
      <c r="A23" s="639" t="s">
        <v>77</v>
      </c>
      <c r="B23" s="742" t="s">
        <v>43</v>
      </c>
      <c r="C23" s="742"/>
      <c r="D23" s="742"/>
      <c r="E23" s="742"/>
      <c r="F23" s="646">
        <f>'[10]CB Master List - FY17 &amp; CY16'!$G$63</f>
        <v>1355.1659999999999</v>
      </c>
      <c r="G23" s="646"/>
      <c r="H23" s="647">
        <f>'[10]CB Master List - FY17 &amp; CY16'!$I$63</f>
        <v>51157.680500000002</v>
      </c>
      <c r="I23" s="673">
        <f>'[10]CB Master List - FY17 &amp; CY16'!$J$63</f>
        <v>35604.964258208376</v>
      </c>
      <c r="J23" s="647">
        <f>'[10]CB Master List - FY17 &amp; CY16'!$K$63</f>
        <v>0</v>
      </c>
      <c r="K23" s="648">
        <f t="shared" si="0"/>
        <v>86762.644758208378</v>
      </c>
    </row>
    <row r="24" spans="1:11" ht="18" customHeight="1" x14ac:dyDescent="0.3">
      <c r="A24" s="639" t="s">
        <v>78</v>
      </c>
      <c r="B24" s="742" t="s">
        <v>44</v>
      </c>
      <c r="C24" s="742"/>
      <c r="D24" s="742"/>
      <c r="E24" s="742"/>
      <c r="F24" s="646">
        <f>'[10]CB Master List - FY17 &amp; CY16'!$G$75</f>
        <v>6377.8000000000011</v>
      </c>
      <c r="G24" s="646">
        <f>'[10]CB Master List - FY17 &amp; CY16'!$H$75</f>
        <v>1442</v>
      </c>
      <c r="H24" s="647">
        <f>'[10]CB Master List - FY17 &amp; CY16'!$I$75</f>
        <v>580464.05000000005</v>
      </c>
      <c r="I24" s="673">
        <f>'[10]CB Master List - FY17 &amp; CY16'!$J$75</f>
        <v>403994.11293529772</v>
      </c>
      <c r="J24" s="647">
        <f>'[10]CB Master List - FY17 &amp; CY16'!$K$75</f>
        <v>0</v>
      </c>
      <c r="K24" s="648">
        <f t="shared" si="0"/>
        <v>984458.1629352977</v>
      </c>
    </row>
    <row r="25" spans="1:11" ht="18" customHeight="1" x14ac:dyDescent="0.3">
      <c r="A25" s="639" t="s">
        <v>79</v>
      </c>
      <c r="B25" s="742" t="s">
        <v>5</v>
      </c>
      <c r="C25" s="742"/>
      <c r="D25" s="742"/>
      <c r="E25" s="742"/>
      <c r="F25" s="646">
        <f>'[10]CB Master List - FY17 &amp; CY16'!$G$92</f>
        <v>3480.7284999999988</v>
      </c>
      <c r="G25" s="646"/>
      <c r="H25" s="647">
        <f>'[10]CB Master List - FY17 &amp; CY16'!$I$92</f>
        <v>114097.82850000002</v>
      </c>
      <c r="I25" s="673">
        <f>'[10]CB Master List - FY17 &amp; CY16'!$J$92</f>
        <v>79410.345933914825</v>
      </c>
      <c r="J25" s="647">
        <f>'[10]CB Master List - FY17 &amp; CY16'!$K$92</f>
        <v>4118.1445000000003</v>
      </c>
      <c r="K25" s="648">
        <f t="shared" si="0"/>
        <v>189390.02993391483</v>
      </c>
    </row>
    <row r="26" spans="1:11" ht="18" customHeight="1" x14ac:dyDescent="0.3">
      <c r="A26" s="639" t="s">
        <v>80</v>
      </c>
      <c r="B26" s="742" t="s">
        <v>45</v>
      </c>
      <c r="C26" s="742"/>
      <c r="D26" s="742"/>
      <c r="E26" s="742"/>
      <c r="F26" s="646"/>
      <c r="G26" s="646"/>
      <c r="H26" s="647"/>
      <c r="I26" s="673">
        <f t="shared" ref="I26:I34" si="1">H26*F$114</f>
        <v>0</v>
      </c>
      <c r="J26" s="647"/>
      <c r="K26" s="648">
        <f t="shared" si="0"/>
        <v>0</v>
      </c>
    </row>
    <row r="27" spans="1:11" ht="18" customHeight="1" x14ac:dyDescent="0.3">
      <c r="A27" s="639" t="s">
        <v>81</v>
      </c>
      <c r="B27" s="742" t="s">
        <v>46</v>
      </c>
      <c r="C27" s="742"/>
      <c r="D27" s="742"/>
      <c r="E27" s="742"/>
      <c r="F27" s="646"/>
      <c r="G27" s="646"/>
      <c r="H27" s="647"/>
      <c r="I27" s="673">
        <f t="shared" si="1"/>
        <v>0</v>
      </c>
      <c r="J27" s="647"/>
      <c r="K27" s="648">
        <f t="shared" si="0"/>
        <v>0</v>
      </c>
    </row>
    <row r="28" spans="1:11" ht="18" customHeight="1" x14ac:dyDescent="0.3">
      <c r="A28" s="639" t="s">
        <v>82</v>
      </c>
      <c r="B28" s="742" t="s">
        <v>47</v>
      </c>
      <c r="C28" s="742"/>
      <c r="D28" s="742"/>
      <c r="E28" s="742"/>
      <c r="F28" s="646"/>
      <c r="G28" s="646"/>
      <c r="H28" s="647"/>
      <c r="I28" s="673">
        <f t="shared" si="1"/>
        <v>0</v>
      </c>
      <c r="J28" s="647"/>
      <c r="K28" s="648">
        <f t="shared" si="0"/>
        <v>0</v>
      </c>
    </row>
    <row r="29" spans="1:11" ht="18" customHeight="1" x14ac:dyDescent="0.3">
      <c r="A29" s="639" t="s">
        <v>83</v>
      </c>
      <c r="B29" s="742" t="s">
        <v>48</v>
      </c>
      <c r="C29" s="742"/>
      <c r="D29" s="742"/>
      <c r="E29" s="742"/>
      <c r="F29" s="646">
        <f>'[10]CB Master List - FY17 &amp; CY16'!$G$120</f>
        <v>5868.6754999999994</v>
      </c>
      <c r="G29" s="646"/>
      <c r="H29" s="647">
        <f>'[10]CB Master List - FY17 &amp; CY16'!$I$120</f>
        <v>2127816.0325000002</v>
      </c>
      <c r="I29" s="673">
        <f>'[10]CB Master List - FY17 &amp; CY16'!$J$120</f>
        <v>1456160.3900092801</v>
      </c>
      <c r="J29" s="647"/>
      <c r="K29" s="648">
        <f t="shared" si="0"/>
        <v>3583976.42250928</v>
      </c>
    </row>
    <row r="30" spans="1:11" ht="18" customHeight="1" x14ac:dyDescent="0.3">
      <c r="A30" s="639" t="s">
        <v>84</v>
      </c>
      <c r="B30" s="1062" t="s">
        <v>196</v>
      </c>
      <c r="C30" s="1063"/>
      <c r="D30" s="1064"/>
      <c r="E30" s="742"/>
      <c r="F30" s="646">
        <f>'[10]CB Master List - FY17 &amp; CY16'!$G$135</f>
        <v>176.56375000000003</v>
      </c>
      <c r="G30" s="646"/>
      <c r="H30" s="647">
        <f>'[10]CB Master List - FY17 &amp; CY16'!$I$135</f>
        <v>7438.6548750000002</v>
      </c>
      <c r="I30" s="673">
        <f>'[10]CB Master List - FY17 &amp; CY16'!$J$135</f>
        <v>5177.1901768205162</v>
      </c>
      <c r="J30" s="647">
        <f>'[10]CB Master List - FY17 &amp; CY16'!$K$135</f>
        <v>1005.1861250000001</v>
      </c>
      <c r="K30" s="648">
        <f t="shared" si="0"/>
        <v>11610.658926820517</v>
      </c>
    </row>
    <row r="31" spans="1:11" ht="18" customHeight="1" x14ac:dyDescent="0.3">
      <c r="A31" s="639" t="s">
        <v>133</v>
      </c>
      <c r="B31" s="1351"/>
      <c r="C31" s="1352"/>
      <c r="D31" s="1353"/>
      <c r="E31" s="742"/>
      <c r="F31" s="646"/>
      <c r="G31" s="646"/>
      <c r="H31" s="647"/>
      <c r="I31" s="673">
        <f t="shared" si="1"/>
        <v>0</v>
      </c>
      <c r="J31" s="647"/>
      <c r="K31" s="648">
        <f t="shared" si="0"/>
        <v>0</v>
      </c>
    </row>
    <row r="32" spans="1:11" ht="18" customHeight="1" x14ac:dyDescent="0.3">
      <c r="A32" s="639" t="s">
        <v>134</v>
      </c>
      <c r="B32" s="1059"/>
      <c r="C32" s="1060"/>
      <c r="D32" s="1061"/>
      <c r="E32" s="742"/>
      <c r="F32" s="646"/>
      <c r="G32" s="675"/>
      <c r="H32" s="647"/>
      <c r="I32" s="673">
        <f t="shared" si="1"/>
        <v>0</v>
      </c>
      <c r="J32" s="647"/>
      <c r="K32" s="648">
        <f t="shared" si="0"/>
        <v>0</v>
      </c>
    </row>
    <row r="33" spans="1:11" ht="18" customHeight="1" x14ac:dyDescent="0.3">
      <c r="A33" s="639" t="s">
        <v>135</v>
      </c>
      <c r="B33" s="1059"/>
      <c r="C33" s="1060"/>
      <c r="D33" s="1061"/>
      <c r="E33" s="742"/>
      <c r="F33" s="646"/>
      <c r="G33" s="675"/>
      <c r="H33" s="647"/>
      <c r="I33" s="673">
        <f t="shared" si="1"/>
        <v>0</v>
      </c>
      <c r="J33" s="647"/>
      <c r="K33" s="648">
        <f t="shared" si="0"/>
        <v>0</v>
      </c>
    </row>
    <row r="34" spans="1:11" ht="18" customHeight="1" x14ac:dyDescent="0.3">
      <c r="A34" s="639" t="s">
        <v>136</v>
      </c>
      <c r="B34" s="1351"/>
      <c r="C34" s="1352"/>
      <c r="D34" s="1353"/>
      <c r="E34" s="742"/>
      <c r="F34" s="646"/>
      <c r="G34" s="675"/>
      <c r="H34" s="647"/>
      <c r="I34" s="673">
        <f t="shared" si="1"/>
        <v>0</v>
      </c>
      <c r="J34" s="647"/>
      <c r="K34" s="648">
        <f t="shared" si="0"/>
        <v>0</v>
      </c>
    </row>
    <row r="35" spans="1:11" ht="18" customHeight="1" x14ac:dyDescent="0.25">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26762.211099905493</v>
      </c>
      <c r="G36" s="650">
        <f t="shared" si="2"/>
        <v>6324.9926961871051</v>
      </c>
      <c r="H36" s="650">
        <f t="shared" si="2"/>
        <v>3384110.2609611573</v>
      </c>
      <c r="I36" s="648">
        <f t="shared" si="2"/>
        <v>2330521.9846901209</v>
      </c>
      <c r="J36" s="648">
        <f t="shared" si="2"/>
        <v>51333.934500000003</v>
      </c>
      <c r="K36" s="648">
        <f t="shared" si="2"/>
        <v>5663298.3111512773</v>
      </c>
    </row>
    <row r="37" spans="1:11" ht="18" customHeight="1" thickBot="1" x14ac:dyDescent="0.35">
      <c r="B37" s="636"/>
      <c r="C37" s="742"/>
      <c r="D37" s="742"/>
      <c r="E37" s="742"/>
      <c r="F37" s="651"/>
      <c r="G37" s="651"/>
      <c r="H37" s="652"/>
      <c r="I37" s="652"/>
      <c r="J37" s="652"/>
      <c r="K37" s="668"/>
    </row>
    <row r="38" spans="1:11" ht="42.75" customHeight="1" x14ac:dyDescent="0.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f>'[10]CB Master List - FY17 &amp; CY16'!$G$155</f>
        <v>3972</v>
      </c>
      <c r="G40" s="646">
        <f>'[10]CB Master List - FY17 &amp; CY16'!$H$155</f>
        <v>1185</v>
      </c>
      <c r="H40" s="647">
        <f>'[10]CB Master List - FY17 &amp; CY16'!$I$155</f>
        <v>339921.86</v>
      </c>
      <c r="I40" s="673">
        <f>'[10]CB Master List - FY17 &amp; CY16'!$J$155</f>
        <v>0</v>
      </c>
      <c r="J40" s="647">
        <f>'[10]CB Master List - FY17 &amp; CY16'!$K$155</f>
        <v>0</v>
      </c>
      <c r="K40" s="648">
        <f t="shared" ref="K40:K47" si="3">(H40+I40)-J40</f>
        <v>339921.86</v>
      </c>
    </row>
    <row r="41" spans="1:11" ht="18" customHeight="1" x14ac:dyDescent="0.3">
      <c r="A41" s="639" t="s">
        <v>88</v>
      </c>
      <c r="B41" s="1359" t="s">
        <v>50</v>
      </c>
      <c r="C41" s="1359"/>
      <c r="D41" s="742"/>
      <c r="E41" s="742"/>
      <c r="F41" s="646">
        <f>'[10]CB Master List - FY17 &amp; CY16'!$G$165</f>
        <v>12086</v>
      </c>
      <c r="G41" s="646">
        <f>'[10]CB Master List - FY17 &amp; CY16'!$H$165</f>
        <v>3978.6666666666665</v>
      </c>
      <c r="H41" s="647">
        <f>'[10]CB Master List - FY17 &amp; CY16'!$I$165</f>
        <v>340500</v>
      </c>
      <c r="I41" s="673">
        <v>0</v>
      </c>
      <c r="J41" s="647"/>
      <c r="K41" s="648">
        <f t="shared" si="3"/>
        <v>340500</v>
      </c>
    </row>
    <row r="42" spans="1:11" ht="18" customHeight="1" x14ac:dyDescent="0.3">
      <c r="A42" s="639" t="s">
        <v>89</v>
      </c>
      <c r="B42" s="635" t="s">
        <v>11</v>
      </c>
      <c r="C42" s="742"/>
      <c r="D42" s="742"/>
      <c r="E42" s="742"/>
      <c r="F42" s="646">
        <f>'[10]CB Master List - FY17 &amp; CY16'!$G$188</f>
        <v>2753.3886631736773</v>
      </c>
      <c r="G42" s="646">
        <f>'[10]CB Master List - FY17 &amp; CY16'!$H$188</f>
        <v>78</v>
      </c>
      <c r="H42" s="647">
        <f>'[10]CB Master List - FY17 &amp; CY16'!$I$188</f>
        <v>118156.48875000002</v>
      </c>
      <c r="I42" s="673">
        <v>0</v>
      </c>
      <c r="J42" s="647">
        <f>'[10]CB Master List - FY17 &amp; CY16'!$K$188</f>
        <v>9460.9295000000002</v>
      </c>
      <c r="K42" s="648">
        <f t="shared" si="3"/>
        <v>108695.55925000002</v>
      </c>
    </row>
    <row r="43" spans="1:11" ht="18" customHeight="1" x14ac:dyDescent="0.3">
      <c r="A43" s="639" t="s">
        <v>90</v>
      </c>
      <c r="B43" s="670" t="s">
        <v>10</v>
      </c>
      <c r="C43" s="642"/>
      <c r="D43" s="642"/>
      <c r="E43" s="742"/>
      <c r="F43" s="646"/>
      <c r="G43" s="646"/>
      <c r="H43" s="647"/>
      <c r="I43" s="673">
        <v>0</v>
      </c>
      <c r="J43" s="647"/>
      <c r="K43" s="648">
        <f t="shared" si="3"/>
        <v>0</v>
      </c>
    </row>
    <row r="44" spans="1:11" ht="18" customHeight="1" x14ac:dyDescent="0.3">
      <c r="A44" s="639" t="s">
        <v>91</v>
      </c>
      <c r="B44" s="1351"/>
      <c r="C44" s="1352"/>
      <c r="D44" s="1353"/>
      <c r="E44" s="742"/>
      <c r="F44" s="677"/>
      <c r="G44" s="677"/>
      <c r="H44" s="67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2"/>
      <c r="C48" s="742"/>
      <c r="D48" s="742"/>
      <c r="E48" s="742"/>
      <c r="F48" s="742"/>
      <c r="G48" s="742"/>
      <c r="H48" s="742"/>
      <c r="I48" s="742"/>
      <c r="J48" s="742"/>
      <c r="K48" s="742"/>
    </row>
    <row r="49" spans="1:11" ht="18" customHeight="1" x14ac:dyDescent="0.3">
      <c r="A49" s="639" t="s">
        <v>142</v>
      </c>
      <c r="B49" s="636" t="s">
        <v>143</v>
      </c>
      <c r="C49" s="742"/>
      <c r="D49" s="742"/>
      <c r="E49" s="636" t="s">
        <v>7</v>
      </c>
      <c r="F49" s="654">
        <f t="shared" ref="F49:K49" si="4">SUM(F40:F47)</f>
        <v>18811.388663173679</v>
      </c>
      <c r="G49" s="654">
        <f t="shared" si="4"/>
        <v>5241.6666666666661</v>
      </c>
      <c r="H49" s="648">
        <f t="shared" si="4"/>
        <v>798578.34875</v>
      </c>
      <c r="I49" s="648">
        <f t="shared" si="4"/>
        <v>0</v>
      </c>
      <c r="J49" s="648">
        <f t="shared" si="4"/>
        <v>9460.9295000000002</v>
      </c>
      <c r="K49" s="648">
        <f t="shared" si="4"/>
        <v>789117.41925000004</v>
      </c>
    </row>
    <row r="50" spans="1:11" ht="18" customHeight="1" thickBot="1" x14ac:dyDescent="0.3">
      <c r="B50" s="742"/>
      <c r="C50" s="742"/>
      <c r="D50" s="742"/>
      <c r="E50" s="742"/>
      <c r="F50" s="742"/>
      <c r="G50" s="655"/>
      <c r="H50" s="655"/>
      <c r="I50" s="655"/>
      <c r="J50" s="655"/>
      <c r="K50" s="655"/>
    </row>
    <row r="51" spans="1:11" ht="42.75" customHeight="1" x14ac:dyDescent="0.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190</v>
      </c>
      <c r="C53" s="1355"/>
      <c r="D53" s="1356"/>
      <c r="E53" s="742"/>
      <c r="F53" s="646"/>
      <c r="G53" s="646"/>
      <c r="H53" s="647"/>
      <c r="I53" s="673">
        <v>0</v>
      </c>
      <c r="J53" s="647"/>
      <c r="K53" s="648">
        <f t="shared" ref="K53:K62" si="5">(H53+I53)-J53</f>
        <v>0</v>
      </c>
    </row>
    <row r="54" spans="1:11" ht="18" customHeight="1" x14ac:dyDescent="0.3">
      <c r="A54" s="639" t="s">
        <v>93</v>
      </c>
      <c r="B54" s="1062" t="s">
        <v>191</v>
      </c>
      <c r="C54" s="1063"/>
      <c r="D54" s="1064"/>
      <c r="E54" s="742"/>
      <c r="F54" s="646">
        <f>'[10]CB Master List - FY17 &amp; CY16'!$G$219</f>
        <v>54223.68</v>
      </c>
      <c r="G54" s="646">
        <f>'[10]CB Master List - FY17 &amp; CY16'!$H$219</f>
        <v>3385.4719999999998</v>
      </c>
      <c r="H54" s="647">
        <f>'[10]CB Master List - FY17 &amp; CY16'!$I$219</f>
        <v>7769671.8600000003</v>
      </c>
      <c r="I54" s="673">
        <v>0</v>
      </c>
      <c r="J54" s="647"/>
      <c r="K54" s="648">
        <f t="shared" si="5"/>
        <v>7769671.8600000003</v>
      </c>
    </row>
    <row r="55" spans="1:11" ht="18" customHeight="1" x14ac:dyDescent="0.3">
      <c r="A55" s="639" t="s">
        <v>94</v>
      </c>
      <c r="B55" s="1354" t="s">
        <v>192</v>
      </c>
      <c r="C55" s="1355"/>
      <c r="D55" s="1356"/>
      <c r="E55" s="742"/>
      <c r="F55" s="646">
        <f>'[10]CB Master List - FY17 &amp; CY16'!$G$229</f>
        <v>101088</v>
      </c>
      <c r="G55" s="646">
        <f>'[10]CB Master List - FY17 &amp; CY16'!$H$229</f>
        <v>2808</v>
      </c>
      <c r="H55" s="647">
        <f>'[10]CB Master List - FY17 &amp; CY16'!$I$229</f>
        <v>1256149.45</v>
      </c>
      <c r="I55" s="673">
        <v>0</v>
      </c>
      <c r="J55" s="647"/>
      <c r="K55" s="648">
        <f t="shared" si="5"/>
        <v>1256149.45</v>
      </c>
    </row>
    <row r="56" spans="1:11" ht="18" customHeight="1" x14ac:dyDescent="0.3">
      <c r="A56" s="639" t="s">
        <v>95</v>
      </c>
      <c r="B56" s="1354" t="s">
        <v>193</v>
      </c>
      <c r="C56" s="1355"/>
      <c r="D56" s="1356"/>
      <c r="E56" s="742"/>
      <c r="F56" s="646"/>
      <c r="G56" s="646"/>
      <c r="H56" s="647"/>
      <c r="I56" s="673">
        <v>0</v>
      </c>
      <c r="J56" s="647"/>
      <c r="K56" s="648">
        <f t="shared" si="5"/>
        <v>0</v>
      </c>
    </row>
    <row r="57" spans="1:11" ht="18" customHeight="1" x14ac:dyDescent="0.3">
      <c r="A57" s="639" t="s">
        <v>96</v>
      </c>
      <c r="B57" s="1354" t="s">
        <v>194</v>
      </c>
      <c r="C57" s="1355"/>
      <c r="D57" s="1356"/>
      <c r="E57" s="742"/>
      <c r="F57" s="646">
        <f>'[10]CB Master List - FY17 &amp; CY16'!$G$243</f>
        <v>0</v>
      </c>
      <c r="G57" s="646"/>
      <c r="H57" s="647">
        <f>'[10]CB Master List - FY17 &amp; CY16'!$I$243</f>
        <v>4281180.753903864</v>
      </c>
      <c r="I57" s="673">
        <v>0</v>
      </c>
      <c r="J57" s="647"/>
      <c r="K57" s="648">
        <f t="shared" si="5"/>
        <v>4281180.753903864</v>
      </c>
    </row>
    <row r="58" spans="1:11" ht="18" customHeight="1" x14ac:dyDescent="0.3">
      <c r="A58" s="639" t="s">
        <v>97</v>
      </c>
      <c r="B58" s="1062"/>
      <c r="C58" s="1063"/>
      <c r="D58" s="1064"/>
      <c r="E58" s="742"/>
      <c r="F58" s="646"/>
      <c r="G58" s="646"/>
      <c r="H58" s="647"/>
      <c r="I58" s="673">
        <v>0</v>
      </c>
      <c r="J58" s="647"/>
      <c r="K58" s="648">
        <f t="shared" si="5"/>
        <v>0</v>
      </c>
    </row>
    <row r="59" spans="1:11" ht="18" customHeight="1" x14ac:dyDescent="0.3">
      <c r="A59" s="639" t="s">
        <v>98</v>
      </c>
      <c r="B59" s="1354"/>
      <c r="C59" s="1355"/>
      <c r="D59" s="1356"/>
      <c r="E59" s="742"/>
      <c r="F59" s="646"/>
      <c r="G59" s="646"/>
      <c r="H59" s="647"/>
      <c r="I59" s="673">
        <v>0</v>
      </c>
      <c r="J59" s="647"/>
      <c r="K59" s="648">
        <f t="shared" si="5"/>
        <v>0</v>
      </c>
    </row>
    <row r="60" spans="1:11" ht="18" customHeight="1" x14ac:dyDescent="0.3">
      <c r="A60" s="639" t="s">
        <v>99</v>
      </c>
      <c r="B60" s="1062"/>
      <c r="C60" s="1063"/>
      <c r="D60" s="1064"/>
      <c r="E60" s="742"/>
      <c r="F60" s="646"/>
      <c r="G60" s="646"/>
      <c r="H60" s="647"/>
      <c r="I60" s="673">
        <v>0</v>
      </c>
      <c r="J60" s="647"/>
      <c r="K60" s="648">
        <f t="shared" si="5"/>
        <v>0</v>
      </c>
    </row>
    <row r="61" spans="1:11" ht="18" customHeight="1" x14ac:dyDescent="0.3">
      <c r="A61" s="639" t="s">
        <v>100</v>
      </c>
      <c r="B61" s="1062"/>
      <c r="C61" s="1063"/>
      <c r="D61" s="1064"/>
      <c r="E61" s="742"/>
      <c r="F61" s="646"/>
      <c r="G61" s="646"/>
      <c r="H61" s="647"/>
      <c r="I61" s="673">
        <v>0</v>
      </c>
      <c r="J61" s="647"/>
      <c r="K61" s="648">
        <f t="shared" si="5"/>
        <v>0</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155311.67999999999</v>
      </c>
      <c r="G64" s="650">
        <f t="shared" si="6"/>
        <v>6193.4719999999998</v>
      </c>
      <c r="H64" s="648">
        <f t="shared" si="6"/>
        <v>13307002.063903864</v>
      </c>
      <c r="I64" s="648">
        <f t="shared" si="6"/>
        <v>0</v>
      </c>
      <c r="J64" s="648">
        <f t="shared" si="6"/>
        <v>0</v>
      </c>
      <c r="K64" s="648">
        <f t="shared" si="6"/>
        <v>13307002.063903864</v>
      </c>
    </row>
    <row r="65" spans="1:11" ht="18" customHeight="1" x14ac:dyDescent="0.25">
      <c r="B65" s="742"/>
      <c r="C65" s="742"/>
      <c r="D65" s="742"/>
      <c r="E65" s="742"/>
      <c r="F65" s="671"/>
      <c r="G65" s="671"/>
      <c r="H65" s="671"/>
      <c r="I65" s="671"/>
      <c r="J65" s="671"/>
      <c r="K65" s="671"/>
    </row>
    <row r="66" spans="1:11" ht="42.75" customHeight="1" x14ac:dyDescent="0.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46">
        <f>'[10]CB Master List - FY17 &amp; CY16'!$G$261</f>
        <v>14421.099999999997</v>
      </c>
      <c r="G68" s="674"/>
      <c r="H68" s="647">
        <f>'[10]CB Master List - FY17 &amp; CY16'!$I$261</f>
        <v>1020038.325</v>
      </c>
      <c r="I68" s="673">
        <v>0</v>
      </c>
      <c r="J68" s="674">
        <f>'[10]CB Master List - FY17 &amp; CY16'!$K$261</f>
        <v>90450.62</v>
      </c>
      <c r="K68" s="648">
        <f>(H68+I68)-J68</f>
        <v>929587.70499999996</v>
      </c>
    </row>
    <row r="69" spans="1:11" ht="18" customHeight="1" x14ac:dyDescent="0.3">
      <c r="A69" s="639" t="s">
        <v>104</v>
      </c>
      <c r="B69" s="635" t="s">
        <v>53</v>
      </c>
      <c r="C69" s="742"/>
      <c r="D69" s="742"/>
      <c r="E69" s="742"/>
      <c r="F69" s="674"/>
      <c r="G69" s="674"/>
      <c r="H69" s="647">
        <f>'[10]CB Master List - FY17 &amp; CY16'!$I$270</f>
        <v>27041.505000000001</v>
      </c>
      <c r="I69" s="673">
        <v>0</v>
      </c>
      <c r="J69" s="674"/>
      <c r="K69" s="648">
        <f>(H69+I69)-J69</f>
        <v>27041.505000000001</v>
      </c>
    </row>
    <row r="70" spans="1:11" ht="18" customHeight="1" x14ac:dyDescent="0.3">
      <c r="A70" s="639" t="s">
        <v>178</v>
      </c>
      <c r="B70" s="1062"/>
      <c r="C70" s="1063"/>
      <c r="D70" s="1064"/>
      <c r="E70" s="636"/>
      <c r="F70" s="658"/>
      <c r="G70" s="658"/>
      <c r="H70" s="659"/>
      <c r="I70" s="673">
        <v>0</v>
      </c>
      <c r="J70" s="659"/>
      <c r="K70" s="648">
        <f>(H70+I70)-J70</f>
        <v>0</v>
      </c>
    </row>
    <row r="71" spans="1:11" ht="18" customHeight="1" x14ac:dyDescent="0.3">
      <c r="A71" s="639" t="s">
        <v>179</v>
      </c>
      <c r="B71" s="1062"/>
      <c r="C71" s="1063"/>
      <c r="D71" s="1064"/>
      <c r="E71" s="636"/>
      <c r="F71" s="658"/>
      <c r="G71" s="658"/>
      <c r="H71" s="659"/>
      <c r="I71" s="673">
        <v>0</v>
      </c>
      <c r="J71" s="659"/>
      <c r="K71" s="648">
        <f>(H71+I71)-J71</f>
        <v>0</v>
      </c>
    </row>
    <row r="72" spans="1:11" ht="18" customHeight="1" x14ac:dyDescent="0.3">
      <c r="A72" s="639" t="s">
        <v>180</v>
      </c>
      <c r="B72" s="1077"/>
      <c r="C72" s="1076"/>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14421.099999999997</v>
      </c>
      <c r="G74" s="653">
        <f t="shared" si="7"/>
        <v>0</v>
      </c>
      <c r="H74" s="653">
        <f t="shared" si="7"/>
        <v>1047079.83</v>
      </c>
      <c r="I74" s="676">
        <f t="shared" si="7"/>
        <v>0</v>
      </c>
      <c r="J74" s="653">
        <f t="shared" si="7"/>
        <v>90450.62</v>
      </c>
      <c r="K74" s="649">
        <f t="shared" si="7"/>
        <v>956629.21</v>
      </c>
    </row>
    <row r="75" spans="1:11" ht="42.75" customHeight="1" x14ac:dyDescent="0.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f>'[10]CB Master List - FY17 &amp; CY16'!$G$292</f>
        <v>57.245940356424988</v>
      </c>
      <c r="G77" s="646"/>
      <c r="H77" s="647">
        <f>'[10]CB Master List - FY17 &amp; CY16'!$I$292</f>
        <v>522690.23000000004</v>
      </c>
      <c r="I77" s="673">
        <v>0</v>
      </c>
      <c r="J77" s="647"/>
      <c r="K77" s="648">
        <f>(H77+I77)-J77</f>
        <v>522690.23000000004</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f>'[10]CB Master List - FY17 &amp; CY16'!$G$307</f>
        <v>166.99003703192508</v>
      </c>
      <c r="G79" s="646"/>
      <c r="H79" s="647"/>
      <c r="I79" s="673">
        <v>0</v>
      </c>
      <c r="J79" s="647"/>
      <c r="K79" s="648">
        <f>(H79+I79)-J79</f>
        <v>0</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224.23597738835008</v>
      </c>
      <c r="G82" s="653">
        <f t="shared" si="8"/>
        <v>0</v>
      </c>
      <c r="H82" s="649">
        <f t="shared" si="8"/>
        <v>522690.23000000004</v>
      </c>
      <c r="I82" s="649">
        <f t="shared" si="8"/>
        <v>0</v>
      </c>
      <c r="J82" s="649">
        <f t="shared" si="8"/>
        <v>0</v>
      </c>
      <c r="K82" s="649">
        <f t="shared" si="8"/>
        <v>522690.23000000004</v>
      </c>
    </row>
    <row r="83" spans="1:11" ht="18" customHeight="1" thickBot="1" x14ac:dyDescent="0.35">
      <c r="A83" s="639"/>
      <c r="B83" s="742"/>
      <c r="C83" s="742"/>
      <c r="D83" s="742"/>
      <c r="E83" s="742"/>
      <c r="F83" s="655"/>
      <c r="G83" s="655"/>
      <c r="H83" s="655"/>
      <c r="I83" s="655"/>
      <c r="J83" s="655"/>
      <c r="K83" s="655"/>
    </row>
    <row r="84" spans="1:11" ht="42.75" customHeight="1" x14ac:dyDescent="0.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f>'[10]CB Master List - FY17 &amp; CY16'!$I$332</f>
        <v>14866.44573360958</v>
      </c>
      <c r="I86" s="673">
        <f>'[10]CB Master List - FY17 &amp; CY16'!$J$332</f>
        <v>10346.819164167606</v>
      </c>
      <c r="J86" s="647"/>
      <c r="K86" s="648">
        <f t="shared" ref="K86:K96" si="9">(H86+I86)-J86</f>
        <v>25213.264897777186</v>
      </c>
    </row>
    <row r="87" spans="1:11" ht="18" customHeight="1" x14ac:dyDescent="0.3">
      <c r="A87" s="639" t="s">
        <v>114</v>
      </c>
      <c r="B87" s="635" t="s">
        <v>14</v>
      </c>
      <c r="C87" s="742"/>
      <c r="D87" s="742"/>
      <c r="E87" s="742"/>
      <c r="F87" s="646">
        <f>'[10]CB Master List - FY17 &amp; CY16'!$G$340</f>
        <v>7.9994327135615704</v>
      </c>
      <c r="G87" s="646"/>
      <c r="H87" s="647"/>
      <c r="I87" s="673">
        <f t="shared" ref="I87:I96" si="10">H87*F$114</f>
        <v>0</v>
      </c>
      <c r="J87" s="647"/>
      <c r="K87" s="648">
        <f t="shared" si="9"/>
        <v>0</v>
      </c>
    </row>
    <row r="88" spans="1:11" ht="18" customHeight="1" x14ac:dyDescent="0.3">
      <c r="A88" s="639" t="s">
        <v>115</v>
      </c>
      <c r="B88" s="635" t="s">
        <v>116</v>
      </c>
      <c r="C88" s="742"/>
      <c r="D88" s="742"/>
      <c r="E88" s="742"/>
      <c r="F88" s="646">
        <f>'[10]CB Master List - FY17 &amp; CY16'!$G$350</f>
        <v>10.249273164250763</v>
      </c>
      <c r="G88" s="646">
        <f>'[10]CB Master List - FY17 &amp; CY16'!$H$350</f>
        <v>12.499113614939954</v>
      </c>
      <c r="H88" s="647">
        <f>'[10]CB Master List - FY17 &amp; CY16'!$I$350</f>
        <v>47020.800000000003</v>
      </c>
      <c r="I88" s="673">
        <f>'[10]CB Master List - FY17 &amp; CY16'!$J$350</f>
        <v>32725.758615900584</v>
      </c>
      <c r="J88" s="647"/>
      <c r="K88" s="648">
        <f t="shared" si="9"/>
        <v>79746.558615900591</v>
      </c>
    </row>
    <row r="89" spans="1:11" ht="18" customHeight="1" x14ac:dyDescent="0.3">
      <c r="A89" s="639" t="s">
        <v>117</v>
      </c>
      <c r="B89" s="635" t="s">
        <v>58</v>
      </c>
      <c r="C89" s="742"/>
      <c r="D89" s="742"/>
      <c r="E89" s="742"/>
      <c r="F89" s="646"/>
      <c r="G89" s="646"/>
      <c r="H89" s="647"/>
      <c r="I89" s="673">
        <f t="shared" si="10"/>
        <v>0</v>
      </c>
      <c r="J89" s="647"/>
      <c r="K89" s="648">
        <f t="shared" si="9"/>
        <v>0</v>
      </c>
    </row>
    <row r="90" spans="1:11" ht="18" customHeight="1" x14ac:dyDescent="0.3">
      <c r="A90" s="639" t="s">
        <v>118</v>
      </c>
      <c r="B90" s="1359" t="s">
        <v>59</v>
      </c>
      <c r="C90" s="1359"/>
      <c r="D90" s="742"/>
      <c r="E90" s="742"/>
      <c r="F90" s="646">
        <f>'[10]CB Master List - FY17 &amp; CY16'!$G$366</f>
        <v>11.999149070342355</v>
      </c>
      <c r="G90" s="646"/>
      <c r="H90" s="647"/>
      <c r="I90" s="673">
        <f t="shared" si="10"/>
        <v>0</v>
      </c>
      <c r="J90" s="647"/>
      <c r="K90" s="648">
        <f t="shared" si="9"/>
        <v>0</v>
      </c>
    </row>
    <row r="91" spans="1:11" ht="18" customHeight="1" x14ac:dyDescent="0.3">
      <c r="A91" s="639" t="s">
        <v>119</v>
      </c>
      <c r="B91" s="635" t="s">
        <v>60</v>
      </c>
      <c r="C91" s="742"/>
      <c r="D91" s="742"/>
      <c r="E91" s="742"/>
      <c r="F91" s="646">
        <f>'[10]CB Master List - FY17 &amp; CY16'!$G$375</f>
        <v>991.50976953988425</v>
      </c>
      <c r="G91" s="646"/>
      <c r="H91" s="647">
        <f>'[10]CB Master List - FY17 &amp; CY16'!$I$375</f>
        <v>67230.86725000001</v>
      </c>
      <c r="I91" s="673">
        <f>'[10]CB Master List - FY17 &amp; CY16'!$J$375</f>
        <v>46791.656738319129</v>
      </c>
      <c r="J91" s="647">
        <f>'[10]CB Master List - FY17 &amp; CY16'!$K$375</f>
        <v>8838.32</v>
      </c>
      <c r="K91" s="648">
        <f t="shared" si="9"/>
        <v>105184.20398831915</v>
      </c>
    </row>
    <row r="92" spans="1:11" ht="18" customHeight="1" x14ac:dyDescent="0.3">
      <c r="A92" s="639" t="s">
        <v>120</v>
      </c>
      <c r="B92" s="635" t="s">
        <v>121</v>
      </c>
      <c r="C92" s="742"/>
      <c r="D92" s="742"/>
      <c r="E92" s="742"/>
      <c r="F92" s="661">
        <f>'[10]CB Master List - FY17 &amp; CY16'!$G$387</f>
        <v>6101.666180431921</v>
      </c>
      <c r="G92" s="661"/>
      <c r="H92" s="662">
        <f>'[10]CB Master List - FY17 &amp; CY16'!$I$387</f>
        <v>579122.32773006044</v>
      </c>
      <c r="I92" s="673">
        <f>'[10]CB Master List - FY17 &amp; CY16'!$J$387</f>
        <v>403060.29472855467</v>
      </c>
      <c r="J92" s="662"/>
      <c r="K92" s="648">
        <f t="shared" si="9"/>
        <v>982182.62245861511</v>
      </c>
    </row>
    <row r="93" spans="1:11" ht="18" customHeight="1" x14ac:dyDescent="0.3">
      <c r="A93" s="639" t="s">
        <v>122</v>
      </c>
      <c r="B93" s="635" t="s">
        <v>123</v>
      </c>
      <c r="C93" s="742"/>
      <c r="D93" s="742"/>
      <c r="E93" s="742"/>
      <c r="F93" s="646">
        <f>'[10]CB Master List - FY17 &amp; CY16'!$G$395</f>
        <v>875.84987590609126</v>
      </c>
      <c r="G93" s="646">
        <f>'[10]CB Master List - FY17 &amp; CY16'!$H$395</f>
        <v>2698.5250000000001</v>
      </c>
      <c r="H93" s="647">
        <f>'[10]CB Master List - FY17 &amp; CY16'!$I$395</f>
        <v>36712.19999999999</v>
      </c>
      <c r="I93" s="673">
        <f>'[10]CB Master List - FY17 &amp; CY16'!$J$395</f>
        <v>25551.130466913899</v>
      </c>
      <c r="J93" s="647"/>
      <c r="K93" s="648">
        <f t="shared" si="9"/>
        <v>62263.330466913889</v>
      </c>
    </row>
    <row r="94" spans="1:11" ht="18" customHeight="1" x14ac:dyDescent="0.3">
      <c r="A94" s="639" t="s">
        <v>124</v>
      </c>
      <c r="B94" s="1354"/>
      <c r="C94" s="1355"/>
      <c r="D94" s="1356"/>
      <c r="E94" s="742"/>
      <c r="F94" s="646"/>
      <c r="G94" s="646"/>
      <c r="H94" s="647"/>
      <c r="I94" s="673">
        <f t="shared" si="10"/>
        <v>0</v>
      </c>
      <c r="J94" s="647"/>
      <c r="K94" s="648">
        <f t="shared" si="9"/>
        <v>0</v>
      </c>
    </row>
    <row r="95" spans="1:11" ht="18" customHeight="1" x14ac:dyDescent="0.3">
      <c r="A95" s="639" t="s">
        <v>125</v>
      </c>
      <c r="B95" s="1354"/>
      <c r="C95" s="1355"/>
      <c r="D95" s="1356"/>
      <c r="E95" s="742"/>
      <c r="F95" s="646"/>
      <c r="G95" s="646"/>
      <c r="H95" s="647"/>
      <c r="I95" s="673">
        <f t="shared" si="10"/>
        <v>0</v>
      </c>
      <c r="J95" s="647"/>
      <c r="K95" s="648">
        <f t="shared" si="9"/>
        <v>0</v>
      </c>
    </row>
    <row r="96" spans="1:11" ht="18" customHeight="1" x14ac:dyDescent="0.3">
      <c r="A96" s="639" t="s">
        <v>126</v>
      </c>
      <c r="B96" s="1354"/>
      <c r="C96" s="1355"/>
      <c r="D96" s="1356"/>
      <c r="E96" s="742"/>
      <c r="F96" s="646"/>
      <c r="G96" s="646"/>
      <c r="H96" s="647"/>
      <c r="I96" s="673">
        <f t="shared" si="10"/>
        <v>0</v>
      </c>
      <c r="J96" s="647"/>
      <c r="K96" s="648">
        <f t="shared" si="9"/>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7999.2736808260515</v>
      </c>
      <c r="G98" s="650">
        <f t="shared" si="11"/>
        <v>2711.0241136149402</v>
      </c>
      <c r="H98" s="650">
        <f t="shared" si="11"/>
        <v>744952.64071366994</v>
      </c>
      <c r="I98" s="650">
        <f t="shared" si="11"/>
        <v>518475.65971385594</v>
      </c>
      <c r="J98" s="650">
        <f t="shared" si="11"/>
        <v>8838.32</v>
      </c>
      <c r="K98" s="650">
        <f t="shared" si="11"/>
        <v>1254589.9804275259</v>
      </c>
    </row>
    <row r="99" spans="1:11" ht="18" customHeight="1" thickBot="1" x14ac:dyDescent="0.35">
      <c r="B99" s="636"/>
      <c r="C99" s="742"/>
      <c r="D99" s="742"/>
      <c r="E99" s="742"/>
      <c r="F99" s="655"/>
      <c r="G99" s="655"/>
      <c r="H99" s="655"/>
      <c r="I99" s="655"/>
      <c r="J99" s="655"/>
      <c r="K99" s="655"/>
    </row>
    <row r="100" spans="1:11" ht="42.75" customHeight="1" x14ac:dyDescent="0.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f>'[10]CB Master List - FY17 &amp; CY16'!$G$421</f>
        <v>8231.8395225344593</v>
      </c>
      <c r="G102" s="646">
        <f>'[10]CB Master List - FY17 &amp; CY16'!$H$421</f>
        <v>52</v>
      </c>
      <c r="H102" s="647">
        <f>'[10]CB Master List - FY17 &amp; CY16'!$I$421</f>
        <v>400775.36225000001</v>
      </c>
      <c r="I102" s="673">
        <f>'[10]CB Master List - FY17 &amp; CY16'!$J$421</f>
        <v>278933.53078198619</v>
      </c>
      <c r="J102" s="647">
        <f>'[10]CB Master List - FY17 &amp; CY16'!$K$421</f>
        <v>30978.168750000004</v>
      </c>
      <c r="K102" s="648">
        <f>(H102+I102)-J102</f>
        <v>648730.72428198624</v>
      </c>
    </row>
    <row r="103" spans="1:11" ht="18" customHeight="1" x14ac:dyDescent="0.3">
      <c r="A103" s="639" t="s">
        <v>132</v>
      </c>
      <c r="B103" s="1357" t="s">
        <v>62</v>
      </c>
      <c r="C103" s="1357"/>
      <c r="D103" s="742"/>
      <c r="E103" s="742"/>
      <c r="F103" s="646">
        <f>'[10]CB Master List - FY17 &amp; CY16'!$G$430</f>
        <v>17.248776788617135</v>
      </c>
      <c r="G103" s="646"/>
      <c r="H103" s="647"/>
      <c r="I103" s="673">
        <f>H103*F$114</f>
        <v>0</v>
      </c>
      <c r="J103" s="647"/>
      <c r="K103" s="648">
        <f>(H103+I103)-J103</f>
        <v>0</v>
      </c>
    </row>
    <row r="104" spans="1:11" ht="18" customHeight="1" x14ac:dyDescent="0.3">
      <c r="A104" s="639" t="s">
        <v>128</v>
      </c>
      <c r="B104" s="1455" t="s">
        <v>653</v>
      </c>
      <c r="C104" s="1456"/>
      <c r="D104" s="1457"/>
      <c r="E104" s="742"/>
      <c r="F104" s="646">
        <f>'[10]CB Master List - FY17 &amp; CY16'!$G$438</f>
        <v>2730.16</v>
      </c>
      <c r="G104" s="646"/>
      <c r="H104" s="647">
        <f>'[10]CB Master List - FY17 &amp; CY16'!$I$438</f>
        <v>162527.18675000002</v>
      </c>
      <c r="I104" s="673">
        <f>'[10]CB Master List - FY17 &amp; CY16'!$J$438</f>
        <v>113116.4395778442</v>
      </c>
      <c r="J104" s="647">
        <f>'[10]CB Master List - FY17 &amp; CY16'!$K$438</f>
        <v>15423.994000000001</v>
      </c>
      <c r="K104" s="648">
        <f>(H104+I104)-J104</f>
        <v>260219.63232784421</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B107" s="636"/>
      <c r="C107" s="742"/>
      <c r="D107" s="742"/>
      <c r="E107" s="742"/>
      <c r="F107" s="742"/>
      <c r="G107" s="742"/>
      <c r="H107" s="742"/>
      <c r="I107" s="742"/>
      <c r="J107" s="742"/>
      <c r="K107" s="742"/>
    </row>
    <row r="108" spans="1:11" s="3" customFormat="1" ht="18" customHeight="1" x14ac:dyDescent="0.3">
      <c r="A108" s="639" t="s">
        <v>153</v>
      </c>
      <c r="B108" s="686" t="s">
        <v>154</v>
      </c>
      <c r="C108" s="742"/>
      <c r="D108" s="742"/>
      <c r="E108" s="636" t="s">
        <v>7</v>
      </c>
      <c r="F108" s="650">
        <f t="shared" ref="F108:K108" si="12">SUM(F102:F106)</f>
        <v>10979.248299323077</v>
      </c>
      <c r="G108" s="650">
        <f t="shared" si="12"/>
        <v>52</v>
      </c>
      <c r="H108" s="648">
        <f t="shared" si="12"/>
        <v>563302.549</v>
      </c>
      <c r="I108" s="648">
        <f t="shared" si="12"/>
        <v>392049.97035983042</v>
      </c>
      <c r="J108" s="648">
        <f t="shared" si="12"/>
        <v>46402.162750000003</v>
      </c>
      <c r="K108" s="648">
        <f t="shared" si="12"/>
        <v>908950.3566098304</v>
      </c>
    </row>
    <row r="109" spans="1:11" s="3" customFormat="1" ht="18" customHeight="1" thickBot="1" x14ac:dyDescent="0.35">
      <c r="A109" s="643"/>
      <c r="B109" s="644"/>
      <c r="C109" s="645"/>
      <c r="D109" s="645"/>
      <c r="E109" s="645"/>
      <c r="F109" s="655"/>
      <c r="G109" s="655"/>
      <c r="H109" s="655"/>
      <c r="I109" s="655"/>
      <c r="J109" s="655"/>
      <c r="K109" s="655"/>
    </row>
    <row r="110" spans="1:11" s="3"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f>'[10]CB Master List - FY17 &amp; CY16'!$L$459</f>
        <v>3646550.9999999991</v>
      </c>
      <c r="G111" s="742"/>
      <c r="H111" s="742"/>
      <c r="I111" s="742"/>
      <c r="J111" s="742"/>
      <c r="K111" s="742"/>
    </row>
    <row r="112" spans="1:11" ht="18" customHeight="1" x14ac:dyDescent="0.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639" t="s">
        <v>171</v>
      </c>
      <c r="B114" s="635" t="s">
        <v>35</v>
      </c>
      <c r="C114" s="742"/>
      <c r="D114" s="742"/>
      <c r="E114" s="742"/>
      <c r="F114" s="656">
        <f>'[10]CB Master List - FY17 &amp; CY16'!$L$463</f>
        <v>0.69598472624669472</v>
      </c>
      <c r="G114" s="742"/>
      <c r="H114" s="742"/>
      <c r="I114" s="742"/>
      <c r="J114" s="742"/>
      <c r="K114" s="742"/>
    </row>
    <row r="115" spans="1:11" ht="18" customHeight="1" x14ac:dyDescent="0.3">
      <c r="A115" s="639"/>
      <c r="B115" s="636"/>
      <c r="C115" s="742"/>
      <c r="D115" s="742"/>
      <c r="E115" s="742"/>
      <c r="F115" s="742"/>
      <c r="G115" s="742"/>
      <c r="H115" s="742"/>
      <c r="I115" s="742"/>
      <c r="J115" s="742"/>
      <c r="K115" s="742"/>
    </row>
    <row r="116" spans="1:11" ht="18" customHeight="1" x14ac:dyDescent="0.3">
      <c r="A116" s="639" t="s">
        <v>170</v>
      </c>
      <c r="B116" s="636" t="s">
        <v>16</v>
      </c>
      <c r="C116" s="742"/>
      <c r="D116" s="742"/>
      <c r="E116" s="742"/>
      <c r="F116" s="742"/>
      <c r="G116" s="742"/>
      <c r="H116" s="742"/>
      <c r="I116" s="742"/>
      <c r="J116" s="742"/>
      <c r="K116" s="742"/>
    </row>
    <row r="117" spans="1:11" ht="18" customHeight="1" x14ac:dyDescent="0.3">
      <c r="A117" s="639" t="s">
        <v>172</v>
      </c>
      <c r="B117" s="635" t="s">
        <v>17</v>
      </c>
      <c r="C117" s="742"/>
      <c r="D117" s="742"/>
      <c r="E117" s="742"/>
      <c r="F117" s="647">
        <f>'[11]ConsolidatING P&amp;L'!$K$74-'[11]ConsolidatING P&amp;L'!$F$74</f>
        <v>337329076</v>
      </c>
      <c r="G117" s="742"/>
      <c r="H117" s="742"/>
      <c r="I117" s="742"/>
      <c r="J117" s="742"/>
      <c r="K117" s="742"/>
    </row>
    <row r="118" spans="1:11" ht="18" customHeight="1" x14ac:dyDescent="0.3">
      <c r="A118" s="639" t="s">
        <v>173</v>
      </c>
      <c r="B118" s="742" t="s">
        <v>18</v>
      </c>
      <c r="C118" s="742"/>
      <c r="D118" s="742"/>
      <c r="E118" s="742"/>
      <c r="F118" s="647">
        <f>'[11]ConsolidatING P&amp;L'!$K$120-'[11]ConsolidatING P&amp;L'!$F$120</f>
        <v>7159151</v>
      </c>
      <c r="G118" s="742"/>
      <c r="H118" s="742"/>
      <c r="I118" s="742"/>
      <c r="J118" s="742"/>
      <c r="K118" s="742"/>
    </row>
    <row r="119" spans="1:11" ht="18" customHeight="1" x14ac:dyDescent="0.3">
      <c r="A119" s="639" t="s">
        <v>174</v>
      </c>
      <c r="B119" s="636" t="s">
        <v>19</v>
      </c>
      <c r="C119" s="742"/>
      <c r="D119" s="742"/>
      <c r="E119" s="742"/>
      <c r="F119" s="649">
        <f>SUM(F117:F118)</f>
        <v>344488227</v>
      </c>
      <c r="G119" s="742"/>
      <c r="H119" s="742"/>
      <c r="I119" s="742"/>
      <c r="J119" s="742"/>
      <c r="K119" s="742"/>
    </row>
    <row r="120" spans="1:11" ht="18" customHeight="1" x14ac:dyDescent="0.3">
      <c r="A120" s="639"/>
      <c r="B120" s="636"/>
      <c r="C120" s="742"/>
      <c r="D120" s="742"/>
      <c r="E120" s="742"/>
      <c r="F120" s="742"/>
      <c r="G120" s="742"/>
      <c r="H120" s="742"/>
      <c r="I120" s="742"/>
      <c r="J120" s="742"/>
      <c r="K120" s="742"/>
    </row>
    <row r="121" spans="1:11" ht="18" customHeight="1" x14ac:dyDescent="0.3">
      <c r="A121" s="639" t="s">
        <v>167</v>
      </c>
      <c r="B121" s="636" t="s">
        <v>36</v>
      </c>
      <c r="C121" s="742"/>
      <c r="D121" s="742"/>
      <c r="E121" s="742"/>
      <c r="F121" s="647">
        <f>'[11]ConsolidatING P&amp;L'!$K$485-'[11]ConsolidatING P&amp;L'!$F$485+4701+11251+4</f>
        <v>323661835</v>
      </c>
      <c r="G121" s="742"/>
      <c r="H121" s="742"/>
      <c r="I121" s="742"/>
      <c r="J121" s="742"/>
      <c r="K121" s="742"/>
    </row>
    <row r="122" spans="1:11" ht="18" customHeight="1" x14ac:dyDescent="0.3">
      <c r="A122" s="639"/>
      <c r="B122" s="742"/>
      <c r="C122" s="742"/>
      <c r="D122" s="742"/>
      <c r="E122" s="742"/>
      <c r="F122" s="742"/>
      <c r="G122" s="742"/>
      <c r="H122" s="742"/>
      <c r="I122" s="742"/>
      <c r="J122" s="742"/>
      <c r="K122" s="742"/>
    </row>
    <row r="123" spans="1:11" ht="18" customHeight="1" x14ac:dyDescent="0.3">
      <c r="A123" s="639" t="s">
        <v>175</v>
      </c>
      <c r="B123" s="636" t="s">
        <v>20</v>
      </c>
      <c r="C123" s="742"/>
      <c r="D123" s="742"/>
      <c r="E123" s="742"/>
      <c r="F123" s="647">
        <f>+F119-F121</f>
        <v>20826392</v>
      </c>
      <c r="G123" s="742"/>
      <c r="H123" s="742"/>
      <c r="I123" s="742"/>
      <c r="J123" s="742"/>
      <c r="K123" s="742"/>
    </row>
    <row r="124" spans="1:11" ht="18" customHeight="1" x14ac:dyDescent="0.3">
      <c r="A124" s="639"/>
      <c r="B124" s="742"/>
      <c r="C124" s="742"/>
      <c r="D124" s="742"/>
      <c r="E124" s="742"/>
      <c r="F124" s="742"/>
      <c r="G124" s="742"/>
      <c r="H124" s="742"/>
      <c r="I124" s="742"/>
      <c r="J124" s="742"/>
      <c r="K124" s="742"/>
    </row>
    <row r="125" spans="1:11" ht="18" customHeight="1" x14ac:dyDescent="0.3">
      <c r="A125" s="639" t="s">
        <v>176</v>
      </c>
      <c r="B125" s="636" t="s">
        <v>21</v>
      </c>
      <c r="C125" s="742"/>
      <c r="D125" s="742"/>
      <c r="E125" s="742"/>
      <c r="F125" s="647">
        <f>'[11]ConsolidatING P&amp;L'!$K$505-'[11]ConsolidatING P&amp;L'!$F$505</f>
        <v>991302</v>
      </c>
      <c r="G125" s="742"/>
      <c r="H125" s="742"/>
      <c r="I125" s="742"/>
      <c r="J125" s="742"/>
      <c r="K125" s="742"/>
    </row>
    <row r="126" spans="1:11" ht="18" customHeight="1" x14ac:dyDescent="0.3">
      <c r="A126" s="639"/>
      <c r="B126" s="742"/>
      <c r="C126" s="742"/>
      <c r="D126" s="742"/>
      <c r="E126" s="742"/>
      <c r="F126" s="742"/>
      <c r="G126" s="742"/>
      <c r="H126" s="742"/>
      <c r="I126" s="742"/>
      <c r="J126" s="742"/>
      <c r="K126" s="742"/>
    </row>
    <row r="127" spans="1:11" ht="18" customHeight="1" x14ac:dyDescent="0.3">
      <c r="A127" s="639" t="s">
        <v>177</v>
      </c>
      <c r="B127" s="636" t="s">
        <v>22</v>
      </c>
      <c r="C127" s="742"/>
      <c r="D127" s="742"/>
      <c r="E127" s="742"/>
      <c r="F127" s="647">
        <f>+F123+F125</f>
        <v>21817694</v>
      </c>
      <c r="G127" s="742"/>
      <c r="H127" s="742"/>
      <c r="I127" s="742"/>
      <c r="J127" s="742"/>
      <c r="K127" s="742"/>
    </row>
    <row r="128" spans="1:11" ht="18" customHeight="1" x14ac:dyDescent="0.3">
      <c r="A128" s="639"/>
      <c r="B128" s="742"/>
      <c r="C128" s="742"/>
      <c r="D128" s="742"/>
      <c r="E128" s="742"/>
      <c r="F128" s="742"/>
      <c r="G128" s="742"/>
      <c r="H128" s="742"/>
      <c r="I128" s="742"/>
      <c r="J128" s="742"/>
      <c r="K128" s="742"/>
    </row>
    <row r="129" spans="1:11" ht="42.75" customHeight="1" x14ac:dyDescent="0.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B138" s="742"/>
      <c r="C138" s="742"/>
      <c r="D138" s="742"/>
      <c r="E138" s="742"/>
      <c r="F138" s="742"/>
      <c r="G138" s="742"/>
      <c r="H138" s="742"/>
      <c r="I138" s="742"/>
      <c r="J138" s="742"/>
      <c r="K138" s="742"/>
    </row>
    <row r="139" spans="1:11" ht="42.75" customHeight="1" x14ac:dyDescent="0.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26762.211099905493</v>
      </c>
      <c r="G141" s="664">
        <f t="shared" si="14"/>
        <v>6324.9926961871051</v>
      </c>
      <c r="H141" s="664">
        <f t="shared" si="14"/>
        <v>3384110.2609611573</v>
      </c>
      <c r="I141" s="664">
        <f t="shared" si="14"/>
        <v>2330521.9846901209</v>
      </c>
      <c r="J141" s="664">
        <f t="shared" si="14"/>
        <v>51333.934500000003</v>
      </c>
      <c r="K141" s="664">
        <f t="shared" si="14"/>
        <v>5663298.3111512773</v>
      </c>
    </row>
    <row r="142" spans="1:11" ht="18" customHeight="1" x14ac:dyDescent="0.3">
      <c r="A142" s="639" t="s">
        <v>142</v>
      </c>
      <c r="B142" s="636" t="s">
        <v>65</v>
      </c>
      <c r="C142" s="742"/>
      <c r="D142" s="742"/>
      <c r="E142" s="742"/>
      <c r="F142" s="664">
        <f t="shared" ref="F142:K142" si="15">F49</f>
        <v>18811.388663173679</v>
      </c>
      <c r="G142" s="664">
        <f t="shared" si="15"/>
        <v>5241.6666666666661</v>
      </c>
      <c r="H142" s="664">
        <f t="shared" si="15"/>
        <v>798578.34875</v>
      </c>
      <c r="I142" s="664">
        <f t="shared" si="15"/>
        <v>0</v>
      </c>
      <c r="J142" s="664">
        <f t="shared" si="15"/>
        <v>9460.9295000000002</v>
      </c>
      <c r="K142" s="664">
        <f t="shared" si="15"/>
        <v>789117.41925000004</v>
      </c>
    </row>
    <row r="143" spans="1:11" ht="18" customHeight="1" x14ac:dyDescent="0.3">
      <c r="A143" s="639" t="s">
        <v>144</v>
      </c>
      <c r="B143" s="636" t="s">
        <v>66</v>
      </c>
      <c r="C143" s="742"/>
      <c r="D143" s="742"/>
      <c r="E143" s="742"/>
      <c r="F143" s="664">
        <f t="shared" ref="F143:K143" si="16">F64</f>
        <v>155311.67999999999</v>
      </c>
      <c r="G143" s="664">
        <f t="shared" si="16"/>
        <v>6193.4719999999998</v>
      </c>
      <c r="H143" s="664">
        <f t="shared" si="16"/>
        <v>13307002.063903864</v>
      </c>
      <c r="I143" s="664">
        <f t="shared" si="16"/>
        <v>0</v>
      </c>
      <c r="J143" s="664">
        <f t="shared" si="16"/>
        <v>0</v>
      </c>
      <c r="K143" s="664">
        <f t="shared" si="16"/>
        <v>13307002.063903864</v>
      </c>
    </row>
    <row r="144" spans="1:11" ht="18" customHeight="1" x14ac:dyDescent="0.3">
      <c r="A144" s="639" t="s">
        <v>146</v>
      </c>
      <c r="B144" s="636" t="s">
        <v>67</v>
      </c>
      <c r="C144" s="742"/>
      <c r="D144" s="742"/>
      <c r="E144" s="742"/>
      <c r="F144" s="664">
        <f t="shared" ref="F144:K144" si="17">F74</f>
        <v>14421.099999999997</v>
      </c>
      <c r="G144" s="664">
        <f t="shared" si="17"/>
        <v>0</v>
      </c>
      <c r="H144" s="664">
        <f t="shared" si="17"/>
        <v>1047079.83</v>
      </c>
      <c r="I144" s="664">
        <f t="shared" si="17"/>
        <v>0</v>
      </c>
      <c r="J144" s="664">
        <f t="shared" si="17"/>
        <v>90450.62</v>
      </c>
      <c r="K144" s="664">
        <f t="shared" si="17"/>
        <v>956629.21</v>
      </c>
    </row>
    <row r="145" spans="1:11" ht="18" customHeight="1" x14ac:dyDescent="0.3">
      <c r="A145" s="639" t="s">
        <v>148</v>
      </c>
      <c r="B145" s="636" t="s">
        <v>68</v>
      </c>
      <c r="C145" s="742"/>
      <c r="D145" s="742"/>
      <c r="E145" s="742"/>
      <c r="F145" s="664">
        <f t="shared" ref="F145:K145" si="18">F82</f>
        <v>224.23597738835008</v>
      </c>
      <c r="G145" s="664">
        <f t="shared" si="18"/>
        <v>0</v>
      </c>
      <c r="H145" s="664">
        <f t="shared" si="18"/>
        <v>522690.23000000004</v>
      </c>
      <c r="I145" s="664">
        <f t="shared" si="18"/>
        <v>0</v>
      </c>
      <c r="J145" s="664">
        <f t="shared" si="18"/>
        <v>0</v>
      </c>
      <c r="K145" s="664">
        <f t="shared" si="18"/>
        <v>522690.23000000004</v>
      </c>
    </row>
    <row r="146" spans="1:11" ht="18" customHeight="1" x14ac:dyDescent="0.3">
      <c r="A146" s="639" t="s">
        <v>150</v>
      </c>
      <c r="B146" s="636" t="s">
        <v>69</v>
      </c>
      <c r="C146" s="742"/>
      <c r="D146" s="742"/>
      <c r="E146" s="742"/>
      <c r="F146" s="664">
        <f t="shared" ref="F146:K146" si="19">F98</f>
        <v>7999.2736808260515</v>
      </c>
      <c r="G146" s="664">
        <f t="shared" si="19"/>
        <v>2711.0241136149402</v>
      </c>
      <c r="H146" s="664">
        <f t="shared" si="19"/>
        <v>744952.64071366994</v>
      </c>
      <c r="I146" s="664">
        <f t="shared" si="19"/>
        <v>518475.65971385594</v>
      </c>
      <c r="J146" s="664">
        <f t="shared" si="19"/>
        <v>8838.32</v>
      </c>
      <c r="K146" s="664">
        <f t="shared" si="19"/>
        <v>1254589.9804275259</v>
      </c>
    </row>
    <row r="147" spans="1:11" ht="18" customHeight="1" x14ac:dyDescent="0.3">
      <c r="A147" s="639" t="s">
        <v>153</v>
      </c>
      <c r="B147" s="636" t="s">
        <v>61</v>
      </c>
      <c r="C147" s="742"/>
      <c r="D147" s="742"/>
      <c r="E147" s="742"/>
      <c r="F147" s="650">
        <f t="shared" ref="F147:K147" si="20">F108</f>
        <v>10979.248299323077</v>
      </c>
      <c r="G147" s="650">
        <f t="shared" si="20"/>
        <v>52</v>
      </c>
      <c r="H147" s="650">
        <f t="shared" si="20"/>
        <v>563302.549</v>
      </c>
      <c r="I147" s="650">
        <f t="shared" si="20"/>
        <v>392049.97035983042</v>
      </c>
      <c r="J147" s="650">
        <f t="shared" si="20"/>
        <v>46402.162750000003</v>
      </c>
      <c r="K147" s="650">
        <f t="shared" si="20"/>
        <v>908950.3566098304</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3646550.9999999991</v>
      </c>
    </row>
    <row r="149" spans="1:11" ht="18" customHeight="1" x14ac:dyDescent="0.3">
      <c r="A149" s="639"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639" t="s">
        <v>185</v>
      </c>
      <c r="B150" s="636" t="s">
        <v>186</v>
      </c>
      <c r="C150" s="742"/>
      <c r="D150" s="742"/>
      <c r="E150" s="742"/>
      <c r="F150" s="665" t="s">
        <v>73</v>
      </c>
      <c r="G150" s="665" t="s">
        <v>73</v>
      </c>
      <c r="H150" s="650">
        <f>H18</f>
        <v>8862204.481623264</v>
      </c>
      <c r="I150" s="650">
        <f>I18</f>
        <v>0</v>
      </c>
      <c r="J150" s="650">
        <f>J18</f>
        <v>7796492.9189298907</v>
      </c>
      <c r="K150" s="650">
        <f>K18</f>
        <v>1065711.5626933733</v>
      </c>
    </row>
    <row r="151" spans="1:11" ht="18" customHeight="1" x14ac:dyDescent="0.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234509.13772061662</v>
      </c>
      <c r="G152" s="672">
        <f t="shared" si="22"/>
        <v>20523.15547646871</v>
      </c>
      <c r="H152" s="672">
        <f t="shared" si="22"/>
        <v>29229920.404951952</v>
      </c>
      <c r="I152" s="672">
        <f t="shared" si="22"/>
        <v>3241047.6147638075</v>
      </c>
      <c r="J152" s="672">
        <f t="shared" si="22"/>
        <v>8002978.8856798904</v>
      </c>
      <c r="K152" s="672">
        <f t="shared" si="22"/>
        <v>28114540.13403587</v>
      </c>
    </row>
    <row r="153" spans="1:11" ht="18" customHeight="1" x14ac:dyDescent="0.25">
      <c r="B153" s="742"/>
      <c r="C153" s="742"/>
      <c r="D153" s="742"/>
      <c r="E153" s="742"/>
      <c r="F153" s="742"/>
      <c r="G153" s="742"/>
      <c r="H153" s="742"/>
      <c r="I153" s="742"/>
      <c r="J153" s="742"/>
      <c r="K153" s="742"/>
    </row>
    <row r="154" spans="1:11" ht="18" customHeight="1" x14ac:dyDescent="0.3">
      <c r="A154" s="639" t="s">
        <v>168</v>
      </c>
      <c r="B154" s="636" t="s">
        <v>28</v>
      </c>
      <c r="C154" s="742"/>
      <c r="D154" s="742"/>
      <c r="E154" s="834"/>
      <c r="F154" s="687">
        <f>K152/F121</f>
        <v>8.6863933568305546E-2</v>
      </c>
      <c r="G154" s="742"/>
      <c r="H154" s="742"/>
      <c r="I154" s="742"/>
      <c r="J154" s="742"/>
      <c r="K154" s="742"/>
    </row>
    <row r="155" spans="1:11" ht="18" customHeight="1" x14ac:dyDescent="0.3">
      <c r="A155" s="639" t="s">
        <v>169</v>
      </c>
      <c r="B155" s="636" t="s">
        <v>72</v>
      </c>
      <c r="C155" s="742"/>
      <c r="D155" s="742"/>
      <c r="E155" s="834"/>
      <c r="F155" s="687">
        <f>K152/F127</f>
        <v>1.288611900691057</v>
      </c>
      <c r="G155" s="636"/>
      <c r="H155" s="742"/>
      <c r="I155" s="742"/>
      <c r="J155" s="742"/>
      <c r="K155" s="742"/>
    </row>
    <row r="156" spans="1:11" ht="18" customHeight="1" x14ac:dyDescent="0.3">
      <c r="B156" s="627"/>
      <c r="C156" s="627"/>
      <c r="D156" s="627"/>
      <c r="E156" s="627"/>
      <c r="F156" s="627"/>
      <c r="G156" s="628"/>
      <c r="H156" s="627"/>
      <c r="I156" s="627"/>
      <c r="J156" s="627"/>
      <c r="K156" s="627"/>
    </row>
  </sheetData>
  <sheetProtection sheet="1" objects="1" scenarios="1"/>
  <mergeCells count="33">
    <mergeCell ref="B52:C52"/>
    <mergeCell ref="B53:D53"/>
    <mergeCell ref="B55:D55"/>
    <mergeCell ref="B56:D56"/>
    <mergeCell ref="B62:D62"/>
    <mergeCell ref="B103:C103"/>
    <mergeCell ref="B96:D96"/>
    <mergeCell ref="B95:D95"/>
    <mergeCell ref="B57:D57"/>
    <mergeCell ref="B94:D94"/>
    <mergeCell ref="B90:C90"/>
    <mergeCell ref="B59:D59"/>
    <mergeCell ref="B134:D134"/>
    <mergeCell ref="B135:D135"/>
    <mergeCell ref="B133:D133"/>
    <mergeCell ref="B104:D104"/>
    <mergeCell ref="B105:D105"/>
    <mergeCell ref="B106:D106"/>
    <mergeCell ref="D2:H2"/>
    <mergeCell ref="B45:D45"/>
    <mergeCell ref="B46:D46"/>
    <mergeCell ref="B47:D47"/>
    <mergeCell ref="B34:D34"/>
    <mergeCell ref="B41:C41"/>
    <mergeCell ref="B44:D44"/>
    <mergeCell ref="B13:H13"/>
    <mergeCell ref="C5:G5"/>
    <mergeCell ref="C6:G6"/>
    <mergeCell ref="C7:G7"/>
    <mergeCell ref="C11:G11"/>
    <mergeCell ref="C9:G9"/>
    <mergeCell ref="C10:G10"/>
    <mergeCell ref="B31:D3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K156"/>
  <sheetViews>
    <sheetView showGridLines="0" zoomScale="80" zoomScaleNormal="80" zoomScaleSheetLayoutView="70" workbookViewId="0">
      <selection activeCell="A3" sqref="A3"/>
    </sheetView>
  </sheetViews>
  <sheetFormatPr defaultRowHeight="18" customHeight="1" x14ac:dyDescent="0.25"/>
  <cols>
    <col min="1" max="1" width="8.26953125" style="633" customWidth="1"/>
    <col min="2" max="2" width="55.453125" bestFit="1" customWidth="1"/>
    <col min="3" max="3" width="9.54296875" customWidth="1"/>
    <col min="5" max="5" width="12.453125" customWidth="1"/>
    <col min="6" max="6" width="18.54296875" customWidth="1"/>
    <col min="7" max="7" width="23.54296875" customWidth="1"/>
    <col min="8" max="8" width="17.26953125" customWidth="1"/>
    <col min="9" max="9" width="21.26953125" customWidth="1"/>
    <col min="10" max="10" width="19.7265625" customWidth="1"/>
    <col min="11" max="11" width="17.54296875" customWidth="1"/>
  </cols>
  <sheetData>
    <row r="1" spans="1:11" ht="18" customHeight="1" x14ac:dyDescent="0.3">
      <c r="B1" s="742"/>
      <c r="C1" s="888"/>
      <c r="D1" s="889"/>
      <c r="E1" s="888"/>
      <c r="F1" s="888"/>
      <c r="G1" s="888"/>
      <c r="H1" s="888"/>
      <c r="I1" s="888"/>
      <c r="J1" s="888"/>
      <c r="K1" s="888"/>
    </row>
    <row r="2" spans="1:11" ht="18" customHeight="1" x14ac:dyDescent="0.35">
      <c r="B2" s="742"/>
      <c r="C2" s="742"/>
      <c r="D2" s="1360" t="s">
        <v>700</v>
      </c>
      <c r="E2" s="1360"/>
      <c r="F2" s="1360"/>
      <c r="G2" s="1360"/>
      <c r="H2" s="1360"/>
      <c r="I2" s="742"/>
      <c r="J2" s="742"/>
      <c r="K2" s="742"/>
    </row>
    <row r="3" spans="1:11" ht="18" customHeight="1" x14ac:dyDescent="0.3">
      <c r="B3" s="636" t="s">
        <v>0</v>
      </c>
      <c r="C3" s="742"/>
      <c r="D3" s="742"/>
      <c r="E3" s="742"/>
      <c r="F3" s="742"/>
      <c r="G3" s="742"/>
      <c r="H3" s="742"/>
      <c r="I3" s="742"/>
      <c r="J3" s="742"/>
      <c r="K3" s="742"/>
    </row>
    <row r="4" spans="1:11" ht="18" customHeight="1" x14ac:dyDescent="0.25">
      <c r="B4" s="742"/>
      <c r="C4" s="742"/>
      <c r="D4" s="742"/>
      <c r="E4" s="742"/>
      <c r="F4" s="742"/>
      <c r="G4" s="742"/>
      <c r="H4" s="742"/>
      <c r="I4" s="742"/>
      <c r="J4" s="742"/>
      <c r="K4" s="742"/>
    </row>
    <row r="5" spans="1:11" ht="18" customHeight="1" x14ac:dyDescent="0.3">
      <c r="B5" s="733" t="s">
        <v>40</v>
      </c>
      <c r="C5" s="1446" t="s">
        <v>654</v>
      </c>
      <c r="D5" s="1447"/>
      <c r="E5" s="1447"/>
      <c r="F5" s="1447"/>
      <c r="G5" s="1448"/>
      <c r="H5" s="742"/>
      <c r="I5" s="742"/>
      <c r="J5" s="742"/>
      <c r="K5" s="742"/>
    </row>
    <row r="6" spans="1:11" ht="18" customHeight="1" x14ac:dyDescent="0.3">
      <c r="B6" s="733" t="s">
        <v>3</v>
      </c>
      <c r="C6" s="1365">
        <v>3029</v>
      </c>
      <c r="D6" s="1366"/>
      <c r="E6" s="1366"/>
      <c r="F6" s="1366"/>
      <c r="G6" s="1367"/>
      <c r="H6" s="742"/>
      <c r="I6" s="742"/>
      <c r="J6" s="742"/>
      <c r="K6" s="742"/>
    </row>
    <row r="7" spans="1:11" ht="18" customHeight="1" x14ac:dyDescent="0.3">
      <c r="B7" s="733" t="s">
        <v>4</v>
      </c>
      <c r="C7" s="1368">
        <v>499</v>
      </c>
      <c r="D7" s="1369"/>
      <c r="E7" s="1369"/>
      <c r="F7" s="1369"/>
      <c r="G7" s="1370"/>
      <c r="H7" s="742"/>
      <c r="I7" s="742"/>
      <c r="J7" s="742"/>
      <c r="K7" s="742"/>
    </row>
    <row r="8" spans="1:11" ht="18" customHeight="1" x14ac:dyDescent="0.25">
      <c r="B8" s="742"/>
      <c r="C8" s="742"/>
      <c r="D8" s="742"/>
      <c r="E8" s="742"/>
      <c r="F8" s="742"/>
      <c r="G8" s="742"/>
      <c r="H8" s="742"/>
      <c r="I8" s="742"/>
      <c r="J8" s="742"/>
      <c r="K8" s="742"/>
    </row>
    <row r="9" spans="1:11" ht="18" customHeight="1" x14ac:dyDescent="0.3">
      <c r="B9" s="733" t="s">
        <v>1</v>
      </c>
      <c r="C9" s="1446" t="s">
        <v>187</v>
      </c>
      <c r="D9" s="1447"/>
      <c r="E9" s="1447"/>
      <c r="F9" s="1447"/>
      <c r="G9" s="1448"/>
      <c r="H9" s="742"/>
      <c r="I9" s="742"/>
      <c r="J9" s="742"/>
      <c r="K9" s="742"/>
    </row>
    <row r="10" spans="1:11" ht="18" customHeight="1" x14ac:dyDescent="0.3">
      <c r="B10" s="733" t="s">
        <v>2</v>
      </c>
      <c r="C10" s="1471" t="s">
        <v>188</v>
      </c>
      <c r="D10" s="1472"/>
      <c r="E10" s="1472"/>
      <c r="F10" s="1472"/>
      <c r="G10" s="1473"/>
      <c r="H10" s="742"/>
      <c r="I10" s="742"/>
      <c r="J10" s="742"/>
      <c r="K10" s="742"/>
    </row>
    <row r="11" spans="1:11" ht="18" customHeight="1" x14ac:dyDescent="0.3">
      <c r="B11" s="733" t="s">
        <v>32</v>
      </c>
      <c r="C11" s="1471" t="s">
        <v>189</v>
      </c>
      <c r="D11" s="1472"/>
      <c r="E11" s="1472"/>
      <c r="F11" s="1472"/>
      <c r="G11" s="1473"/>
      <c r="H11" s="742"/>
      <c r="I11" s="742"/>
      <c r="J11" s="742"/>
      <c r="K11" s="742"/>
    </row>
    <row r="12" spans="1:11" ht="18" customHeight="1" x14ac:dyDescent="0.3">
      <c r="B12" s="733"/>
      <c r="C12" s="733"/>
      <c r="D12" s="733"/>
      <c r="E12" s="733"/>
      <c r="F12" s="733"/>
      <c r="G12" s="733"/>
      <c r="H12" s="742"/>
      <c r="I12" s="742"/>
      <c r="J12" s="742"/>
      <c r="K12" s="742"/>
    </row>
    <row r="13" spans="1:11" ht="24.65" customHeight="1" x14ac:dyDescent="0.25">
      <c r="B13" s="1363"/>
      <c r="C13" s="1363"/>
      <c r="D13" s="1363"/>
      <c r="E13" s="1363"/>
      <c r="F13" s="1363"/>
      <c r="G13" s="1363"/>
      <c r="H13" s="1363"/>
      <c r="I13" s="888"/>
      <c r="J13" s="742"/>
      <c r="K13" s="742"/>
    </row>
    <row r="14" spans="1:11" ht="18" customHeight="1" x14ac:dyDescent="0.3">
      <c r="B14" s="640"/>
      <c r="C14" s="742"/>
      <c r="D14" s="742"/>
      <c r="E14" s="742"/>
      <c r="F14" s="742"/>
      <c r="G14" s="742"/>
      <c r="H14" s="742"/>
      <c r="I14" s="742"/>
      <c r="J14" s="742"/>
      <c r="K14" s="742"/>
    </row>
    <row r="15" spans="1:11" ht="18" customHeight="1" x14ac:dyDescent="0.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c r="I18" s="673">
        <v>0</v>
      </c>
      <c r="J18" s="647"/>
      <c r="K18" s="648">
        <f>(H18+I18)-J18</f>
        <v>0</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f>'[10]CB Master List - FY17 &amp; CY16'!$CM$40</f>
        <v>730.15866502066035</v>
      </c>
      <c r="G21" s="646">
        <f>'[10]CB Master List - FY17 &amp; CY16'!$CN$40</f>
        <v>11.237009270581737</v>
      </c>
      <c r="H21" s="647">
        <f>'[10]CB Master List - FY17 &amp; CY16'!$CO$40</f>
        <v>48026.787215749995</v>
      </c>
      <c r="I21" s="673">
        <f>'[10]CB Master List - FY17 &amp; CY16'!$CP$40</f>
        <v>46749.046360591696</v>
      </c>
      <c r="J21" s="647">
        <f>'[10]CB Master List - FY17 &amp; CY16'!$CQ$40</f>
        <v>3051.1408347500001</v>
      </c>
      <c r="K21" s="648">
        <f t="shared" ref="K21:K34" si="0">(H21+I21)-J21</f>
        <v>91724.692741591687</v>
      </c>
    </row>
    <row r="22" spans="1:11" ht="18" customHeight="1" x14ac:dyDescent="0.3">
      <c r="A22" s="639" t="s">
        <v>76</v>
      </c>
      <c r="B22" s="742" t="s">
        <v>6</v>
      </c>
      <c r="C22" s="742"/>
      <c r="D22" s="742"/>
      <c r="E22" s="742"/>
      <c r="F22" s="646">
        <f>'[10]CB Master List - FY17 &amp; CY16'!$CM$59</f>
        <v>244.14860074999999</v>
      </c>
      <c r="G22" s="646">
        <f>'[10]CB Master List - FY17 &amp; CY16'!$CN$59</f>
        <v>535</v>
      </c>
      <c r="H22" s="647">
        <f>'[10]CB Master List - FY17 &amp; CY16'!$CO$59</f>
        <v>20946.183333249999</v>
      </c>
      <c r="I22" s="673">
        <f>'[10]CB Master List - FY17 &amp; CY16'!$CP$59</f>
        <v>20388.915280229943</v>
      </c>
      <c r="J22" s="647">
        <f>'[10]CB Master List - FY17 &amp; CY16'!$CQ$59</f>
        <v>1985.814987625</v>
      </c>
      <c r="K22" s="648">
        <f t="shared" si="0"/>
        <v>39349.283625854943</v>
      </c>
    </row>
    <row r="23" spans="1:11" ht="18" customHeight="1" x14ac:dyDescent="0.3">
      <c r="A23" s="639" t="s">
        <v>77</v>
      </c>
      <c r="B23" s="742" t="s">
        <v>43</v>
      </c>
      <c r="C23" s="742"/>
      <c r="D23" s="742"/>
      <c r="E23" s="742"/>
      <c r="F23" s="646">
        <f>'[10]CB Master List - FY17 &amp; CY16'!$CM$63</f>
        <v>147.71309399999998</v>
      </c>
      <c r="G23" s="646"/>
      <c r="H23" s="647">
        <f>'[10]CB Master List - FY17 &amp; CY16'!$CO$63</f>
        <v>3486.1121745</v>
      </c>
      <c r="I23" s="673">
        <f>'[10]CB Master List - FY17 &amp; CY16'!$CP$63</f>
        <v>3393.3650179805927</v>
      </c>
      <c r="J23" s="647"/>
      <c r="K23" s="648">
        <f t="shared" si="0"/>
        <v>6879.4771924805927</v>
      </c>
    </row>
    <row r="24" spans="1:11" ht="18" customHeight="1" x14ac:dyDescent="0.3">
      <c r="A24" s="639" t="s">
        <v>78</v>
      </c>
      <c r="B24" s="742" t="s">
        <v>44</v>
      </c>
      <c r="C24" s="742"/>
      <c r="D24" s="742"/>
      <c r="E24" s="742"/>
      <c r="F24" s="646">
        <f>'[10]CB Master List - FY17 &amp; CY16'!$CM$75</f>
        <v>8112</v>
      </c>
      <c r="G24" s="646">
        <f>'[10]CB Master List - FY17 &amp; CY16'!$CN$75</f>
        <v>5000</v>
      </c>
      <c r="H24" s="647">
        <f>'[10]CB Master List - FY17 &amp; CY16'!$CO$75</f>
        <v>566600.28</v>
      </c>
      <c r="I24" s="673">
        <f>'[10]CB Master List - FY17 &amp; CY16'!$CP$75</f>
        <v>551526.01898295828</v>
      </c>
      <c r="J24" s="647">
        <f>'[10]CB Master List - FY17 &amp; CY16'!$CQ$75</f>
        <v>316440</v>
      </c>
      <c r="K24" s="648">
        <f t="shared" si="0"/>
        <v>801686.29898295831</v>
      </c>
    </row>
    <row r="25" spans="1:11" ht="18" customHeight="1" x14ac:dyDescent="0.3">
      <c r="A25" s="639" t="s">
        <v>79</v>
      </c>
      <c r="B25" s="742" t="s">
        <v>5</v>
      </c>
      <c r="C25" s="742"/>
      <c r="D25" s="742"/>
      <c r="E25" s="742"/>
      <c r="F25" s="646">
        <f>'[10]CB Master List - FY17 &amp; CY16'!$CM$92</f>
        <v>379.39940649999994</v>
      </c>
      <c r="G25" s="646"/>
      <c r="H25" s="647">
        <f>'[10]CB Master List - FY17 &amp; CY16'!$CO$92</f>
        <v>12436.663306499999</v>
      </c>
      <c r="I25" s="673">
        <f>'[10]CB Master List - FY17 &amp; CY16'!$CP$92</f>
        <v>12105.788939718455</v>
      </c>
      <c r="J25" s="647">
        <f>'[10]CB Master List - FY17 &amp; CY16'!$CQ$92</f>
        <v>448.87775050000005</v>
      </c>
      <c r="K25" s="648">
        <f t="shared" si="0"/>
        <v>24093.574495718454</v>
      </c>
    </row>
    <row r="26" spans="1:11" ht="18" customHeight="1" x14ac:dyDescent="0.3">
      <c r="A26" s="639" t="s">
        <v>80</v>
      </c>
      <c r="B26" s="742" t="s">
        <v>45</v>
      </c>
      <c r="C26" s="742"/>
      <c r="D26" s="742"/>
      <c r="E26" s="742"/>
      <c r="F26" s="646"/>
      <c r="G26" s="646"/>
      <c r="H26" s="647"/>
      <c r="I26" s="673">
        <f t="shared" ref="I26:I34" si="1">H26*F$114</f>
        <v>0</v>
      </c>
      <c r="J26" s="647"/>
      <c r="K26" s="648">
        <f t="shared" si="0"/>
        <v>0</v>
      </c>
    </row>
    <row r="27" spans="1:11" ht="18" customHeight="1" x14ac:dyDescent="0.3">
      <c r="A27" s="639" t="s">
        <v>81</v>
      </c>
      <c r="B27" s="742" t="s">
        <v>46</v>
      </c>
      <c r="C27" s="742"/>
      <c r="D27" s="742"/>
      <c r="E27" s="742"/>
      <c r="F27" s="646"/>
      <c r="G27" s="646"/>
      <c r="H27" s="647"/>
      <c r="I27" s="673">
        <f t="shared" si="1"/>
        <v>0</v>
      </c>
      <c r="J27" s="647"/>
      <c r="K27" s="648">
        <f t="shared" si="0"/>
        <v>0</v>
      </c>
    </row>
    <row r="28" spans="1:11" ht="18" customHeight="1" x14ac:dyDescent="0.3">
      <c r="A28" s="639" t="s">
        <v>82</v>
      </c>
      <c r="B28" s="742" t="s">
        <v>47</v>
      </c>
      <c r="C28" s="742"/>
      <c r="D28" s="742"/>
      <c r="E28" s="742"/>
      <c r="F28" s="646"/>
      <c r="G28" s="646"/>
      <c r="H28" s="647"/>
      <c r="I28" s="673">
        <f t="shared" si="1"/>
        <v>0</v>
      </c>
      <c r="J28" s="647"/>
      <c r="K28" s="648">
        <f t="shared" si="0"/>
        <v>0</v>
      </c>
    </row>
    <row r="29" spans="1:11" ht="18" customHeight="1" x14ac:dyDescent="0.3">
      <c r="A29" s="639" t="s">
        <v>83</v>
      </c>
      <c r="B29" s="742" t="s">
        <v>48</v>
      </c>
      <c r="C29" s="742"/>
      <c r="D29" s="742"/>
      <c r="E29" s="742"/>
      <c r="F29" s="646">
        <f>'[10]CB Master List - FY17 &amp; CY16'!$CM$120</f>
        <v>34.735629499999995</v>
      </c>
      <c r="G29" s="646"/>
      <c r="H29" s="647">
        <f>'[10]CB Master List - FY17 &amp; CY16'!$CO$120</f>
        <v>88420.701547500023</v>
      </c>
      <c r="I29" s="673">
        <f>'[10]CB Master List - FY17 &amp; CY16'!$CP$120</f>
        <v>86068.290541919589</v>
      </c>
      <c r="J29" s="647"/>
      <c r="K29" s="648">
        <f t="shared" si="0"/>
        <v>174488.99208941963</v>
      </c>
    </row>
    <row r="30" spans="1:11" ht="18" customHeight="1" x14ac:dyDescent="0.3">
      <c r="A30" s="639" t="s">
        <v>84</v>
      </c>
      <c r="B30" s="1062" t="s">
        <v>196</v>
      </c>
      <c r="C30" s="1063"/>
      <c r="D30" s="1064"/>
      <c r="E30" s="742"/>
      <c r="F30" s="646">
        <f>'[10]CB Master List - FY17 &amp; CY16'!$CM$135</f>
        <v>19.245448750000001</v>
      </c>
      <c r="G30" s="646"/>
      <c r="H30" s="647">
        <f>'[10]CB Master List - FY17 &amp; CY16'!$CO$135</f>
        <v>810.81338137500006</v>
      </c>
      <c r="I30" s="673">
        <f>'[10]CB Master List - FY17 &amp; CY16'!$CP$135</f>
        <v>789.24189089328524</v>
      </c>
      <c r="J30" s="647">
        <f>'[10]CB Master List - FY17 &amp; CY16'!$CQ$135</f>
        <v>109.56528762500001</v>
      </c>
      <c r="K30" s="648">
        <f t="shared" si="0"/>
        <v>1490.4899846432852</v>
      </c>
    </row>
    <row r="31" spans="1:11" ht="18" customHeight="1" x14ac:dyDescent="0.3">
      <c r="A31" s="639" t="s">
        <v>133</v>
      </c>
      <c r="B31" s="1351"/>
      <c r="C31" s="1352"/>
      <c r="D31" s="1353"/>
      <c r="E31" s="742"/>
      <c r="F31" s="646"/>
      <c r="G31" s="646"/>
      <c r="H31" s="647"/>
      <c r="I31" s="673">
        <f t="shared" si="1"/>
        <v>0</v>
      </c>
      <c r="J31" s="647"/>
      <c r="K31" s="648">
        <f t="shared" si="0"/>
        <v>0</v>
      </c>
    </row>
    <row r="32" spans="1:11" ht="18" customHeight="1" x14ac:dyDescent="0.3">
      <c r="A32" s="639" t="s">
        <v>134</v>
      </c>
      <c r="B32" s="1059"/>
      <c r="C32" s="1060"/>
      <c r="D32" s="1061"/>
      <c r="E32" s="742"/>
      <c r="F32" s="646"/>
      <c r="G32" s="675"/>
      <c r="H32" s="647"/>
      <c r="I32" s="673">
        <f t="shared" si="1"/>
        <v>0</v>
      </c>
      <c r="J32" s="647"/>
      <c r="K32" s="648">
        <f t="shared" si="0"/>
        <v>0</v>
      </c>
    </row>
    <row r="33" spans="1:11" ht="18" customHeight="1" x14ac:dyDescent="0.3">
      <c r="A33" s="639" t="s">
        <v>135</v>
      </c>
      <c r="B33" s="1059"/>
      <c r="C33" s="1060"/>
      <c r="D33" s="1061"/>
      <c r="E33" s="742"/>
      <c r="F33" s="646"/>
      <c r="G33" s="675"/>
      <c r="H33" s="647"/>
      <c r="I33" s="673">
        <f t="shared" si="1"/>
        <v>0</v>
      </c>
      <c r="J33" s="647"/>
      <c r="K33" s="648">
        <f t="shared" si="0"/>
        <v>0</v>
      </c>
    </row>
    <row r="34" spans="1:11" ht="18" customHeight="1" x14ac:dyDescent="0.3">
      <c r="A34" s="639" t="s">
        <v>136</v>
      </c>
      <c r="B34" s="1351"/>
      <c r="C34" s="1352"/>
      <c r="D34" s="1353"/>
      <c r="E34" s="742"/>
      <c r="F34" s="646"/>
      <c r="G34" s="675"/>
      <c r="H34" s="647"/>
      <c r="I34" s="673">
        <f t="shared" si="1"/>
        <v>0</v>
      </c>
      <c r="J34" s="647"/>
      <c r="K34" s="648">
        <f t="shared" si="0"/>
        <v>0</v>
      </c>
    </row>
    <row r="35" spans="1:11" ht="18" customHeight="1" x14ac:dyDescent="0.25">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9667.4008445206618</v>
      </c>
      <c r="G36" s="650">
        <f t="shared" si="2"/>
        <v>5546.2370092705814</v>
      </c>
      <c r="H36" s="650">
        <f t="shared" si="2"/>
        <v>740727.54095887498</v>
      </c>
      <c r="I36" s="648">
        <f t="shared" si="2"/>
        <v>721020.66701429198</v>
      </c>
      <c r="J36" s="648">
        <f t="shared" si="2"/>
        <v>322035.39886050002</v>
      </c>
      <c r="K36" s="648">
        <f t="shared" si="2"/>
        <v>1139712.8091126666</v>
      </c>
    </row>
    <row r="37" spans="1:11" ht="18" customHeight="1" thickBot="1" x14ac:dyDescent="0.35">
      <c r="B37" s="636"/>
      <c r="C37" s="742"/>
      <c r="D37" s="742"/>
      <c r="E37" s="742"/>
      <c r="F37" s="651"/>
      <c r="G37" s="651"/>
      <c r="H37" s="652"/>
      <c r="I37" s="652"/>
      <c r="J37" s="652"/>
      <c r="K37" s="668"/>
    </row>
    <row r="38" spans="1:11" ht="42.75" customHeight="1" x14ac:dyDescent="0.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c r="I40" s="673">
        <v>0</v>
      </c>
      <c r="J40" s="647"/>
      <c r="K40" s="648">
        <f t="shared" ref="K40:K47" si="3">(H40+I40)-J40</f>
        <v>0</v>
      </c>
    </row>
    <row r="41" spans="1:11" ht="18" customHeight="1" x14ac:dyDescent="0.3">
      <c r="A41" s="639" t="s">
        <v>88</v>
      </c>
      <c r="B41" s="1359" t="s">
        <v>50</v>
      </c>
      <c r="C41" s="1359"/>
      <c r="D41" s="742"/>
      <c r="E41" s="742"/>
      <c r="F41" s="646"/>
      <c r="G41" s="646"/>
      <c r="H41" s="647"/>
      <c r="I41" s="673">
        <v>0</v>
      </c>
      <c r="J41" s="647"/>
      <c r="K41" s="648">
        <f t="shared" si="3"/>
        <v>0</v>
      </c>
    </row>
    <row r="42" spans="1:11" ht="18" customHeight="1" x14ac:dyDescent="0.3">
      <c r="A42" s="639" t="s">
        <v>89</v>
      </c>
      <c r="B42" s="635" t="s">
        <v>11</v>
      </c>
      <c r="C42" s="742"/>
      <c r="D42" s="742"/>
      <c r="E42" s="742"/>
      <c r="F42" s="646">
        <f>'[10]CB Master List - FY17 &amp; CY16'!$CM$188</f>
        <v>8802.8382758654861</v>
      </c>
      <c r="G42" s="646">
        <f>'[10]CB Master List - FY17 &amp; CY16'!$CN$188</f>
        <v>1939.7091316529979</v>
      </c>
      <c r="H42" s="647">
        <f>'[10]CB Master List - FY17 &amp; CY16'!$CO$188</f>
        <v>438927.43687375</v>
      </c>
      <c r="I42" s="673">
        <v>0</v>
      </c>
      <c r="J42" s="647">
        <f>'[10]CB Master List - FY17 &amp; CY16'!$CQ$188</f>
        <v>1031.2413154999999</v>
      </c>
      <c r="K42" s="648">
        <f t="shared" si="3"/>
        <v>437896.19555825001</v>
      </c>
    </row>
    <row r="43" spans="1:11" ht="18" customHeight="1" x14ac:dyDescent="0.3">
      <c r="A43" s="639" t="s">
        <v>90</v>
      </c>
      <c r="B43" s="670" t="s">
        <v>10</v>
      </c>
      <c r="C43" s="642"/>
      <c r="D43" s="642"/>
      <c r="E43" s="742"/>
      <c r="F43" s="646"/>
      <c r="G43" s="646"/>
      <c r="H43" s="647"/>
      <c r="I43" s="673">
        <v>0</v>
      </c>
      <c r="J43" s="647"/>
      <c r="K43" s="648">
        <f t="shared" si="3"/>
        <v>0</v>
      </c>
    </row>
    <row r="44" spans="1:11" ht="18" customHeight="1" x14ac:dyDescent="0.3">
      <c r="A44" s="639" t="s">
        <v>91</v>
      </c>
      <c r="B44" s="1351"/>
      <c r="C44" s="1352"/>
      <c r="D44" s="1353"/>
      <c r="E44" s="742"/>
      <c r="F44" s="677"/>
      <c r="G44" s="677"/>
      <c r="H44" s="67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2"/>
      <c r="C48" s="742"/>
      <c r="D48" s="742"/>
      <c r="E48" s="742"/>
      <c r="F48" s="742"/>
      <c r="G48" s="742"/>
      <c r="H48" s="742"/>
      <c r="I48" s="742"/>
      <c r="J48" s="742"/>
      <c r="K48" s="742"/>
    </row>
    <row r="49" spans="1:11" ht="18" customHeight="1" x14ac:dyDescent="0.3">
      <c r="A49" s="639" t="s">
        <v>142</v>
      </c>
      <c r="B49" s="636" t="s">
        <v>143</v>
      </c>
      <c r="C49" s="742"/>
      <c r="D49" s="742"/>
      <c r="E49" s="636" t="s">
        <v>7</v>
      </c>
      <c r="F49" s="654">
        <f t="shared" ref="F49:K49" si="4">SUM(F40:F47)</f>
        <v>8802.8382758654861</v>
      </c>
      <c r="G49" s="654">
        <f t="shared" si="4"/>
        <v>1939.7091316529979</v>
      </c>
      <c r="H49" s="648">
        <f t="shared" si="4"/>
        <v>438927.43687375</v>
      </c>
      <c r="I49" s="648">
        <f t="shared" si="4"/>
        <v>0</v>
      </c>
      <c r="J49" s="648">
        <f t="shared" si="4"/>
        <v>1031.2413154999999</v>
      </c>
      <c r="K49" s="648">
        <f t="shared" si="4"/>
        <v>437896.19555825001</v>
      </c>
    </row>
    <row r="50" spans="1:11" ht="18" customHeight="1" thickBot="1" x14ac:dyDescent="0.3">
      <c r="B50" s="742"/>
      <c r="C50" s="742"/>
      <c r="D50" s="742"/>
      <c r="E50" s="742"/>
      <c r="F50" s="742"/>
      <c r="G50" s="655"/>
      <c r="H50" s="655"/>
      <c r="I50" s="655"/>
      <c r="J50" s="655"/>
      <c r="K50" s="655"/>
    </row>
    <row r="51" spans="1:11" ht="42.75" customHeight="1" x14ac:dyDescent="0.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190</v>
      </c>
      <c r="C53" s="1355"/>
      <c r="D53" s="1356"/>
      <c r="E53" s="742"/>
      <c r="F53" s="646"/>
      <c r="G53" s="646"/>
      <c r="H53" s="647"/>
      <c r="I53" s="673">
        <v>0</v>
      </c>
      <c r="J53" s="647"/>
      <c r="K53" s="648">
        <f t="shared" ref="K53:K62" si="5">(H53+I53)-J53</f>
        <v>0</v>
      </c>
    </row>
    <row r="54" spans="1:11" ht="18" customHeight="1" x14ac:dyDescent="0.3">
      <c r="A54" s="639" t="s">
        <v>93</v>
      </c>
      <c r="B54" s="1062" t="s">
        <v>191</v>
      </c>
      <c r="C54" s="1063"/>
      <c r="D54" s="1064"/>
      <c r="E54" s="742"/>
      <c r="F54" s="646"/>
      <c r="G54" s="646"/>
      <c r="H54" s="647"/>
      <c r="I54" s="673">
        <v>0</v>
      </c>
      <c r="J54" s="647"/>
      <c r="K54" s="648">
        <f t="shared" si="5"/>
        <v>0</v>
      </c>
    </row>
    <row r="55" spans="1:11" ht="18" customHeight="1" x14ac:dyDescent="0.3">
      <c r="A55" s="639" t="s">
        <v>94</v>
      </c>
      <c r="B55" s="1354" t="s">
        <v>192</v>
      </c>
      <c r="C55" s="1355"/>
      <c r="D55" s="1356"/>
      <c r="E55" s="742"/>
      <c r="F55" s="646"/>
      <c r="G55" s="646"/>
      <c r="H55" s="647"/>
      <c r="I55" s="673">
        <v>0</v>
      </c>
      <c r="J55" s="647"/>
      <c r="K55" s="648">
        <f t="shared" si="5"/>
        <v>0</v>
      </c>
    </row>
    <row r="56" spans="1:11" ht="18" customHeight="1" x14ac:dyDescent="0.3">
      <c r="A56" s="639" t="s">
        <v>95</v>
      </c>
      <c r="B56" s="1354" t="s">
        <v>193</v>
      </c>
      <c r="C56" s="1355"/>
      <c r="D56" s="1356"/>
      <c r="E56" s="742"/>
      <c r="F56" s="646"/>
      <c r="G56" s="646"/>
      <c r="H56" s="647"/>
      <c r="I56" s="673">
        <v>0</v>
      </c>
      <c r="J56" s="647"/>
      <c r="K56" s="648">
        <f t="shared" si="5"/>
        <v>0</v>
      </c>
    </row>
    <row r="57" spans="1:11" ht="18" customHeight="1" x14ac:dyDescent="0.3">
      <c r="A57" s="639" t="s">
        <v>96</v>
      </c>
      <c r="B57" s="1354" t="s">
        <v>194</v>
      </c>
      <c r="C57" s="1355"/>
      <c r="D57" s="1356"/>
      <c r="E57" s="742"/>
      <c r="F57" s="646"/>
      <c r="G57" s="646"/>
      <c r="H57" s="647">
        <f>'[10]CB Master List - FY17 &amp; CY16'!$CO$243</f>
        <v>221647.94500000001</v>
      </c>
      <c r="I57" s="673">
        <v>0</v>
      </c>
      <c r="J57" s="647"/>
      <c r="K57" s="648">
        <f t="shared" si="5"/>
        <v>221647.94500000001</v>
      </c>
    </row>
    <row r="58" spans="1:11" ht="18" customHeight="1" x14ac:dyDescent="0.3">
      <c r="A58" s="639" t="s">
        <v>97</v>
      </c>
      <c r="B58" s="1062"/>
      <c r="C58" s="1063"/>
      <c r="D58" s="1064"/>
      <c r="E58" s="742"/>
      <c r="F58" s="646"/>
      <c r="G58" s="646"/>
      <c r="H58" s="647"/>
      <c r="I58" s="673">
        <v>0</v>
      </c>
      <c r="J58" s="647"/>
      <c r="K58" s="648">
        <f t="shared" si="5"/>
        <v>0</v>
      </c>
    </row>
    <row r="59" spans="1:11" ht="18" customHeight="1" x14ac:dyDescent="0.3">
      <c r="A59" s="639" t="s">
        <v>98</v>
      </c>
      <c r="B59" s="1354"/>
      <c r="C59" s="1355"/>
      <c r="D59" s="1356"/>
      <c r="E59" s="742"/>
      <c r="F59" s="646"/>
      <c r="G59" s="646"/>
      <c r="H59" s="647"/>
      <c r="I59" s="673">
        <v>0</v>
      </c>
      <c r="J59" s="647"/>
      <c r="K59" s="648">
        <f t="shared" si="5"/>
        <v>0</v>
      </c>
    </row>
    <row r="60" spans="1:11" ht="18" customHeight="1" x14ac:dyDescent="0.3">
      <c r="A60" s="639" t="s">
        <v>99</v>
      </c>
      <c r="B60" s="1062"/>
      <c r="C60" s="1063"/>
      <c r="D60" s="1064"/>
      <c r="E60" s="742"/>
      <c r="F60" s="646"/>
      <c r="G60" s="646"/>
      <c r="H60" s="647"/>
      <c r="I60" s="673">
        <v>0</v>
      </c>
      <c r="J60" s="647"/>
      <c r="K60" s="648">
        <f t="shared" si="5"/>
        <v>0</v>
      </c>
    </row>
    <row r="61" spans="1:11" ht="18" customHeight="1" x14ac:dyDescent="0.3">
      <c r="A61" s="639" t="s">
        <v>100</v>
      </c>
      <c r="B61" s="1062"/>
      <c r="C61" s="1063"/>
      <c r="D61" s="1064"/>
      <c r="E61" s="742"/>
      <c r="F61" s="646"/>
      <c r="G61" s="646"/>
      <c r="H61" s="647"/>
      <c r="I61" s="673">
        <v>0</v>
      </c>
      <c r="J61" s="647"/>
      <c r="K61" s="648">
        <f t="shared" si="5"/>
        <v>0</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0</v>
      </c>
      <c r="G64" s="650">
        <f t="shared" si="6"/>
        <v>0</v>
      </c>
      <c r="H64" s="648">
        <f t="shared" si="6"/>
        <v>221647.94500000001</v>
      </c>
      <c r="I64" s="648">
        <f t="shared" si="6"/>
        <v>0</v>
      </c>
      <c r="J64" s="648">
        <f t="shared" si="6"/>
        <v>0</v>
      </c>
      <c r="K64" s="648">
        <f t="shared" si="6"/>
        <v>221647.94500000001</v>
      </c>
    </row>
    <row r="65" spans="1:11" ht="18" customHeight="1" x14ac:dyDescent="0.25">
      <c r="B65" s="742"/>
      <c r="C65" s="742"/>
      <c r="D65" s="742"/>
      <c r="E65" s="742"/>
      <c r="F65" s="671"/>
      <c r="G65" s="671"/>
      <c r="H65" s="671"/>
      <c r="I65" s="671"/>
      <c r="J65" s="671"/>
      <c r="K65" s="671"/>
    </row>
    <row r="66" spans="1:11" ht="42.75" customHeight="1" x14ac:dyDescent="0.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74"/>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1062"/>
      <c r="C70" s="1063"/>
      <c r="D70" s="1064"/>
      <c r="E70" s="636"/>
      <c r="F70" s="658"/>
      <c r="G70" s="658"/>
      <c r="H70" s="659"/>
      <c r="I70" s="673">
        <v>0</v>
      </c>
      <c r="J70" s="659"/>
      <c r="K70" s="648">
        <f>(H70+I70)-J70</f>
        <v>0</v>
      </c>
    </row>
    <row r="71" spans="1:11" ht="18" customHeight="1" x14ac:dyDescent="0.3">
      <c r="A71" s="639" t="s">
        <v>179</v>
      </c>
      <c r="B71" s="1062"/>
      <c r="C71" s="1063"/>
      <c r="D71" s="1064"/>
      <c r="E71" s="636"/>
      <c r="F71" s="658"/>
      <c r="G71" s="658"/>
      <c r="H71" s="659"/>
      <c r="I71" s="673">
        <v>0</v>
      </c>
      <c r="J71" s="659"/>
      <c r="K71" s="648">
        <f>(H71+I71)-J71</f>
        <v>0</v>
      </c>
    </row>
    <row r="72" spans="1:11" ht="18" customHeight="1" x14ac:dyDescent="0.3">
      <c r="A72" s="639" t="s">
        <v>180</v>
      </c>
      <c r="B72" s="1077"/>
      <c r="C72" s="1076"/>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f>'[10]CB Master List - FY17 &amp; CY16'!$CM$292</f>
        <v>6.2458134052505283</v>
      </c>
      <c r="G77" s="646"/>
      <c r="H77" s="647">
        <f>'[10]CB Master List - FY17 &amp; CY16'!$CO$292</f>
        <v>47891.33</v>
      </c>
      <c r="I77" s="673">
        <v>0</v>
      </c>
      <c r="J77" s="647"/>
      <c r="K77" s="648">
        <f>(H77+I77)-J77</f>
        <v>47891.33</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f>'[10]CB Master List - FY17 &amp; CY16'!$CM$307</f>
        <v>15.328153422492562</v>
      </c>
      <c r="G79" s="646"/>
      <c r="H79" s="647"/>
      <c r="I79" s="673">
        <v>0</v>
      </c>
      <c r="J79" s="647"/>
      <c r="K79" s="648">
        <f>(H79+I79)-J79</f>
        <v>0</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21.573966827743092</v>
      </c>
      <c r="G82" s="653">
        <f t="shared" si="8"/>
        <v>0</v>
      </c>
      <c r="H82" s="649">
        <f t="shared" si="8"/>
        <v>47891.33</v>
      </c>
      <c r="I82" s="649">
        <f t="shared" si="8"/>
        <v>0</v>
      </c>
      <c r="J82" s="649">
        <f t="shared" si="8"/>
        <v>0</v>
      </c>
      <c r="K82" s="649">
        <f t="shared" si="8"/>
        <v>47891.33</v>
      </c>
    </row>
    <row r="83" spans="1:11" ht="18" customHeight="1" thickBot="1" x14ac:dyDescent="0.35">
      <c r="A83" s="639"/>
      <c r="B83" s="742"/>
      <c r="C83" s="742"/>
      <c r="D83" s="742"/>
      <c r="E83" s="742"/>
      <c r="F83" s="655"/>
      <c r="G83" s="655"/>
      <c r="H83" s="655"/>
      <c r="I83" s="655"/>
      <c r="J83" s="655"/>
      <c r="K83" s="655"/>
    </row>
    <row r="84" spans="1:11" ht="42.75" customHeight="1" x14ac:dyDescent="0.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f>'[10]CB Master List - FY17 &amp; CY16'!$CO$332</f>
        <v>1622.0022847609123</v>
      </c>
      <c r="I86" s="673">
        <f>'[10]CB Master List - FY17 &amp; CY16'!$CP$332</f>
        <v>1578.849313126793</v>
      </c>
      <c r="J86" s="647"/>
      <c r="K86" s="648">
        <f t="shared" ref="K86:K96" si="9">(H86+I86)-J86</f>
        <v>3200.8515978877053</v>
      </c>
    </row>
    <row r="87" spans="1:11" ht="18" customHeight="1" x14ac:dyDescent="0.3">
      <c r="A87" s="639" t="s">
        <v>114</v>
      </c>
      <c r="B87" s="635" t="s">
        <v>14</v>
      </c>
      <c r="C87" s="742"/>
      <c r="D87" s="742"/>
      <c r="E87" s="742"/>
      <c r="F87" s="646">
        <f>'[10]CB Master List - FY17 &amp; CY16'!$CM$340</f>
        <v>0.87277741907430961</v>
      </c>
      <c r="G87" s="646"/>
      <c r="H87" s="647"/>
      <c r="I87" s="673">
        <f t="shared" ref="I87:I96" si="10">H87*F$114</f>
        <v>0</v>
      </c>
      <c r="J87" s="647"/>
      <c r="K87" s="648">
        <f t="shared" si="9"/>
        <v>0</v>
      </c>
    </row>
    <row r="88" spans="1:11" ht="18" customHeight="1" x14ac:dyDescent="0.3">
      <c r="A88" s="639" t="s">
        <v>115</v>
      </c>
      <c r="B88" s="635" t="s">
        <v>116</v>
      </c>
      <c r="C88" s="742"/>
      <c r="D88" s="742"/>
      <c r="E88" s="742"/>
      <c r="F88" s="646">
        <f>'[10]CB Master List - FY17 &amp; CY16'!$CM$350</f>
        <v>1.1182460681889592</v>
      </c>
      <c r="G88" s="646"/>
      <c r="H88" s="647">
        <f>'[10]CB Master List - FY17 &amp; CY16'!$CO$350</f>
        <v>19912.8</v>
      </c>
      <c r="I88" s="673">
        <f>'[10]CB Master List - FY17 &amp; CY16'!$CP$350</f>
        <v>19383.024856259955</v>
      </c>
      <c r="J88" s="647"/>
      <c r="K88" s="648">
        <f t="shared" si="9"/>
        <v>39295.824856259955</v>
      </c>
    </row>
    <row r="89" spans="1:11" ht="18" customHeight="1" x14ac:dyDescent="0.3">
      <c r="A89" s="639" t="s">
        <v>117</v>
      </c>
      <c r="B89" s="635" t="s">
        <v>58</v>
      </c>
      <c r="C89" s="742"/>
      <c r="D89" s="742"/>
      <c r="E89" s="742"/>
      <c r="F89" s="646"/>
      <c r="G89" s="646"/>
      <c r="H89" s="647"/>
      <c r="I89" s="673">
        <f t="shared" si="10"/>
        <v>0</v>
      </c>
      <c r="J89" s="647"/>
      <c r="K89" s="648">
        <f t="shared" si="9"/>
        <v>0</v>
      </c>
    </row>
    <row r="90" spans="1:11" ht="18" customHeight="1" x14ac:dyDescent="0.3">
      <c r="A90" s="639" t="s">
        <v>118</v>
      </c>
      <c r="B90" s="1359" t="s">
        <v>59</v>
      </c>
      <c r="C90" s="1359"/>
      <c r="D90" s="742"/>
      <c r="E90" s="742"/>
      <c r="F90" s="646">
        <f>'[10]CB Master List - FY17 &amp; CY16'!$CM$366</f>
        <v>1.3091661286114644</v>
      </c>
      <c r="G90" s="646"/>
      <c r="H90" s="647"/>
      <c r="I90" s="673">
        <f t="shared" si="10"/>
        <v>0</v>
      </c>
      <c r="J90" s="647"/>
      <c r="K90" s="648">
        <f t="shared" si="9"/>
        <v>0</v>
      </c>
    </row>
    <row r="91" spans="1:11" ht="18" customHeight="1" x14ac:dyDescent="0.3">
      <c r="A91" s="639" t="s">
        <v>119</v>
      </c>
      <c r="B91" s="635" t="s">
        <v>60</v>
      </c>
      <c r="C91" s="742"/>
      <c r="D91" s="742"/>
      <c r="E91" s="742"/>
      <c r="F91" s="646">
        <f>'[10]CB Master List - FY17 &amp; CY16'!$CM$375</f>
        <v>104.91358999999999</v>
      </c>
      <c r="G91" s="646"/>
      <c r="H91" s="647">
        <f>'[10]CB Master List - FY17 &amp; CY16'!$CO$375</f>
        <v>7328.164530250001</v>
      </c>
      <c r="I91" s="673">
        <f>'[10]CB Master List - FY17 &amp; CY16'!$CP$375</f>
        <v>6987.2267283872243</v>
      </c>
      <c r="J91" s="647">
        <f>'[10]CB Master List - FY17 &amp; CY16'!$CQ$375</f>
        <v>963.37687999999991</v>
      </c>
      <c r="K91" s="648">
        <f t="shared" si="9"/>
        <v>13352.014378637225</v>
      </c>
    </row>
    <row r="92" spans="1:11" ht="18" customHeight="1" x14ac:dyDescent="0.3">
      <c r="A92" s="639" t="s">
        <v>120</v>
      </c>
      <c r="B92" s="635" t="s">
        <v>121</v>
      </c>
      <c r="C92" s="742"/>
      <c r="D92" s="742"/>
      <c r="E92" s="742"/>
      <c r="F92" s="661">
        <f>'[10]CB Master List - FY17 &amp; CY16'!$CM$387</f>
        <v>606.38619089102463</v>
      </c>
      <c r="G92" s="661"/>
      <c r="H92" s="662">
        <f>'[10]CB Master List - FY17 &amp; CY16'!$CO$387</f>
        <v>58092.151493554084</v>
      </c>
      <c r="I92" s="673">
        <f>'[10]CB Master List - FY17 &amp; CY16'!$CP$387</f>
        <v>56546.624098729349</v>
      </c>
      <c r="J92" s="662"/>
      <c r="K92" s="648">
        <f t="shared" si="9"/>
        <v>114638.77559228343</v>
      </c>
    </row>
    <row r="93" spans="1:11" ht="18" customHeight="1" x14ac:dyDescent="0.3">
      <c r="A93" s="639" t="s">
        <v>122</v>
      </c>
      <c r="B93" s="635" t="s">
        <v>123</v>
      </c>
      <c r="C93" s="742"/>
      <c r="D93" s="742"/>
      <c r="E93" s="742"/>
      <c r="F93" s="646"/>
      <c r="G93" s="646"/>
      <c r="H93" s="647"/>
      <c r="I93" s="673">
        <f t="shared" si="10"/>
        <v>0</v>
      </c>
      <c r="J93" s="647"/>
      <c r="K93" s="648">
        <f t="shared" si="9"/>
        <v>0</v>
      </c>
    </row>
    <row r="94" spans="1:11" ht="18" customHeight="1" x14ac:dyDescent="0.3">
      <c r="A94" s="639" t="s">
        <v>124</v>
      </c>
      <c r="B94" s="1354"/>
      <c r="C94" s="1355"/>
      <c r="D94" s="1356"/>
      <c r="E94" s="742"/>
      <c r="F94" s="646"/>
      <c r="G94" s="646"/>
      <c r="H94" s="647"/>
      <c r="I94" s="673">
        <f t="shared" si="10"/>
        <v>0</v>
      </c>
      <c r="J94" s="647"/>
      <c r="K94" s="648">
        <f t="shared" si="9"/>
        <v>0</v>
      </c>
    </row>
    <row r="95" spans="1:11" ht="18" customHeight="1" x14ac:dyDescent="0.3">
      <c r="A95" s="639" t="s">
        <v>125</v>
      </c>
      <c r="B95" s="1354"/>
      <c r="C95" s="1355"/>
      <c r="D95" s="1356"/>
      <c r="E95" s="742"/>
      <c r="F95" s="646"/>
      <c r="G95" s="646"/>
      <c r="H95" s="647"/>
      <c r="I95" s="673">
        <f t="shared" si="10"/>
        <v>0</v>
      </c>
      <c r="J95" s="647"/>
      <c r="K95" s="648">
        <f t="shared" si="9"/>
        <v>0</v>
      </c>
    </row>
    <row r="96" spans="1:11" ht="18" customHeight="1" x14ac:dyDescent="0.3">
      <c r="A96" s="639" t="s">
        <v>126</v>
      </c>
      <c r="B96" s="1354"/>
      <c r="C96" s="1355"/>
      <c r="D96" s="1356"/>
      <c r="E96" s="742"/>
      <c r="F96" s="646"/>
      <c r="G96" s="646"/>
      <c r="H96" s="647"/>
      <c r="I96" s="673">
        <f t="shared" si="10"/>
        <v>0</v>
      </c>
      <c r="J96" s="647"/>
      <c r="K96" s="648">
        <f t="shared" si="9"/>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714.59997050689935</v>
      </c>
      <c r="G98" s="650">
        <f t="shared" si="11"/>
        <v>0</v>
      </c>
      <c r="H98" s="650">
        <f t="shared" si="11"/>
        <v>86955.118308564997</v>
      </c>
      <c r="I98" s="650">
        <f t="shared" si="11"/>
        <v>84495.724996503326</v>
      </c>
      <c r="J98" s="650">
        <f t="shared" si="11"/>
        <v>963.37687999999991</v>
      </c>
      <c r="K98" s="650">
        <f t="shared" si="11"/>
        <v>170487.46642506833</v>
      </c>
    </row>
    <row r="99" spans="1:11" ht="18" customHeight="1" thickBot="1" x14ac:dyDescent="0.35">
      <c r="B99" s="636"/>
      <c r="C99" s="742"/>
      <c r="D99" s="742"/>
      <c r="E99" s="742"/>
      <c r="F99" s="655"/>
      <c r="G99" s="655"/>
      <c r="H99" s="655"/>
      <c r="I99" s="655"/>
      <c r="J99" s="655"/>
      <c r="K99" s="655"/>
    </row>
    <row r="100" spans="1:11" ht="42.75" customHeight="1" x14ac:dyDescent="0.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f>'[10]CB Master List - FY17 &amp; CY16'!$CM$421</f>
        <v>631.56200995573249</v>
      </c>
      <c r="G102" s="646"/>
      <c r="H102" s="647">
        <f>'[10]CB Master List - FY17 &amp; CY16'!$CO$421</f>
        <v>33327.756605250004</v>
      </c>
      <c r="I102" s="673">
        <f>'[10]CB Master List - FY17 &amp; CY16'!$CP$421</f>
        <v>29650.89731808424</v>
      </c>
      <c r="J102" s="647">
        <f>'[10]CB Master List - FY17 &amp; CY16'!$CQ$421</f>
        <v>3376.6203937499999</v>
      </c>
      <c r="K102" s="648">
        <f>(H102+I102)-J102</f>
        <v>59602.033529584245</v>
      </c>
    </row>
    <row r="103" spans="1:11" ht="18" customHeight="1" x14ac:dyDescent="0.3">
      <c r="A103" s="639" t="s">
        <v>132</v>
      </c>
      <c r="B103" s="1357" t="s">
        <v>62</v>
      </c>
      <c r="C103" s="1357"/>
      <c r="D103" s="742"/>
      <c r="E103" s="742"/>
      <c r="F103" s="646">
        <f>'[10]CB Master List - FY17 &amp; CY16'!$CM$430</f>
        <v>1.88192630987898</v>
      </c>
      <c r="G103" s="646"/>
      <c r="H103" s="647"/>
      <c r="I103" s="673">
        <f>H103*F$114</f>
        <v>0</v>
      </c>
      <c r="J103" s="647"/>
      <c r="K103" s="648">
        <f>(H103+I103)-J103</f>
        <v>0</v>
      </c>
    </row>
    <row r="104" spans="1:11" ht="18" customHeight="1" x14ac:dyDescent="0.3">
      <c r="A104" s="639" t="s">
        <v>128</v>
      </c>
      <c r="B104" s="1354" t="s">
        <v>653</v>
      </c>
      <c r="C104" s="1355"/>
      <c r="D104" s="1356"/>
      <c r="E104" s="742"/>
      <c r="F104" s="646">
        <f>'[10]CB Master List - FY17 &amp; CY16'!$CM$438</f>
        <v>297.58744000000002</v>
      </c>
      <c r="G104" s="646"/>
      <c r="H104" s="647">
        <f>'[10]CB Master List - FY17 &amp; CY16'!$CO$438</f>
        <v>17715.463355750002</v>
      </c>
      <c r="I104" s="673">
        <f>'[10]CB Master List - FY17 &amp; CY16'!$CP$438</f>
        <v>17244.147812696592</v>
      </c>
      <c r="J104" s="647">
        <f>'[10]CB Master List - FY17 &amp; CY16'!$CQ$438</f>
        <v>1681.215346</v>
      </c>
      <c r="K104" s="648">
        <f>(H104+I104)-J104</f>
        <v>33278.395822446597</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B107" s="636"/>
      <c r="C107" s="742"/>
      <c r="D107" s="742"/>
      <c r="E107" s="742"/>
      <c r="F107" s="742"/>
      <c r="G107" s="742"/>
      <c r="H107" s="742"/>
      <c r="I107" s="742"/>
      <c r="J107" s="742"/>
      <c r="K107" s="742"/>
    </row>
    <row r="108" spans="1:11" s="3" customFormat="1" ht="18" customHeight="1" x14ac:dyDescent="0.3">
      <c r="A108" s="639" t="s">
        <v>153</v>
      </c>
      <c r="B108" s="686" t="s">
        <v>154</v>
      </c>
      <c r="C108" s="742"/>
      <c r="D108" s="742"/>
      <c r="E108" s="636" t="s">
        <v>7</v>
      </c>
      <c r="F108" s="650">
        <f t="shared" ref="F108:K108" si="12">SUM(F102:F106)</f>
        <v>931.03137626561147</v>
      </c>
      <c r="G108" s="650">
        <f t="shared" si="12"/>
        <v>0</v>
      </c>
      <c r="H108" s="648">
        <f t="shared" si="12"/>
        <v>51043.21996100001</v>
      </c>
      <c r="I108" s="648">
        <f t="shared" si="12"/>
        <v>46895.045130780833</v>
      </c>
      <c r="J108" s="648">
        <f t="shared" si="12"/>
        <v>5057.8357397500004</v>
      </c>
      <c r="K108" s="648">
        <f t="shared" si="12"/>
        <v>92880.429352030842</v>
      </c>
    </row>
    <row r="109" spans="1:11" s="3" customFormat="1" ht="18" customHeight="1" thickBot="1" x14ac:dyDescent="0.35">
      <c r="A109" s="643"/>
      <c r="B109" s="644"/>
      <c r="C109" s="645"/>
      <c r="D109" s="645"/>
      <c r="E109" s="645"/>
      <c r="F109" s="655"/>
      <c r="G109" s="655"/>
      <c r="H109" s="655"/>
      <c r="I109" s="655"/>
      <c r="J109" s="655"/>
      <c r="K109" s="655"/>
    </row>
    <row r="110" spans="1:11" s="3"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f>'[10]CB Master List - FY17 &amp; CY16'!$CR$459</f>
        <v>502712</v>
      </c>
      <c r="G111" s="742"/>
      <c r="H111" s="742"/>
      <c r="I111" s="742"/>
      <c r="J111" s="742"/>
      <c r="K111" s="742"/>
    </row>
    <row r="112" spans="1:11" ht="18" customHeight="1" x14ac:dyDescent="0.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639" t="s">
        <v>171</v>
      </c>
      <c r="B114" s="635" t="s">
        <v>35</v>
      </c>
      <c r="C114" s="742"/>
      <c r="D114" s="742"/>
      <c r="E114" s="742"/>
      <c r="F114" s="656">
        <f>'[10]CB Master List - FY17 &amp; CY16'!$CR$463</f>
        <v>0.97339524608593253</v>
      </c>
      <c r="G114" s="742"/>
      <c r="H114" s="742"/>
      <c r="I114" s="742"/>
      <c r="J114" s="742"/>
      <c r="K114" s="742"/>
    </row>
    <row r="115" spans="1:11" ht="18" customHeight="1" x14ac:dyDescent="0.3">
      <c r="A115" s="639"/>
      <c r="B115" s="636"/>
      <c r="C115" s="742"/>
      <c r="D115" s="742"/>
      <c r="E115" s="742"/>
      <c r="F115" s="742"/>
      <c r="G115" s="742"/>
      <c r="H115" s="742"/>
      <c r="I115" s="742"/>
      <c r="J115" s="742"/>
      <c r="K115" s="742"/>
    </row>
    <row r="116" spans="1:11" ht="18" customHeight="1" x14ac:dyDescent="0.3">
      <c r="A116" s="639" t="s">
        <v>170</v>
      </c>
      <c r="B116" s="636" t="s">
        <v>16</v>
      </c>
      <c r="C116" s="742"/>
      <c r="D116" s="742"/>
      <c r="E116" s="742"/>
      <c r="F116" s="742"/>
      <c r="G116" s="742"/>
      <c r="H116" s="742"/>
      <c r="I116" s="742"/>
      <c r="J116" s="742"/>
      <c r="K116" s="742"/>
    </row>
    <row r="117" spans="1:11" ht="18" customHeight="1" x14ac:dyDescent="0.3">
      <c r="A117" s="639" t="s">
        <v>172</v>
      </c>
      <c r="B117" s="635" t="s">
        <v>17</v>
      </c>
      <c r="C117" s="742"/>
      <c r="D117" s="742"/>
      <c r="E117" s="742"/>
      <c r="F117" s="647">
        <f>'[11]ConsolidatING P&amp;L'!$AK$74</f>
        <v>43087720</v>
      </c>
      <c r="G117" s="742"/>
      <c r="H117" s="742"/>
      <c r="I117" s="742"/>
      <c r="J117" s="742"/>
      <c r="K117" s="742"/>
    </row>
    <row r="118" spans="1:11" ht="18" customHeight="1" x14ac:dyDescent="0.3">
      <c r="A118" s="639" t="s">
        <v>173</v>
      </c>
      <c r="B118" s="742" t="s">
        <v>18</v>
      </c>
      <c r="C118" s="742"/>
      <c r="D118" s="742"/>
      <c r="E118" s="742"/>
      <c r="F118" s="647">
        <f>'[11]ConsolidatING P&amp;L'!$AK$120</f>
        <v>3011361</v>
      </c>
      <c r="G118" s="742"/>
      <c r="H118" s="742"/>
      <c r="I118" s="742"/>
      <c r="J118" s="742"/>
      <c r="K118" s="742"/>
    </row>
    <row r="119" spans="1:11" ht="18" customHeight="1" x14ac:dyDescent="0.3">
      <c r="A119" s="639" t="s">
        <v>174</v>
      </c>
      <c r="B119" s="636" t="s">
        <v>19</v>
      </c>
      <c r="C119" s="742"/>
      <c r="D119" s="742"/>
      <c r="E119" s="742"/>
      <c r="F119" s="649">
        <f>SUM(F117:F118)</f>
        <v>46099081</v>
      </c>
      <c r="G119" s="742"/>
      <c r="H119" s="742"/>
      <c r="I119" s="742"/>
      <c r="J119" s="742"/>
      <c r="K119" s="742"/>
    </row>
    <row r="120" spans="1:11" ht="18" customHeight="1" x14ac:dyDescent="0.3">
      <c r="A120" s="639"/>
      <c r="B120" s="636"/>
      <c r="C120" s="742"/>
      <c r="D120" s="742"/>
      <c r="E120" s="742"/>
      <c r="F120" s="742"/>
      <c r="G120" s="742"/>
      <c r="H120" s="742"/>
      <c r="I120" s="742"/>
      <c r="J120" s="742"/>
      <c r="K120" s="742"/>
    </row>
    <row r="121" spans="1:11" ht="18" customHeight="1" x14ac:dyDescent="0.3">
      <c r="A121" s="639" t="s">
        <v>167</v>
      </c>
      <c r="B121" s="636" t="s">
        <v>36</v>
      </c>
      <c r="C121" s="742"/>
      <c r="D121" s="742"/>
      <c r="E121" s="742"/>
      <c r="F121" s="647">
        <f>'[11]ConsolidatING P&amp;L'!$AK$485</f>
        <v>43589181</v>
      </c>
      <c r="G121" s="742"/>
      <c r="H121" s="742"/>
      <c r="I121" s="742"/>
      <c r="J121" s="742"/>
      <c r="K121" s="742"/>
    </row>
    <row r="122" spans="1:11" ht="18" customHeight="1" x14ac:dyDescent="0.3">
      <c r="A122" s="639"/>
      <c r="B122" s="742"/>
      <c r="C122" s="742"/>
      <c r="D122" s="742"/>
      <c r="E122" s="742"/>
      <c r="F122" s="742"/>
      <c r="G122" s="742"/>
      <c r="H122" s="742"/>
      <c r="I122" s="742"/>
      <c r="J122" s="742"/>
      <c r="K122" s="742"/>
    </row>
    <row r="123" spans="1:11" ht="18" customHeight="1" x14ac:dyDescent="0.3">
      <c r="A123" s="639" t="s">
        <v>175</v>
      </c>
      <c r="B123" s="636" t="s">
        <v>20</v>
      </c>
      <c r="C123" s="742"/>
      <c r="D123" s="742"/>
      <c r="E123" s="742"/>
      <c r="F123" s="647">
        <f>+F119-F121</f>
        <v>2509900</v>
      </c>
      <c r="G123" s="742"/>
      <c r="H123" s="742"/>
      <c r="I123" s="742"/>
      <c r="J123" s="742"/>
      <c r="K123" s="742"/>
    </row>
    <row r="124" spans="1:11" ht="18" customHeight="1" x14ac:dyDescent="0.3">
      <c r="A124" s="639"/>
      <c r="B124" s="742"/>
      <c r="C124" s="742"/>
      <c r="D124" s="742"/>
      <c r="E124" s="742"/>
      <c r="F124" s="742"/>
      <c r="G124" s="742"/>
      <c r="H124" s="742"/>
      <c r="I124" s="742"/>
      <c r="J124" s="742"/>
      <c r="K124" s="742"/>
    </row>
    <row r="125" spans="1:11" ht="18" customHeight="1" x14ac:dyDescent="0.3">
      <c r="A125" s="639" t="s">
        <v>176</v>
      </c>
      <c r="B125" s="636" t="s">
        <v>21</v>
      </c>
      <c r="C125" s="742"/>
      <c r="D125" s="742"/>
      <c r="E125" s="742"/>
      <c r="F125" s="647">
        <f>'[11]ConsolidatING P&amp;L'!$AK$505</f>
        <v>97526</v>
      </c>
      <c r="G125" s="742"/>
      <c r="H125" s="742"/>
      <c r="I125" s="742"/>
      <c r="J125" s="742"/>
      <c r="K125" s="742"/>
    </row>
    <row r="126" spans="1:11" ht="18" customHeight="1" x14ac:dyDescent="0.3">
      <c r="A126" s="639"/>
      <c r="B126" s="742"/>
      <c r="C126" s="742"/>
      <c r="D126" s="742"/>
      <c r="E126" s="742"/>
      <c r="F126" s="742"/>
      <c r="G126" s="742"/>
      <c r="H126" s="742"/>
      <c r="I126" s="742"/>
      <c r="J126" s="742"/>
      <c r="K126" s="742"/>
    </row>
    <row r="127" spans="1:11" ht="18" customHeight="1" x14ac:dyDescent="0.3">
      <c r="A127" s="639" t="s">
        <v>177</v>
      </c>
      <c r="B127" s="636" t="s">
        <v>22</v>
      </c>
      <c r="C127" s="742"/>
      <c r="D127" s="742"/>
      <c r="E127" s="742"/>
      <c r="F127" s="647">
        <f>+F123+F125</f>
        <v>2607426</v>
      </c>
      <c r="G127" s="742"/>
      <c r="H127" s="742"/>
      <c r="I127" s="742"/>
      <c r="J127" s="742"/>
      <c r="K127" s="742"/>
    </row>
    <row r="128" spans="1:11" ht="18" customHeight="1" x14ac:dyDescent="0.3">
      <c r="A128" s="639"/>
      <c r="B128" s="742"/>
      <c r="C128" s="742"/>
      <c r="D128" s="742"/>
      <c r="E128" s="742"/>
      <c r="F128" s="742"/>
      <c r="G128" s="742"/>
      <c r="H128" s="742"/>
      <c r="I128" s="742"/>
      <c r="J128" s="742"/>
      <c r="K128" s="742"/>
    </row>
    <row r="129" spans="1:11" ht="42.75" customHeight="1" x14ac:dyDescent="0.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B138" s="742"/>
      <c r="C138" s="742"/>
      <c r="D138" s="742"/>
      <c r="E138" s="742"/>
      <c r="F138" s="742"/>
      <c r="G138" s="742"/>
      <c r="H138" s="742"/>
      <c r="I138" s="742"/>
      <c r="J138" s="742"/>
      <c r="K138" s="742"/>
    </row>
    <row r="139" spans="1:11" ht="42.75" customHeight="1" x14ac:dyDescent="0.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9667.4008445206618</v>
      </c>
      <c r="G141" s="664">
        <f t="shared" si="14"/>
        <v>5546.2370092705814</v>
      </c>
      <c r="H141" s="664">
        <f t="shared" si="14"/>
        <v>740727.54095887498</v>
      </c>
      <c r="I141" s="664">
        <f t="shared" si="14"/>
        <v>721020.66701429198</v>
      </c>
      <c r="J141" s="664">
        <f t="shared" si="14"/>
        <v>322035.39886050002</v>
      </c>
      <c r="K141" s="664">
        <f t="shared" si="14"/>
        <v>1139712.8091126666</v>
      </c>
    </row>
    <row r="142" spans="1:11" ht="18" customHeight="1" x14ac:dyDescent="0.3">
      <c r="A142" s="639" t="s">
        <v>142</v>
      </c>
      <c r="B142" s="636" t="s">
        <v>65</v>
      </c>
      <c r="C142" s="742"/>
      <c r="D142" s="742"/>
      <c r="E142" s="742"/>
      <c r="F142" s="664">
        <f t="shared" ref="F142:K142" si="15">F49</f>
        <v>8802.8382758654861</v>
      </c>
      <c r="G142" s="664">
        <f t="shared" si="15"/>
        <v>1939.7091316529979</v>
      </c>
      <c r="H142" s="664">
        <f t="shared" si="15"/>
        <v>438927.43687375</v>
      </c>
      <c r="I142" s="664">
        <f t="shared" si="15"/>
        <v>0</v>
      </c>
      <c r="J142" s="664">
        <f t="shared" si="15"/>
        <v>1031.2413154999999</v>
      </c>
      <c r="K142" s="664">
        <f t="shared" si="15"/>
        <v>437896.19555825001</v>
      </c>
    </row>
    <row r="143" spans="1:11" ht="18" customHeight="1" x14ac:dyDescent="0.3">
      <c r="A143" s="639" t="s">
        <v>144</v>
      </c>
      <c r="B143" s="636" t="s">
        <v>66</v>
      </c>
      <c r="C143" s="742"/>
      <c r="D143" s="742"/>
      <c r="E143" s="742"/>
      <c r="F143" s="664">
        <f t="shared" ref="F143:K143" si="16">F64</f>
        <v>0</v>
      </c>
      <c r="G143" s="664">
        <f t="shared" si="16"/>
        <v>0</v>
      </c>
      <c r="H143" s="664">
        <f t="shared" si="16"/>
        <v>221647.94500000001</v>
      </c>
      <c r="I143" s="664">
        <f t="shared" si="16"/>
        <v>0</v>
      </c>
      <c r="J143" s="664">
        <f t="shared" si="16"/>
        <v>0</v>
      </c>
      <c r="K143" s="664">
        <f t="shared" si="16"/>
        <v>221647.94500000001</v>
      </c>
    </row>
    <row r="144" spans="1:11" ht="18" customHeight="1" x14ac:dyDescent="0.3">
      <c r="A144" s="639"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639" t="s">
        <v>148</v>
      </c>
      <c r="B145" s="636" t="s">
        <v>68</v>
      </c>
      <c r="C145" s="742"/>
      <c r="D145" s="742"/>
      <c r="E145" s="742"/>
      <c r="F145" s="664">
        <f t="shared" ref="F145:K145" si="18">F82</f>
        <v>21.573966827743092</v>
      </c>
      <c r="G145" s="664">
        <f t="shared" si="18"/>
        <v>0</v>
      </c>
      <c r="H145" s="664">
        <f t="shared" si="18"/>
        <v>47891.33</v>
      </c>
      <c r="I145" s="664">
        <f t="shared" si="18"/>
        <v>0</v>
      </c>
      <c r="J145" s="664">
        <f t="shared" si="18"/>
        <v>0</v>
      </c>
      <c r="K145" s="664">
        <f t="shared" si="18"/>
        <v>47891.33</v>
      </c>
    </row>
    <row r="146" spans="1:11" ht="18" customHeight="1" x14ac:dyDescent="0.3">
      <c r="A146" s="639" t="s">
        <v>150</v>
      </c>
      <c r="B146" s="636" t="s">
        <v>69</v>
      </c>
      <c r="C146" s="742"/>
      <c r="D146" s="742"/>
      <c r="E146" s="742"/>
      <c r="F146" s="664">
        <f t="shared" ref="F146:K146" si="19">F98</f>
        <v>714.59997050689935</v>
      </c>
      <c r="G146" s="664">
        <f t="shared" si="19"/>
        <v>0</v>
      </c>
      <c r="H146" s="664">
        <f t="shared" si="19"/>
        <v>86955.118308564997</v>
      </c>
      <c r="I146" s="664">
        <f t="shared" si="19"/>
        <v>84495.724996503326</v>
      </c>
      <c r="J146" s="664">
        <f t="shared" si="19"/>
        <v>963.37687999999991</v>
      </c>
      <c r="K146" s="664">
        <f t="shared" si="19"/>
        <v>170487.46642506833</v>
      </c>
    </row>
    <row r="147" spans="1:11" ht="18" customHeight="1" x14ac:dyDescent="0.3">
      <c r="A147" s="639" t="s">
        <v>153</v>
      </c>
      <c r="B147" s="636" t="s">
        <v>61</v>
      </c>
      <c r="C147" s="742"/>
      <c r="D147" s="742"/>
      <c r="E147" s="742"/>
      <c r="F147" s="650">
        <f t="shared" ref="F147:K147" si="20">F108</f>
        <v>931.03137626561147</v>
      </c>
      <c r="G147" s="650">
        <f t="shared" si="20"/>
        <v>0</v>
      </c>
      <c r="H147" s="650">
        <f t="shared" si="20"/>
        <v>51043.21996100001</v>
      </c>
      <c r="I147" s="650">
        <f t="shared" si="20"/>
        <v>46895.045130780833</v>
      </c>
      <c r="J147" s="650">
        <f t="shared" si="20"/>
        <v>5057.8357397500004</v>
      </c>
      <c r="K147" s="650">
        <f t="shared" si="20"/>
        <v>92880.429352030842</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502712</v>
      </c>
    </row>
    <row r="149" spans="1:11" ht="18" customHeight="1" x14ac:dyDescent="0.3">
      <c r="A149" s="639"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639" t="s">
        <v>185</v>
      </c>
      <c r="B150" s="636" t="s">
        <v>186</v>
      </c>
      <c r="C150" s="742"/>
      <c r="D150" s="742"/>
      <c r="E150" s="742"/>
      <c r="F150" s="665" t="s">
        <v>73</v>
      </c>
      <c r="G150" s="665" t="s">
        <v>73</v>
      </c>
      <c r="H150" s="650">
        <f>H18</f>
        <v>0</v>
      </c>
      <c r="I150" s="650">
        <f>I18</f>
        <v>0</v>
      </c>
      <c r="J150" s="650">
        <f>J18</f>
        <v>0</v>
      </c>
      <c r="K150" s="650">
        <f>K18</f>
        <v>0</v>
      </c>
    </row>
    <row r="151" spans="1:11" ht="18" customHeight="1" x14ac:dyDescent="0.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20137.444433986402</v>
      </c>
      <c r="G152" s="672">
        <f t="shared" si="22"/>
        <v>7485.9461409235792</v>
      </c>
      <c r="H152" s="672">
        <f t="shared" si="22"/>
        <v>1587192.5911021901</v>
      </c>
      <c r="I152" s="672">
        <f t="shared" si="22"/>
        <v>852411.43714157608</v>
      </c>
      <c r="J152" s="672">
        <f t="shared" si="22"/>
        <v>329087.85279575002</v>
      </c>
      <c r="K152" s="672">
        <f t="shared" si="22"/>
        <v>2613228.1754480158</v>
      </c>
    </row>
    <row r="153" spans="1:11" ht="18" customHeight="1" x14ac:dyDescent="0.25">
      <c r="B153" s="742"/>
      <c r="C153" s="742"/>
      <c r="D153" s="742"/>
      <c r="E153" s="742"/>
      <c r="F153" s="742"/>
      <c r="G153" s="742"/>
      <c r="H153" s="742"/>
      <c r="I153" s="742"/>
      <c r="J153" s="742"/>
      <c r="K153" s="742"/>
    </row>
    <row r="154" spans="1:11" ht="18" customHeight="1" x14ac:dyDescent="0.3">
      <c r="A154" s="639" t="s">
        <v>168</v>
      </c>
      <c r="B154" s="636" t="s">
        <v>28</v>
      </c>
      <c r="C154" s="742"/>
      <c r="D154" s="742"/>
      <c r="E154" s="742"/>
      <c r="F154" s="687">
        <f>K152/F121</f>
        <v>5.9951302490588568E-2</v>
      </c>
      <c r="G154" s="742"/>
      <c r="H154" s="742"/>
      <c r="I154" s="742"/>
      <c r="J154" s="742"/>
      <c r="K154" s="742"/>
    </row>
    <row r="155" spans="1:11" ht="18" customHeight="1" x14ac:dyDescent="0.3">
      <c r="A155" s="639" t="s">
        <v>169</v>
      </c>
      <c r="B155" s="636" t="s">
        <v>72</v>
      </c>
      <c r="C155" s="742"/>
      <c r="D155" s="742"/>
      <c r="E155" s="742"/>
      <c r="F155" s="687">
        <f>K152/F127</f>
        <v>1.002225250284386</v>
      </c>
      <c r="G155" s="636"/>
      <c r="H155" s="742"/>
      <c r="I155" s="742"/>
      <c r="J155" s="742"/>
      <c r="K155" s="742"/>
    </row>
    <row r="156" spans="1:11" ht="18" customHeight="1" x14ac:dyDescent="0.3">
      <c r="B156" s="630"/>
      <c r="C156" s="630"/>
      <c r="D156" s="630"/>
      <c r="E156" s="630"/>
      <c r="F156" s="630"/>
      <c r="G156" s="631"/>
      <c r="H156" s="630"/>
      <c r="I156" s="630"/>
      <c r="J156" s="630"/>
      <c r="K156" s="630"/>
    </row>
  </sheetData>
  <sheetProtection sheet="1" objects="1" scenarios="1"/>
  <mergeCells count="33">
    <mergeCell ref="D2:H2"/>
    <mergeCell ref="B46:D46"/>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B45:D45"/>
    <mergeCell ref="B47:D47"/>
    <mergeCell ref="B34:D34"/>
    <mergeCell ref="B41:C41"/>
    <mergeCell ref="B44:D44"/>
    <mergeCell ref="B13:H13"/>
    <mergeCell ref="C5:G5"/>
    <mergeCell ref="C6:G6"/>
    <mergeCell ref="C7:G7"/>
    <mergeCell ref="C11:G11"/>
    <mergeCell ref="C9:G9"/>
    <mergeCell ref="C10:G1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K156"/>
  <sheetViews>
    <sheetView showGridLines="0" view="pageBreakPreview" zoomScale="80" zoomScaleNormal="50" zoomScaleSheetLayoutView="80" workbookViewId="0"/>
  </sheetViews>
  <sheetFormatPr defaultColWidth="9.26953125" defaultRowHeight="18" customHeight="1" x14ac:dyDescent="0.25"/>
  <cols>
    <col min="1" max="1" width="8.26953125" style="446"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633"/>
      <c r="B1" s="742"/>
      <c r="C1" s="888"/>
      <c r="D1" s="889"/>
      <c r="E1" s="888"/>
      <c r="F1" s="888"/>
      <c r="G1" s="888"/>
      <c r="H1" s="888"/>
      <c r="I1" s="888"/>
      <c r="J1" s="888"/>
      <c r="K1" s="888"/>
    </row>
    <row r="2" spans="1:11" ht="18" customHeight="1" x14ac:dyDescent="0.35">
      <c r="A2" s="633"/>
      <c r="B2" s="742"/>
      <c r="C2" s="742"/>
      <c r="D2" s="1360" t="s">
        <v>700</v>
      </c>
      <c r="E2" s="1360"/>
      <c r="F2" s="1360"/>
      <c r="G2" s="1360"/>
      <c r="H2" s="1360"/>
      <c r="I2" s="742"/>
      <c r="J2" s="742"/>
      <c r="K2" s="742"/>
    </row>
    <row r="3" spans="1:11" ht="18" customHeight="1" x14ac:dyDescent="0.3">
      <c r="A3" s="633"/>
      <c r="B3" s="636" t="s">
        <v>0</v>
      </c>
      <c r="C3" s="742"/>
      <c r="D3" s="742"/>
      <c r="E3" s="742"/>
      <c r="F3" s="742"/>
      <c r="G3" s="742"/>
      <c r="H3" s="742"/>
      <c r="I3" s="742"/>
      <c r="J3" s="742"/>
      <c r="K3" s="742"/>
    </row>
    <row r="4" spans="1:11" ht="18" customHeight="1" x14ac:dyDescent="0.25">
      <c r="B4" s="740"/>
      <c r="C4" s="740"/>
      <c r="D4" s="740"/>
      <c r="E4" s="740"/>
      <c r="F4" s="740"/>
      <c r="G4" s="740"/>
      <c r="H4" s="740"/>
      <c r="I4" s="740"/>
      <c r="J4" s="740"/>
      <c r="K4" s="740"/>
    </row>
    <row r="5" spans="1:11" ht="18" customHeight="1" x14ac:dyDescent="0.3">
      <c r="A5" s="633"/>
      <c r="B5" s="733" t="s">
        <v>40</v>
      </c>
      <c r="C5" s="1361" t="s">
        <v>860</v>
      </c>
      <c r="D5" s="1362"/>
      <c r="E5" s="1362"/>
      <c r="F5" s="1362"/>
      <c r="G5" s="1364"/>
      <c r="H5" s="742"/>
      <c r="I5" s="742"/>
      <c r="J5" s="742"/>
      <c r="K5" s="742"/>
    </row>
    <row r="6" spans="1:11" ht="18" customHeight="1" x14ac:dyDescent="0.3">
      <c r="A6" s="633"/>
      <c r="B6" s="733" t="s">
        <v>3</v>
      </c>
      <c r="C6" s="1452">
        <v>4000</v>
      </c>
      <c r="D6" s="1453"/>
      <c r="E6" s="1453"/>
      <c r="F6" s="1453"/>
      <c r="G6" s="1454"/>
      <c r="H6" s="742"/>
      <c r="I6" s="742"/>
      <c r="J6" s="742"/>
      <c r="K6" s="742"/>
    </row>
    <row r="7" spans="1:11" ht="18" customHeight="1" x14ac:dyDescent="0.3">
      <c r="A7" s="633"/>
      <c r="B7" s="733" t="s">
        <v>4</v>
      </c>
      <c r="C7" s="1623">
        <v>2756</v>
      </c>
      <c r="D7" s="1624"/>
      <c r="E7" s="1624"/>
      <c r="F7" s="1624"/>
      <c r="G7" s="1625"/>
      <c r="H7" s="742"/>
      <c r="I7" s="742"/>
      <c r="J7" s="742"/>
      <c r="K7" s="742"/>
    </row>
    <row r="8" spans="1:11" ht="18" customHeight="1" x14ac:dyDescent="0.25">
      <c r="B8" s="740"/>
      <c r="C8" s="740"/>
      <c r="D8" s="740"/>
      <c r="E8" s="740"/>
      <c r="F8" s="740"/>
      <c r="G8" s="740"/>
      <c r="H8" s="740"/>
      <c r="I8" s="740"/>
      <c r="J8" s="740"/>
      <c r="K8" s="740"/>
    </row>
    <row r="9" spans="1:11" ht="18" customHeight="1" x14ac:dyDescent="0.3">
      <c r="A9" s="633"/>
      <c r="B9" s="733" t="s">
        <v>1</v>
      </c>
      <c r="C9" s="1361" t="s">
        <v>421</v>
      </c>
      <c r="D9" s="1362"/>
      <c r="E9" s="1362"/>
      <c r="F9" s="1362"/>
      <c r="G9" s="1364"/>
      <c r="H9" s="742"/>
      <c r="I9" s="742"/>
      <c r="J9" s="742"/>
      <c r="K9" s="742"/>
    </row>
    <row r="10" spans="1:11" ht="18" customHeight="1" x14ac:dyDescent="0.3">
      <c r="A10" s="633"/>
      <c r="B10" s="733" t="s">
        <v>2</v>
      </c>
      <c r="C10" s="1371" t="s">
        <v>422</v>
      </c>
      <c r="D10" s="1372"/>
      <c r="E10" s="1372"/>
      <c r="F10" s="1372"/>
      <c r="G10" s="1373"/>
      <c r="H10" s="742"/>
      <c r="I10" s="742"/>
      <c r="J10" s="742"/>
      <c r="K10" s="742"/>
    </row>
    <row r="11" spans="1:11" ht="18" customHeight="1" x14ac:dyDescent="0.3">
      <c r="A11" s="633"/>
      <c r="B11" s="733" t="s">
        <v>32</v>
      </c>
      <c r="C11" s="1361" t="s">
        <v>861</v>
      </c>
      <c r="D11" s="1362"/>
      <c r="E11" s="1362"/>
      <c r="F11" s="1362"/>
      <c r="G11" s="1362"/>
      <c r="H11" s="742"/>
      <c r="I11" s="742"/>
      <c r="J11" s="742"/>
      <c r="K11" s="742"/>
    </row>
    <row r="12" spans="1:11" ht="18" customHeight="1" x14ac:dyDescent="0.3">
      <c r="A12" s="633"/>
      <c r="B12" s="733"/>
      <c r="C12" s="733"/>
      <c r="D12" s="733"/>
      <c r="E12" s="733"/>
      <c r="F12" s="733"/>
      <c r="G12" s="733"/>
      <c r="H12" s="742"/>
      <c r="I12" s="742"/>
      <c r="J12" s="742"/>
      <c r="K12" s="742"/>
    </row>
    <row r="13" spans="1:11" ht="24.65" customHeight="1" x14ac:dyDescent="0.25">
      <c r="A13" s="633"/>
      <c r="B13" s="1363"/>
      <c r="C13" s="1363"/>
      <c r="D13" s="1363"/>
      <c r="E13" s="1363"/>
      <c r="F13" s="1363"/>
      <c r="G13" s="1363"/>
      <c r="H13" s="1363"/>
      <c r="I13" s="888"/>
      <c r="J13" s="742"/>
      <c r="K13" s="742"/>
    </row>
    <row r="14" spans="1:11" ht="18" customHeight="1" x14ac:dyDescent="0.3">
      <c r="A14" s="633"/>
      <c r="B14" s="640"/>
      <c r="C14" s="742"/>
      <c r="D14" s="742"/>
      <c r="E14" s="742"/>
      <c r="F14" s="742"/>
      <c r="G14" s="742"/>
      <c r="H14" s="742"/>
      <c r="I14" s="742"/>
      <c r="J14" s="742"/>
      <c r="K14" s="742"/>
    </row>
    <row r="15" spans="1:11" ht="18" customHeight="1" x14ac:dyDescent="0.3">
      <c r="A15" s="63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c r="I18" s="673">
        <v>0</v>
      </c>
      <c r="J18" s="647"/>
      <c r="K18" s="648">
        <f>(H18+I18)-J18</f>
        <v>0</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v>218</v>
      </c>
      <c r="G21" s="646">
        <v>39481</v>
      </c>
      <c r="H21" s="647">
        <v>47638.41</v>
      </c>
      <c r="I21" s="673">
        <v>35928.89</v>
      </c>
      <c r="J21" s="647"/>
      <c r="K21" s="648">
        <f t="shared" ref="K21:K34" si="0">(H21+I21)-J21</f>
        <v>83567.3</v>
      </c>
    </row>
    <row r="22" spans="1:11" ht="18" customHeight="1" x14ac:dyDescent="0.3">
      <c r="A22" s="639" t="s">
        <v>76</v>
      </c>
      <c r="B22" s="742" t="s">
        <v>6</v>
      </c>
      <c r="C22" s="742"/>
      <c r="D22" s="742"/>
      <c r="E22" s="742"/>
      <c r="F22" s="646"/>
      <c r="G22" s="646"/>
      <c r="H22" s="647"/>
      <c r="I22" s="673">
        <f t="shared" ref="I22:I34" si="1">H22*F$114</f>
        <v>0</v>
      </c>
      <c r="J22" s="647"/>
      <c r="K22" s="648">
        <f t="shared" si="0"/>
        <v>0</v>
      </c>
    </row>
    <row r="23" spans="1:11" ht="18" customHeight="1" x14ac:dyDescent="0.3">
      <c r="A23" s="639" t="s">
        <v>77</v>
      </c>
      <c r="B23" s="742" t="s">
        <v>43</v>
      </c>
      <c r="C23" s="742"/>
      <c r="D23" s="742"/>
      <c r="E23" s="742"/>
      <c r="F23" s="646"/>
      <c r="G23" s="646"/>
      <c r="H23" s="647"/>
      <c r="I23" s="673">
        <f t="shared" si="1"/>
        <v>0</v>
      </c>
      <c r="J23" s="647"/>
      <c r="K23" s="648">
        <f t="shared" si="0"/>
        <v>0</v>
      </c>
    </row>
    <row r="24" spans="1:11" ht="18" customHeight="1" x14ac:dyDescent="0.3">
      <c r="A24" s="639" t="s">
        <v>78</v>
      </c>
      <c r="B24" s="742" t="s">
        <v>44</v>
      </c>
      <c r="C24" s="742"/>
      <c r="D24" s="742"/>
      <c r="E24" s="742"/>
      <c r="F24" s="646"/>
      <c r="G24" s="646"/>
      <c r="H24" s="647"/>
      <c r="I24" s="673">
        <f t="shared" si="1"/>
        <v>0</v>
      </c>
      <c r="J24" s="647"/>
      <c r="K24" s="648">
        <f t="shared" si="0"/>
        <v>0</v>
      </c>
    </row>
    <row r="25" spans="1:11" ht="18" customHeight="1" x14ac:dyDescent="0.3">
      <c r="A25" s="639" t="s">
        <v>79</v>
      </c>
      <c r="B25" s="742" t="s">
        <v>5</v>
      </c>
      <c r="C25" s="742"/>
      <c r="D25" s="742"/>
      <c r="E25" s="742"/>
      <c r="F25" s="646"/>
      <c r="G25" s="646"/>
      <c r="H25" s="647"/>
      <c r="I25" s="673">
        <f t="shared" si="1"/>
        <v>0</v>
      </c>
      <c r="J25" s="647"/>
      <c r="K25" s="648">
        <f t="shared" si="0"/>
        <v>0</v>
      </c>
    </row>
    <row r="26" spans="1:11" ht="18" customHeight="1" x14ac:dyDescent="0.3">
      <c r="A26" s="639" t="s">
        <v>80</v>
      </c>
      <c r="B26" s="742" t="s">
        <v>45</v>
      </c>
      <c r="C26" s="742"/>
      <c r="D26" s="742"/>
      <c r="E26" s="742"/>
      <c r="F26" s="646"/>
      <c r="G26" s="646"/>
      <c r="H26" s="647"/>
      <c r="I26" s="673">
        <f t="shared" si="1"/>
        <v>0</v>
      </c>
      <c r="J26" s="647"/>
      <c r="K26" s="648">
        <f t="shared" si="0"/>
        <v>0</v>
      </c>
    </row>
    <row r="27" spans="1:11" ht="18" customHeight="1" x14ac:dyDescent="0.3">
      <c r="A27" s="639" t="s">
        <v>81</v>
      </c>
      <c r="B27" s="742" t="s">
        <v>46</v>
      </c>
      <c r="C27" s="742"/>
      <c r="D27" s="742"/>
      <c r="E27" s="742"/>
      <c r="F27" s="646">
        <v>2097</v>
      </c>
      <c r="G27" s="646">
        <v>4231</v>
      </c>
      <c r="H27" s="647">
        <v>58040.17</v>
      </c>
      <c r="I27" s="673">
        <v>43773.9</v>
      </c>
      <c r="J27" s="647">
        <v>19518</v>
      </c>
      <c r="K27" s="648">
        <f t="shared" si="0"/>
        <v>82296.070000000007</v>
      </c>
    </row>
    <row r="28" spans="1:11" ht="18" customHeight="1" x14ac:dyDescent="0.3">
      <c r="A28" s="639" t="s">
        <v>82</v>
      </c>
      <c r="B28" s="742" t="s">
        <v>47</v>
      </c>
      <c r="C28" s="742"/>
      <c r="D28" s="742"/>
      <c r="E28" s="742"/>
      <c r="F28" s="646"/>
      <c r="G28" s="646"/>
      <c r="H28" s="647"/>
      <c r="I28" s="673">
        <f t="shared" si="1"/>
        <v>0</v>
      </c>
      <c r="J28" s="647"/>
      <c r="K28" s="648">
        <f t="shared" si="0"/>
        <v>0</v>
      </c>
    </row>
    <row r="29" spans="1:11" ht="18" customHeight="1" x14ac:dyDescent="0.3">
      <c r="A29" s="639" t="s">
        <v>83</v>
      </c>
      <c r="B29" s="742" t="s">
        <v>48</v>
      </c>
      <c r="C29" s="742"/>
      <c r="D29" s="742"/>
      <c r="E29" s="742"/>
      <c r="F29" s="646"/>
      <c r="G29" s="646"/>
      <c r="H29" s="647"/>
      <c r="I29" s="673">
        <f t="shared" si="1"/>
        <v>0</v>
      </c>
      <c r="J29" s="647"/>
      <c r="K29" s="648">
        <f t="shared" si="0"/>
        <v>0</v>
      </c>
    </row>
    <row r="30" spans="1:11" ht="18" customHeight="1" x14ac:dyDescent="0.3">
      <c r="A30" s="639" t="s">
        <v>84</v>
      </c>
      <c r="B30" s="1351" t="s">
        <v>567</v>
      </c>
      <c r="C30" s="1352"/>
      <c r="D30" s="1353"/>
      <c r="E30" s="742"/>
      <c r="F30" s="646">
        <v>440</v>
      </c>
      <c r="G30" s="646">
        <v>4404</v>
      </c>
      <c r="H30" s="647">
        <v>74848.61</v>
      </c>
      <c r="I30" s="673">
        <v>56450.82</v>
      </c>
      <c r="J30" s="647"/>
      <c r="K30" s="648">
        <f t="shared" si="0"/>
        <v>131299.43</v>
      </c>
    </row>
    <row r="31" spans="1:11" ht="18" customHeight="1" x14ac:dyDescent="0.3">
      <c r="A31" s="639" t="s">
        <v>133</v>
      </c>
      <c r="B31" s="1351" t="s">
        <v>566</v>
      </c>
      <c r="C31" s="1352"/>
      <c r="D31" s="1353"/>
      <c r="E31" s="742"/>
      <c r="F31" s="646">
        <v>20092</v>
      </c>
      <c r="G31" s="646">
        <v>5906</v>
      </c>
      <c r="H31" s="647">
        <v>911064.79</v>
      </c>
      <c r="I31" s="673">
        <v>687125.06</v>
      </c>
      <c r="J31" s="647"/>
      <c r="K31" s="648">
        <f>(H31+I31)-J31</f>
        <v>1598189.85</v>
      </c>
    </row>
    <row r="32" spans="1:11" ht="18" customHeight="1" x14ac:dyDescent="0.3">
      <c r="A32" s="639" t="s">
        <v>134</v>
      </c>
      <c r="B32" s="1059" t="s">
        <v>565</v>
      </c>
      <c r="C32" s="1060"/>
      <c r="D32" s="1061"/>
      <c r="E32" s="742"/>
      <c r="F32" s="646">
        <v>2332</v>
      </c>
      <c r="G32" s="675">
        <v>531</v>
      </c>
      <c r="H32" s="647">
        <v>66217.070000000007</v>
      </c>
      <c r="I32" s="673">
        <v>49940.92</v>
      </c>
      <c r="J32" s="647"/>
      <c r="K32" s="648">
        <f>(H32+I32)-J32</f>
        <v>116157.99</v>
      </c>
    </row>
    <row r="33" spans="1:11" ht="18" customHeight="1" x14ac:dyDescent="0.3">
      <c r="A33" s="639" t="s">
        <v>135</v>
      </c>
      <c r="B33" s="1059" t="s">
        <v>862</v>
      </c>
      <c r="C33" s="1060"/>
      <c r="D33" s="1061"/>
      <c r="E33" s="742"/>
      <c r="F33" s="646">
        <v>2426</v>
      </c>
      <c r="G33" s="675">
        <v>1736</v>
      </c>
      <c r="H33" s="647">
        <v>92958.41</v>
      </c>
      <c r="I33" s="673">
        <v>70109.23</v>
      </c>
      <c r="J33" s="647">
        <v>84999</v>
      </c>
      <c r="K33" s="648">
        <f t="shared" si="0"/>
        <v>78068.640000000014</v>
      </c>
    </row>
    <row r="34" spans="1:11" ht="18" customHeight="1" x14ac:dyDescent="0.3">
      <c r="A34" s="639" t="s">
        <v>136</v>
      </c>
      <c r="B34" s="1351"/>
      <c r="C34" s="1352"/>
      <c r="D34" s="1353"/>
      <c r="E34" s="742"/>
      <c r="F34" s="646"/>
      <c r="G34" s="675"/>
      <c r="H34" s="647"/>
      <c r="I34" s="673">
        <f t="shared" si="1"/>
        <v>0</v>
      </c>
      <c r="J34" s="647"/>
      <c r="K34" s="648">
        <f t="shared" si="0"/>
        <v>0</v>
      </c>
    </row>
    <row r="35" spans="1:11" ht="18" customHeight="1" x14ac:dyDescent="0.25">
      <c r="A35" s="633"/>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27605</v>
      </c>
      <c r="G36" s="650">
        <f t="shared" si="2"/>
        <v>56289</v>
      </c>
      <c r="H36" s="650">
        <f t="shared" si="2"/>
        <v>1250767.46</v>
      </c>
      <c r="I36" s="648">
        <f t="shared" si="2"/>
        <v>943328.82000000007</v>
      </c>
      <c r="J36" s="648">
        <f t="shared" si="2"/>
        <v>104517</v>
      </c>
      <c r="K36" s="648">
        <f t="shared" si="2"/>
        <v>2089579.2800000003</v>
      </c>
    </row>
    <row r="37" spans="1:11" ht="18" customHeight="1" thickBot="1" x14ac:dyDescent="0.35">
      <c r="A37" s="633"/>
      <c r="B37" s="636"/>
      <c r="C37" s="742"/>
      <c r="D37" s="742"/>
      <c r="E37" s="742"/>
      <c r="F37" s="651"/>
      <c r="G37" s="651"/>
      <c r="H37" s="652"/>
      <c r="I37" s="652"/>
      <c r="J37" s="652"/>
      <c r="K37" s="668"/>
    </row>
    <row r="38" spans="1:11" ht="42.75" customHeight="1" x14ac:dyDescent="0.3">
      <c r="A38" s="63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v>4015</v>
      </c>
      <c r="G40" s="646"/>
      <c r="H40" s="647">
        <v>392987.99</v>
      </c>
      <c r="I40" s="673">
        <v>296391.53999999998</v>
      </c>
      <c r="J40" s="647"/>
      <c r="K40" s="648">
        <f t="shared" ref="K40:K47" si="3">(H40+I40)-J40</f>
        <v>689379.53</v>
      </c>
    </row>
    <row r="41" spans="1:11" ht="18" customHeight="1" x14ac:dyDescent="0.3">
      <c r="A41" s="639" t="s">
        <v>88</v>
      </c>
      <c r="B41" s="1359" t="s">
        <v>50</v>
      </c>
      <c r="C41" s="1359"/>
      <c r="D41" s="742"/>
      <c r="E41" s="742"/>
      <c r="F41" s="646">
        <v>89</v>
      </c>
      <c r="G41" s="646">
        <v>331</v>
      </c>
      <c r="H41" s="647">
        <v>2883.65</v>
      </c>
      <c r="I41" s="673">
        <v>2174.85</v>
      </c>
      <c r="J41" s="647"/>
      <c r="K41" s="648">
        <f t="shared" si="3"/>
        <v>5058.5</v>
      </c>
    </row>
    <row r="42" spans="1:11" ht="18" customHeight="1" x14ac:dyDescent="0.3">
      <c r="A42" s="639" t="s">
        <v>89</v>
      </c>
      <c r="B42" s="635" t="s">
        <v>11</v>
      </c>
      <c r="C42" s="742"/>
      <c r="D42" s="742"/>
      <c r="E42" s="742"/>
      <c r="F42" s="646">
        <v>3396</v>
      </c>
      <c r="G42" s="646">
        <v>489</v>
      </c>
      <c r="H42" s="647">
        <v>180613.48</v>
      </c>
      <c r="I42" s="673">
        <v>136218.68</v>
      </c>
      <c r="J42" s="647"/>
      <c r="K42" s="648">
        <f t="shared" si="3"/>
        <v>316832.16000000003</v>
      </c>
    </row>
    <row r="43" spans="1:11" ht="18" customHeight="1" x14ac:dyDescent="0.3">
      <c r="A43" s="639" t="s">
        <v>90</v>
      </c>
      <c r="B43" s="670" t="s">
        <v>10</v>
      </c>
      <c r="C43" s="642"/>
      <c r="D43" s="642"/>
      <c r="E43" s="742"/>
      <c r="F43" s="646"/>
      <c r="G43" s="646">
        <v>4</v>
      </c>
      <c r="H43" s="647">
        <v>4000</v>
      </c>
      <c r="I43" s="673">
        <v>3016.8</v>
      </c>
      <c r="J43" s="647"/>
      <c r="K43" s="648">
        <f t="shared" si="3"/>
        <v>7016.8</v>
      </c>
    </row>
    <row r="44" spans="1:11" ht="18" customHeight="1" x14ac:dyDescent="0.3">
      <c r="A44" s="639" t="s">
        <v>91</v>
      </c>
      <c r="B44" s="1351" t="s">
        <v>568</v>
      </c>
      <c r="C44" s="1352"/>
      <c r="D44" s="1353"/>
      <c r="E44" s="742"/>
      <c r="F44" s="677">
        <v>1216</v>
      </c>
      <c r="G44" s="677">
        <v>3138</v>
      </c>
      <c r="H44" s="647">
        <v>41162</v>
      </c>
      <c r="I44" s="678">
        <v>31044.35</v>
      </c>
      <c r="J44" s="677"/>
      <c r="K44" s="679">
        <f t="shared" si="3"/>
        <v>72206.350000000006</v>
      </c>
    </row>
    <row r="45" spans="1:11" ht="18" customHeight="1" x14ac:dyDescent="0.3">
      <c r="A45" s="639" t="s">
        <v>139</v>
      </c>
      <c r="B45" s="1351" t="s">
        <v>863</v>
      </c>
      <c r="C45" s="1352"/>
      <c r="D45" s="1353"/>
      <c r="E45" s="742"/>
      <c r="F45" s="646">
        <v>36501</v>
      </c>
      <c r="G45" s="646">
        <v>2700</v>
      </c>
      <c r="H45" s="647">
        <v>2260966.7000000002</v>
      </c>
      <c r="I45" s="673">
        <v>0</v>
      </c>
      <c r="J45" s="647">
        <v>2260966.7000000002</v>
      </c>
      <c r="K45" s="648">
        <f t="shared" si="3"/>
        <v>0</v>
      </c>
    </row>
    <row r="46" spans="1:11" ht="18" customHeight="1" x14ac:dyDescent="0.3">
      <c r="A46" s="639" t="s">
        <v>140</v>
      </c>
      <c r="B46" s="1351" t="s">
        <v>864</v>
      </c>
      <c r="C46" s="1352"/>
      <c r="D46" s="1353"/>
      <c r="E46" s="742"/>
      <c r="F46" s="646">
        <v>2080</v>
      </c>
      <c r="G46" s="646">
        <v>3000</v>
      </c>
      <c r="H46" s="647">
        <v>37658.879999999997</v>
      </c>
      <c r="I46" s="673">
        <v>0</v>
      </c>
      <c r="J46" s="647"/>
      <c r="K46" s="648">
        <f t="shared" si="3"/>
        <v>37658.879999999997</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0"/>
      <c r="C48" s="740"/>
      <c r="D48" s="740"/>
      <c r="E48" s="740"/>
      <c r="F48" s="740"/>
      <c r="G48" s="740"/>
      <c r="H48" s="740"/>
      <c r="I48" s="740"/>
      <c r="J48" s="740"/>
      <c r="K48" s="740"/>
    </row>
    <row r="49" spans="1:11" ht="18" customHeight="1" x14ac:dyDescent="0.3">
      <c r="A49" s="639" t="s">
        <v>142</v>
      </c>
      <c r="B49" s="636" t="s">
        <v>143</v>
      </c>
      <c r="C49" s="742"/>
      <c r="D49" s="742"/>
      <c r="E49" s="636" t="s">
        <v>7</v>
      </c>
      <c r="F49" s="654">
        <f t="shared" ref="F49:K49" si="4">SUM(F40:F47)</f>
        <v>47297</v>
      </c>
      <c r="G49" s="654">
        <f t="shared" si="4"/>
        <v>9662</v>
      </c>
      <c r="H49" s="648">
        <f t="shared" si="4"/>
        <v>2920272.7</v>
      </c>
      <c r="I49" s="648">
        <f t="shared" si="4"/>
        <v>468846.21999999991</v>
      </c>
      <c r="J49" s="648">
        <f t="shared" si="4"/>
        <v>2260966.7000000002</v>
      </c>
      <c r="K49" s="648">
        <f t="shared" si="4"/>
        <v>1128152.22</v>
      </c>
    </row>
    <row r="50" spans="1:11" ht="18" customHeight="1" thickBot="1" x14ac:dyDescent="0.3">
      <c r="A50" s="633"/>
      <c r="B50" s="742"/>
      <c r="C50" s="742"/>
      <c r="D50" s="742"/>
      <c r="E50" s="742"/>
      <c r="F50" s="742"/>
      <c r="G50" s="655"/>
      <c r="H50" s="655"/>
      <c r="I50" s="655"/>
      <c r="J50" s="655"/>
      <c r="K50" s="655"/>
    </row>
    <row r="51" spans="1:11" ht="42.75" customHeight="1" x14ac:dyDescent="0.3">
      <c r="A51" s="63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423</v>
      </c>
      <c r="C53" s="1355"/>
      <c r="D53" s="1356"/>
      <c r="E53" s="742"/>
      <c r="F53" s="646">
        <v>3869</v>
      </c>
      <c r="G53" s="646">
        <v>2591</v>
      </c>
      <c r="H53" s="647">
        <v>355615.62</v>
      </c>
      <c r="I53" s="673">
        <v>268205.3</v>
      </c>
      <c r="J53" s="647">
        <v>349175.56</v>
      </c>
      <c r="K53" s="648">
        <f t="shared" ref="K53:K62" si="5">(H53+I53)-J53</f>
        <v>274645.35999999993</v>
      </c>
    </row>
    <row r="54" spans="1:11" ht="18" customHeight="1" x14ac:dyDescent="0.3">
      <c r="A54" s="639" t="s">
        <v>93</v>
      </c>
      <c r="B54" s="1062" t="s">
        <v>865</v>
      </c>
      <c r="C54" s="1063"/>
      <c r="D54" s="1064"/>
      <c r="E54" s="742"/>
      <c r="F54" s="646">
        <v>12305</v>
      </c>
      <c r="G54" s="646">
        <v>4758</v>
      </c>
      <c r="H54" s="647">
        <v>596771</v>
      </c>
      <c r="I54" s="673">
        <v>0</v>
      </c>
      <c r="J54" s="647">
        <v>596771</v>
      </c>
      <c r="K54" s="648">
        <f t="shared" si="5"/>
        <v>0</v>
      </c>
    </row>
    <row r="55" spans="1:11" ht="18" customHeight="1" x14ac:dyDescent="0.3">
      <c r="A55" s="639" t="s">
        <v>94</v>
      </c>
      <c r="B55" s="1354" t="s">
        <v>425</v>
      </c>
      <c r="C55" s="1355"/>
      <c r="D55" s="1356"/>
      <c r="E55" s="742"/>
      <c r="F55" s="646">
        <v>10003</v>
      </c>
      <c r="G55" s="646">
        <v>12181</v>
      </c>
      <c r="H55" s="647">
        <v>257495.72</v>
      </c>
      <c r="I55" s="673">
        <v>194203.27</v>
      </c>
      <c r="J55" s="647"/>
      <c r="K55" s="648">
        <f>(H55+I55)-J55</f>
        <v>451698.99</v>
      </c>
    </row>
    <row r="56" spans="1:11" ht="18" customHeight="1" x14ac:dyDescent="0.3">
      <c r="A56" s="639" t="s">
        <v>95</v>
      </c>
      <c r="B56" s="1354" t="s">
        <v>426</v>
      </c>
      <c r="C56" s="1355"/>
      <c r="D56" s="1356"/>
      <c r="E56" s="742"/>
      <c r="F56" s="646">
        <v>6638</v>
      </c>
      <c r="G56" s="646">
        <v>4212</v>
      </c>
      <c r="H56" s="647">
        <v>580940.5</v>
      </c>
      <c r="I56" s="673">
        <v>438145.33</v>
      </c>
      <c r="J56" s="647">
        <v>466699.7</v>
      </c>
      <c r="K56" s="648">
        <f>(H56+I56)-J56</f>
        <v>552386.13000000012</v>
      </c>
    </row>
    <row r="57" spans="1:11" ht="18" customHeight="1" x14ac:dyDescent="0.3">
      <c r="A57" s="639" t="s">
        <v>96</v>
      </c>
      <c r="B57" s="1354" t="s">
        <v>569</v>
      </c>
      <c r="C57" s="1355"/>
      <c r="D57" s="1356"/>
      <c r="E57" s="742"/>
      <c r="F57" s="646">
        <v>5232</v>
      </c>
      <c r="G57" s="646">
        <v>511</v>
      </c>
      <c r="H57" s="647">
        <v>326753.40000000002</v>
      </c>
      <c r="I57" s="673">
        <v>246437.41</v>
      </c>
      <c r="J57" s="647">
        <v>263760.34999999998</v>
      </c>
      <c r="K57" s="648">
        <f t="shared" si="5"/>
        <v>309430.46000000008</v>
      </c>
    </row>
    <row r="58" spans="1:11" ht="18" customHeight="1" x14ac:dyDescent="0.3">
      <c r="A58" s="639" t="s">
        <v>97</v>
      </c>
      <c r="B58" s="1062" t="s">
        <v>424</v>
      </c>
      <c r="C58" s="1063"/>
      <c r="D58" s="1064"/>
      <c r="E58" s="742"/>
      <c r="F58" s="646"/>
      <c r="G58" s="646"/>
      <c r="H58" s="647">
        <v>3761551.85</v>
      </c>
      <c r="I58" s="673">
        <v>2836962.41</v>
      </c>
      <c r="J58" s="647"/>
      <c r="K58" s="648">
        <f t="shared" si="5"/>
        <v>6598514.2599999998</v>
      </c>
    </row>
    <row r="59" spans="1:11" ht="18" customHeight="1" x14ac:dyDescent="0.3">
      <c r="A59" s="639" t="s">
        <v>98</v>
      </c>
      <c r="B59" s="1354" t="s">
        <v>655</v>
      </c>
      <c r="C59" s="1355"/>
      <c r="D59" s="1356"/>
      <c r="E59" s="742"/>
      <c r="F59" s="646">
        <v>1450</v>
      </c>
      <c r="G59" s="646">
        <v>726</v>
      </c>
      <c r="H59" s="647">
        <v>271708.75</v>
      </c>
      <c r="I59" s="673">
        <v>204922.74</v>
      </c>
      <c r="J59" s="647">
        <v>83803.820000000007</v>
      </c>
      <c r="K59" s="648">
        <f t="shared" si="5"/>
        <v>392827.67</v>
      </c>
    </row>
    <row r="60" spans="1:11" ht="18" customHeight="1" x14ac:dyDescent="0.3">
      <c r="A60" s="639" t="s">
        <v>99</v>
      </c>
      <c r="B60" s="1062" t="s">
        <v>866</v>
      </c>
      <c r="C60" s="1063"/>
      <c r="D60" s="1064"/>
      <c r="E60" s="742"/>
      <c r="F60" s="646">
        <v>7266</v>
      </c>
      <c r="G60" s="646">
        <v>54</v>
      </c>
      <c r="H60" s="647">
        <v>549462.05000000005</v>
      </c>
      <c r="I60" s="673">
        <v>292944</v>
      </c>
      <c r="J60" s="647">
        <v>47231.87</v>
      </c>
      <c r="K60" s="648">
        <f t="shared" si="5"/>
        <v>795174.18</v>
      </c>
    </row>
    <row r="61" spans="1:11" ht="18" customHeight="1" x14ac:dyDescent="0.3">
      <c r="A61" s="639" t="s">
        <v>100</v>
      </c>
      <c r="B61" s="1062" t="s">
        <v>867</v>
      </c>
      <c r="C61" s="1063"/>
      <c r="D61" s="1064"/>
      <c r="E61" s="742"/>
      <c r="F61" s="646">
        <v>8264</v>
      </c>
      <c r="G61" s="646">
        <v>1051</v>
      </c>
      <c r="H61" s="647">
        <v>538176.91</v>
      </c>
      <c r="I61" s="673">
        <v>43054.15</v>
      </c>
      <c r="J61" s="647"/>
      <c r="K61" s="648">
        <f t="shared" si="5"/>
        <v>581231.06000000006</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55027</v>
      </c>
      <c r="G64" s="650">
        <f t="shared" si="6"/>
        <v>26084</v>
      </c>
      <c r="H64" s="648">
        <f t="shared" si="6"/>
        <v>7238475.7999999998</v>
      </c>
      <c r="I64" s="648">
        <f t="shared" si="6"/>
        <v>4524874.6100000003</v>
      </c>
      <c r="J64" s="648">
        <f t="shared" si="6"/>
        <v>1807442.3</v>
      </c>
      <c r="K64" s="648">
        <f t="shared" si="6"/>
        <v>9955908.1099999994</v>
      </c>
    </row>
    <row r="65" spans="1:11" ht="18" customHeight="1" x14ac:dyDescent="0.25">
      <c r="A65" s="633"/>
      <c r="B65" s="742"/>
      <c r="C65" s="742"/>
      <c r="D65" s="742"/>
      <c r="E65" s="742"/>
      <c r="F65" s="671"/>
      <c r="G65" s="671"/>
      <c r="H65" s="671"/>
      <c r="I65" s="671"/>
      <c r="J65" s="671"/>
      <c r="K65" s="671"/>
    </row>
    <row r="66" spans="1:11" ht="42.75" customHeight="1" x14ac:dyDescent="0.3">
      <c r="A66" s="63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v>865</v>
      </c>
      <c r="G68" s="674"/>
      <c r="H68" s="674">
        <v>114083.95</v>
      </c>
      <c r="I68" s="673">
        <v>86042.12</v>
      </c>
      <c r="J68" s="674"/>
      <c r="K68" s="648">
        <f>(H68+I68)-J68</f>
        <v>200126.07</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1062"/>
      <c r="C70" s="1063"/>
      <c r="D70" s="1064"/>
      <c r="E70" s="636"/>
      <c r="F70" s="658"/>
      <c r="G70" s="658"/>
      <c r="H70" s="659"/>
      <c r="I70" s="673">
        <v>0</v>
      </c>
      <c r="J70" s="659"/>
      <c r="K70" s="648">
        <f>(H70+I70)-J70</f>
        <v>0</v>
      </c>
    </row>
    <row r="71" spans="1:11" ht="18" customHeight="1" x14ac:dyDescent="0.3">
      <c r="A71" s="639" t="s">
        <v>179</v>
      </c>
      <c r="B71" s="1062"/>
      <c r="C71" s="1063"/>
      <c r="D71" s="1064"/>
      <c r="E71" s="636"/>
      <c r="F71" s="658"/>
      <c r="G71" s="658"/>
      <c r="H71" s="659"/>
      <c r="I71" s="673">
        <v>0</v>
      </c>
      <c r="J71" s="659"/>
      <c r="K71" s="648">
        <f>(H71+I71)-J71</f>
        <v>0</v>
      </c>
    </row>
    <row r="72" spans="1:11" ht="18" customHeight="1" x14ac:dyDescent="0.3">
      <c r="A72" s="639" t="s">
        <v>180</v>
      </c>
      <c r="B72" s="1077"/>
      <c r="C72" s="1076"/>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865</v>
      </c>
      <c r="G74" s="653">
        <f t="shared" si="7"/>
        <v>0</v>
      </c>
      <c r="H74" s="653">
        <f t="shared" si="7"/>
        <v>114083.95</v>
      </c>
      <c r="I74" s="676">
        <f t="shared" si="7"/>
        <v>86042.12</v>
      </c>
      <c r="J74" s="653">
        <f t="shared" si="7"/>
        <v>0</v>
      </c>
      <c r="K74" s="649">
        <f t="shared" si="7"/>
        <v>200126.07</v>
      </c>
    </row>
    <row r="75" spans="1:11" ht="42.75" customHeight="1" x14ac:dyDescent="0.3">
      <c r="A75" s="63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v>104</v>
      </c>
      <c r="G77" s="646">
        <v>57</v>
      </c>
      <c r="H77" s="647">
        <v>333530.74</v>
      </c>
      <c r="I77" s="673">
        <v>25288.880000000001</v>
      </c>
      <c r="J77" s="647"/>
      <c r="K77" s="648">
        <f>(H77+I77)-J77</f>
        <v>358819.62</v>
      </c>
    </row>
    <row r="78" spans="1:11" ht="18" customHeight="1" x14ac:dyDescent="0.3">
      <c r="A78" s="639" t="s">
        <v>108</v>
      </c>
      <c r="B78" s="635" t="s">
        <v>55</v>
      </c>
      <c r="C78" s="742"/>
      <c r="D78" s="742"/>
      <c r="E78" s="742"/>
      <c r="F78" s="646"/>
      <c r="G78" s="646"/>
      <c r="H78" s="647"/>
      <c r="I78" s="673"/>
      <c r="J78" s="647"/>
      <c r="K78" s="648">
        <f>(H78+I78)-J78</f>
        <v>0</v>
      </c>
    </row>
    <row r="79" spans="1:11" ht="18" customHeight="1" x14ac:dyDescent="0.3">
      <c r="A79" s="639" t="s">
        <v>109</v>
      </c>
      <c r="B79" s="635" t="s">
        <v>13</v>
      </c>
      <c r="C79" s="742"/>
      <c r="D79" s="742"/>
      <c r="E79" s="742"/>
      <c r="F79" s="646">
        <v>397</v>
      </c>
      <c r="G79" s="646">
        <v>13583</v>
      </c>
      <c r="H79" s="647">
        <v>56558.73</v>
      </c>
      <c r="I79" s="673">
        <v>42656.59</v>
      </c>
      <c r="J79" s="647"/>
      <c r="K79" s="648">
        <f>(H79+I79)-J79</f>
        <v>99215.32</v>
      </c>
    </row>
    <row r="80" spans="1:11" ht="18" customHeight="1" x14ac:dyDescent="0.3">
      <c r="A80" s="639" t="s">
        <v>110</v>
      </c>
      <c r="B80" s="635" t="s">
        <v>56</v>
      </c>
      <c r="C80" s="742"/>
      <c r="D80" s="742"/>
      <c r="E80" s="742"/>
      <c r="F80" s="646">
        <v>1993</v>
      </c>
      <c r="G80" s="646"/>
      <c r="H80" s="647">
        <v>86627.81</v>
      </c>
      <c r="I80" s="673">
        <v>65334.69</v>
      </c>
      <c r="J80" s="647"/>
      <c r="K80" s="648">
        <f>(H80+I80)-J80</f>
        <v>151962.5</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2494</v>
      </c>
      <c r="G82" s="653">
        <f t="shared" si="8"/>
        <v>13640</v>
      </c>
      <c r="H82" s="649">
        <f t="shared" si="8"/>
        <v>476717.27999999997</v>
      </c>
      <c r="I82" s="649">
        <f t="shared" si="8"/>
        <v>133280.16</v>
      </c>
      <c r="J82" s="649">
        <f t="shared" si="8"/>
        <v>0</v>
      </c>
      <c r="K82" s="649">
        <f t="shared" si="8"/>
        <v>609997.43999999994</v>
      </c>
    </row>
    <row r="83" spans="1:11" ht="18" customHeight="1" thickBot="1" x14ac:dyDescent="0.35">
      <c r="A83" s="639"/>
      <c r="B83" s="742"/>
      <c r="C83" s="742"/>
      <c r="D83" s="742"/>
      <c r="E83" s="742"/>
      <c r="F83" s="655"/>
      <c r="G83" s="655"/>
      <c r="H83" s="655"/>
      <c r="I83" s="655"/>
      <c r="J83" s="655"/>
      <c r="K83" s="655"/>
    </row>
    <row r="84" spans="1:11" ht="42.75" customHeight="1" x14ac:dyDescent="0.3">
      <c r="A84" s="63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c r="I86" s="673">
        <f t="shared" ref="I86:I96" si="9">H86*F$114</f>
        <v>0</v>
      </c>
      <c r="J86" s="647"/>
      <c r="K86" s="648">
        <f t="shared" ref="K86:K96" si="10">(H86+I86)-J86</f>
        <v>0</v>
      </c>
    </row>
    <row r="87" spans="1:11" ht="18" customHeight="1" x14ac:dyDescent="0.3">
      <c r="A87" s="639" t="s">
        <v>114</v>
      </c>
      <c r="B87" s="635" t="s">
        <v>14</v>
      </c>
      <c r="C87" s="742"/>
      <c r="D87" s="742"/>
      <c r="E87" s="742"/>
      <c r="F87" s="646"/>
      <c r="G87" s="646"/>
      <c r="H87" s="647"/>
      <c r="I87" s="673">
        <f t="shared" si="9"/>
        <v>0</v>
      </c>
      <c r="J87" s="647"/>
      <c r="K87" s="648">
        <f t="shared" si="10"/>
        <v>0</v>
      </c>
    </row>
    <row r="88" spans="1:11" ht="18" customHeight="1" x14ac:dyDescent="0.3">
      <c r="A88" s="639" t="s">
        <v>115</v>
      </c>
      <c r="B88" s="635" t="s">
        <v>116</v>
      </c>
      <c r="C88" s="742"/>
      <c r="D88" s="742"/>
      <c r="E88" s="742"/>
      <c r="F88" s="646"/>
      <c r="G88" s="646"/>
      <c r="H88" s="647"/>
      <c r="I88" s="673">
        <f t="shared" si="9"/>
        <v>0</v>
      </c>
      <c r="J88" s="647"/>
      <c r="K88" s="648">
        <f t="shared" si="10"/>
        <v>0</v>
      </c>
    </row>
    <row r="89" spans="1:11" ht="18" customHeight="1" x14ac:dyDescent="0.3">
      <c r="A89" s="639" t="s">
        <v>117</v>
      </c>
      <c r="B89" s="635" t="s">
        <v>58</v>
      </c>
      <c r="C89" s="742"/>
      <c r="D89" s="742"/>
      <c r="E89" s="742"/>
      <c r="F89" s="646"/>
      <c r="G89" s="646"/>
      <c r="H89" s="647"/>
      <c r="I89" s="673">
        <f t="shared" si="9"/>
        <v>0</v>
      </c>
      <c r="J89" s="647"/>
      <c r="K89" s="648">
        <f t="shared" si="10"/>
        <v>0</v>
      </c>
    </row>
    <row r="90" spans="1:11" ht="18" customHeight="1" x14ac:dyDescent="0.3">
      <c r="A90" s="639" t="s">
        <v>118</v>
      </c>
      <c r="B90" s="1359" t="s">
        <v>59</v>
      </c>
      <c r="C90" s="1359"/>
      <c r="D90" s="742"/>
      <c r="E90" s="742"/>
      <c r="F90" s="646"/>
      <c r="G90" s="646"/>
      <c r="H90" s="647"/>
      <c r="I90" s="673">
        <f t="shared" si="9"/>
        <v>0</v>
      </c>
      <c r="J90" s="647"/>
      <c r="K90" s="648">
        <f t="shared" si="10"/>
        <v>0</v>
      </c>
    </row>
    <row r="91" spans="1:11" ht="18" customHeight="1" x14ac:dyDescent="0.3">
      <c r="A91" s="639" t="s">
        <v>119</v>
      </c>
      <c r="B91" s="635" t="s">
        <v>60</v>
      </c>
      <c r="C91" s="742"/>
      <c r="D91" s="742"/>
      <c r="E91" s="742"/>
      <c r="F91" s="646">
        <v>802</v>
      </c>
      <c r="G91" s="646"/>
      <c r="H91" s="647">
        <v>208549.12</v>
      </c>
      <c r="I91" s="673">
        <v>157287.74</v>
      </c>
      <c r="J91" s="647"/>
      <c r="K91" s="648">
        <f t="shared" si="10"/>
        <v>365836.86</v>
      </c>
    </row>
    <row r="92" spans="1:11" ht="18" customHeight="1" x14ac:dyDescent="0.3">
      <c r="A92" s="639" t="s">
        <v>120</v>
      </c>
      <c r="B92" s="635" t="s">
        <v>121</v>
      </c>
      <c r="C92" s="742"/>
      <c r="D92" s="742"/>
      <c r="E92" s="742"/>
      <c r="F92" s="661"/>
      <c r="G92" s="661"/>
      <c r="H92" s="662"/>
      <c r="I92" s="673">
        <f t="shared" si="9"/>
        <v>0</v>
      </c>
      <c r="J92" s="662"/>
      <c r="K92" s="648">
        <f t="shared" si="10"/>
        <v>0</v>
      </c>
    </row>
    <row r="93" spans="1:11" ht="18" customHeight="1" x14ac:dyDescent="0.3">
      <c r="A93" s="639" t="s">
        <v>122</v>
      </c>
      <c r="B93" s="635" t="s">
        <v>123</v>
      </c>
      <c r="C93" s="742"/>
      <c r="D93" s="742"/>
      <c r="E93" s="742"/>
      <c r="F93" s="646"/>
      <c r="G93" s="646"/>
      <c r="H93" s="647"/>
      <c r="I93" s="673">
        <f t="shared" si="9"/>
        <v>0</v>
      </c>
      <c r="J93" s="647"/>
      <c r="K93" s="648">
        <f t="shared" si="10"/>
        <v>0</v>
      </c>
    </row>
    <row r="94" spans="1:11" ht="18" customHeight="1" x14ac:dyDescent="0.3">
      <c r="A94" s="639" t="s">
        <v>124</v>
      </c>
      <c r="B94" s="1354"/>
      <c r="C94" s="1355"/>
      <c r="D94" s="1356"/>
      <c r="E94" s="742"/>
      <c r="F94" s="646"/>
      <c r="G94" s="646"/>
      <c r="H94" s="647"/>
      <c r="I94" s="673">
        <f t="shared" si="9"/>
        <v>0</v>
      </c>
      <c r="J94" s="647"/>
      <c r="K94" s="648">
        <f t="shared" si="10"/>
        <v>0</v>
      </c>
    </row>
    <row r="95" spans="1:11" ht="18" customHeight="1" x14ac:dyDescent="0.3">
      <c r="A95" s="639" t="s">
        <v>125</v>
      </c>
      <c r="B95" s="1354"/>
      <c r="C95" s="1355"/>
      <c r="D95" s="1356"/>
      <c r="E95" s="742"/>
      <c r="F95" s="646"/>
      <c r="G95" s="646"/>
      <c r="H95" s="647"/>
      <c r="I95" s="673">
        <f t="shared" si="9"/>
        <v>0</v>
      </c>
      <c r="J95" s="647"/>
      <c r="K95" s="648">
        <f t="shared" si="10"/>
        <v>0</v>
      </c>
    </row>
    <row r="96" spans="1:11" ht="18" customHeight="1" x14ac:dyDescent="0.3">
      <c r="A96" s="639" t="s">
        <v>126</v>
      </c>
      <c r="B96" s="1354"/>
      <c r="C96" s="1355"/>
      <c r="D96" s="1356"/>
      <c r="E96" s="742"/>
      <c r="F96" s="646"/>
      <c r="G96" s="646"/>
      <c r="H96" s="647"/>
      <c r="I96" s="673">
        <f t="shared" si="9"/>
        <v>0</v>
      </c>
      <c r="J96" s="647"/>
      <c r="K96" s="648">
        <f t="shared" si="10"/>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802</v>
      </c>
      <c r="G98" s="650">
        <f t="shared" si="11"/>
        <v>0</v>
      </c>
      <c r="H98" s="650">
        <f t="shared" si="11"/>
        <v>208549.12</v>
      </c>
      <c r="I98" s="650">
        <f t="shared" si="11"/>
        <v>157287.74</v>
      </c>
      <c r="J98" s="650">
        <f t="shared" si="11"/>
        <v>0</v>
      </c>
      <c r="K98" s="650">
        <f t="shared" si="11"/>
        <v>365836.86</v>
      </c>
    </row>
    <row r="99" spans="1:11" ht="18" customHeight="1" thickBot="1" x14ac:dyDescent="0.35">
      <c r="A99" s="633"/>
      <c r="B99" s="636"/>
      <c r="C99" s="742"/>
      <c r="D99" s="742"/>
      <c r="E99" s="742"/>
      <c r="F99" s="655"/>
      <c r="G99" s="655"/>
      <c r="H99" s="655"/>
      <c r="I99" s="655"/>
      <c r="J99" s="655"/>
      <c r="K99" s="655"/>
    </row>
    <row r="100" spans="1:11" ht="42.75" customHeight="1" x14ac:dyDescent="0.3">
      <c r="A100" s="63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v>364</v>
      </c>
      <c r="G102" s="646"/>
      <c r="H102" s="647">
        <v>45001.91</v>
      </c>
      <c r="I102" s="673">
        <v>33938.43</v>
      </c>
      <c r="J102" s="647"/>
      <c r="K102" s="648">
        <f>(H102+I102)-J102</f>
        <v>78940.34</v>
      </c>
    </row>
    <row r="103" spans="1:11" ht="18" customHeight="1" x14ac:dyDescent="0.3">
      <c r="A103" s="639" t="s">
        <v>132</v>
      </c>
      <c r="B103" s="1357" t="s">
        <v>62</v>
      </c>
      <c r="C103" s="1357"/>
      <c r="D103" s="742"/>
      <c r="E103" s="742"/>
      <c r="F103" s="646">
        <v>14</v>
      </c>
      <c r="G103" s="646"/>
      <c r="H103" s="647">
        <v>1697.11</v>
      </c>
      <c r="I103" s="673">
        <f>H103*F$114</f>
        <v>1279.9603619999998</v>
      </c>
      <c r="J103" s="647"/>
      <c r="K103" s="648">
        <f>(H103+I103)-J103</f>
        <v>2977.0703619999995</v>
      </c>
    </row>
    <row r="104" spans="1:11" ht="18" customHeight="1" x14ac:dyDescent="0.3">
      <c r="A104" s="639" t="s">
        <v>128</v>
      </c>
      <c r="B104" s="1354"/>
      <c r="C104" s="1355"/>
      <c r="D104" s="1356"/>
      <c r="E104" s="742"/>
      <c r="F104" s="646"/>
      <c r="G104" s="646"/>
      <c r="H104" s="647"/>
      <c r="I104" s="673">
        <f>H104*F$114</f>
        <v>0</v>
      </c>
      <c r="J104" s="647"/>
      <c r="K104" s="648">
        <f>(H104+I104)-J104</f>
        <v>0</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A107" s="633"/>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650">
        <f t="shared" ref="F108:K108" si="12">SUM(F102:F106)</f>
        <v>378</v>
      </c>
      <c r="G108" s="650">
        <f t="shared" si="12"/>
        <v>0</v>
      </c>
      <c r="H108" s="648">
        <f t="shared" si="12"/>
        <v>46699.020000000004</v>
      </c>
      <c r="I108" s="648">
        <f t="shared" si="12"/>
        <v>35218.390361999998</v>
      </c>
      <c r="J108" s="648">
        <f t="shared" si="12"/>
        <v>0</v>
      </c>
      <c r="K108" s="648">
        <f t="shared" si="12"/>
        <v>81917.410361999995</v>
      </c>
    </row>
    <row r="109" spans="1:11" s="29" customFormat="1" ht="18" customHeight="1" thickBot="1" x14ac:dyDescent="0.35">
      <c r="A109" s="643"/>
      <c r="B109" s="644"/>
      <c r="C109" s="645"/>
      <c r="D109" s="645"/>
      <c r="E109" s="645"/>
      <c r="F109" s="655"/>
      <c r="G109" s="655"/>
      <c r="H109" s="655"/>
      <c r="I109" s="655"/>
      <c r="J109" s="655"/>
      <c r="K109" s="655"/>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v>5473873</v>
      </c>
      <c r="G111" s="742"/>
      <c r="H111" s="742"/>
      <c r="I111" s="742"/>
      <c r="J111" s="742"/>
      <c r="K111" s="742"/>
    </row>
    <row r="112" spans="1:11" ht="18" customHeight="1" x14ac:dyDescent="0.3">
      <c r="A112" s="63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0"/>
      <c r="H113" s="740"/>
      <c r="I113" s="740"/>
      <c r="J113" s="740"/>
      <c r="K113" s="740"/>
    </row>
    <row r="114" spans="1:11" ht="18" customHeight="1" x14ac:dyDescent="0.3">
      <c r="A114" s="639" t="s">
        <v>171</v>
      </c>
      <c r="B114" s="635" t="s">
        <v>35</v>
      </c>
      <c r="C114" s="742"/>
      <c r="D114" s="742"/>
      <c r="E114" s="742"/>
      <c r="F114" s="656">
        <v>0.75419999999999998</v>
      </c>
      <c r="G114" s="740"/>
      <c r="H114" s="740"/>
      <c r="I114" s="740"/>
      <c r="J114" s="740"/>
      <c r="K114" s="740"/>
    </row>
    <row r="115" spans="1:11" ht="18" customHeight="1" x14ac:dyDescent="0.3">
      <c r="A115" s="639"/>
      <c r="B115" s="636"/>
      <c r="C115" s="742"/>
      <c r="D115" s="742"/>
      <c r="E115" s="742"/>
      <c r="F115" s="742"/>
      <c r="G115" s="740"/>
      <c r="H115" s="740"/>
      <c r="I115" s="740"/>
      <c r="J115" s="740"/>
      <c r="K115" s="740"/>
    </row>
    <row r="116" spans="1:11" ht="18" customHeight="1" x14ac:dyDescent="0.3">
      <c r="A116" s="639" t="s">
        <v>170</v>
      </c>
      <c r="B116" s="636" t="s">
        <v>16</v>
      </c>
      <c r="C116" s="742"/>
      <c r="D116" s="742"/>
      <c r="E116" s="742"/>
      <c r="F116" s="742"/>
      <c r="G116" s="740"/>
      <c r="H116" s="740"/>
      <c r="I116" s="740"/>
      <c r="J116" s="740"/>
      <c r="K116" s="740"/>
    </row>
    <row r="117" spans="1:11" ht="18" customHeight="1" x14ac:dyDescent="0.3">
      <c r="A117" s="639" t="s">
        <v>172</v>
      </c>
      <c r="B117" s="635" t="s">
        <v>17</v>
      </c>
      <c r="C117" s="742"/>
      <c r="D117" s="742"/>
      <c r="E117" s="742"/>
      <c r="F117" s="647">
        <v>218330836</v>
      </c>
      <c r="G117" s="740"/>
      <c r="H117" s="740"/>
      <c r="I117" s="740"/>
      <c r="J117" s="740"/>
      <c r="K117" s="740"/>
    </row>
    <row r="118" spans="1:11" ht="18" customHeight="1" x14ac:dyDescent="0.3">
      <c r="A118" s="639" t="s">
        <v>173</v>
      </c>
      <c r="B118" s="742" t="s">
        <v>18</v>
      </c>
      <c r="C118" s="742"/>
      <c r="D118" s="742"/>
      <c r="E118" s="742"/>
      <c r="F118" s="647">
        <v>13401338</v>
      </c>
      <c r="G118" s="740"/>
      <c r="H118" s="740"/>
      <c r="I118" s="740"/>
      <c r="J118" s="740"/>
      <c r="K118" s="740"/>
    </row>
    <row r="119" spans="1:11" ht="18" customHeight="1" x14ac:dyDescent="0.3">
      <c r="A119" s="639" t="s">
        <v>174</v>
      </c>
      <c r="B119" s="636" t="s">
        <v>19</v>
      </c>
      <c r="C119" s="742"/>
      <c r="D119" s="742"/>
      <c r="E119" s="742"/>
      <c r="F119" s="649">
        <f>SUM(F117:F118)</f>
        <v>231732174</v>
      </c>
      <c r="G119" s="740"/>
      <c r="H119" s="740"/>
      <c r="I119" s="740"/>
      <c r="J119" s="740"/>
      <c r="K119" s="740"/>
    </row>
    <row r="120" spans="1:11" ht="18" customHeight="1" x14ac:dyDescent="0.3">
      <c r="A120" s="639"/>
      <c r="B120" s="636"/>
      <c r="C120" s="742"/>
      <c r="D120" s="742"/>
      <c r="E120" s="742"/>
      <c r="F120" s="742"/>
      <c r="G120" s="740"/>
      <c r="H120" s="740"/>
      <c r="I120" s="740"/>
      <c r="J120" s="740"/>
      <c r="K120" s="740"/>
    </row>
    <row r="121" spans="1:11" ht="18" customHeight="1" x14ac:dyDescent="0.3">
      <c r="A121" s="639" t="s">
        <v>167</v>
      </c>
      <c r="B121" s="636" t="s">
        <v>36</v>
      </c>
      <c r="C121" s="742"/>
      <c r="D121" s="742"/>
      <c r="E121" s="742"/>
      <c r="F121" s="647">
        <v>221570405</v>
      </c>
      <c r="G121" s="740"/>
      <c r="H121" s="740"/>
      <c r="I121" s="740"/>
      <c r="J121" s="740"/>
      <c r="K121" s="740"/>
    </row>
    <row r="122" spans="1:11" ht="18" customHeight="1" x14ac:dyDescent="0.3">
      <c r="A122" s="639"/>
      <c r="B122" s="742"/>
      <c r="C122" s="742"/>
      <c r="D122" s="742"/>
      <c r="E122" s="742"/>
      <c r="F122" s="742"/>
      <c r="G122" s="740"/>
      <c r="H122" s="740"/>
      <c r="I122" s="740"/>
      <c r="J122" s="740"/>
      <c r="K122" s="740"/>
    </row>
    <row r="123" spans="1:11" ht="18" customHeight="1" x14ac:dyDescent="0.3">
      <c r="A123" s="639" t="s">
        <v>175</v>
      </c>
      <c r="B123" s="636" t="s">
        <v>20</v>
      </c>
      <c r="C123" s="742"/>
      <c r="D123" s="742"/>
      <c r="E123" s="742"/>
      <c r="F123" s="647">
        <f>F119-F121</f>
        <v>10161769</v>
      </c>
      <c r="G123" s="740"/>
      <c r="H123" s="740"/>
      <c r="I123" s="740"/>
      <c r="J123" s="740"/>
      <c r="K123" s="740"/>
    </row>
    <row r="124" spans="1:11" ht="18" customHeight="1" x14ac:dyDescent="0.3">
      <c r="A124" s="639"/>
      <c r="B124" s="742"/>
      <c r="C124" s="742"/>
      <c r="D124" s="742"/>
      <c r="E124" s="742"/>
      <c r="F124" s="742"/>
      <c r="G124" s="740"/>
      <c r="H124" s="740"/>
      <c r="I124" s="740"/>
      <c r="J124" s="740"/>
      <c r="K124" s="740"/>
    </row>
    <row r="125" spans="1:11" ht="18" customHeight="1" x14ac:dyDescent="0.3">
      <c r="A125" s="639" t="s">
        <v>176</v>
      </c>
      <c r="B125" s="636" t="s">
        <v>21</v>
      </c>
      <c r="C125" s="742"/>
      <c r="D125" s="742"/>
      <c r="E125" s="742"/>
      <c r="F125" s="647">
        <v>5397500</v>
      </c>
      <c r="G125" s="740"/>
      <c r="H125" s="740"/>
      <c r="I125" s="740"/>
      <c r="J125" s="740"/>
      <c r="K125" s="740"/>
    </row>
    <row r="126" spans="1:11" ht="18" customHeight="1" x14ac:dyDescent="0.3">
      <c r="A126" s="639"/>
      <c r="B126" s="742"/>
      <c r="C126" s="742"/>
      <c r="D126" s="742"/>
      <c r="E126" s="742"/>
      <c r="F126" s="742"/>
      <c r="G126" s="740"/>
      <c r="H126" s="740"/>
      <c r="I126" s="740"/>
      <c r="J126" s="740"/>
      <c r="K126" s="740"/>
    </row>
    <row r="127" spans="1:11" ht="18" customHeight="1" x14ac:dyDescent="0.3">
      <c r="A127" s="639" t="s">
        <v>177</v>
      </c>
      <c r="B127" s="636" t="s">
        <v>22</v>
      </c>
      <c r="C127" s="742"/>
      <c r="D127" s="742"/>
      <c r="E127" s="742"/>
      <c r="F127" s="647">
        <f>F123+F125</f>
        <v>15559269</v>
      </c>
      <c r="G127" s="740"/>
      <c r="H127" s="740"/>
      <c r="I127" s="740"/>
      <c r="J127" s="740"/>
      <c r="K127" s="740"/>
    </row>
    <row r="128" spans="1:11" ht="18" customHeight="1" x14ac:dyDescent="0.3">
      <c r="A128" s="639"/>
      <c r="B128" s="742"/>
      <c r="C128" s="742"/>
      <c r="D128" s="742"/>
      <c r="E128" s="742"/>
      <c r="F128" s="742"/>
      <c r="G128" s="740"/>
      <c r="H128" s="740"/>
      <c r="I128" s="740"/>
      <c r="J128" s="740"/>
      <c r="K128" s="740"/>
    </row>
    <row r="129" spans="1:11" ht="42.75" customHeight="1" x14ac:dyDescent="0.3">
      <c r="A129" s="63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A138" s="633"/>
      <c r="B138" s="742"/>
      <c r="C138" s="742"/>
      <c r="D138" s="742"/>
      <c r="E138" s="742"/>
      <c r="F138" s="742"/>
      <c r="G138" s="742"/>
      <c r="H138" s="742"/>
      <c r="I138" s="742"/>
      <c r="J138" s="742"/>
      <c r="K138" s="742"/>
    </row>
    <row r="139" spans="1:11" ht="42.75" customHeight="1" x14ac:dyDescent="0.3">
      <c r="A139" s="63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27605</v>
      </c>
      <c r="G141" s="664">
        <f t="shared" si="14"/>
        <v>56289</v>
      </c>
      <c r="H141" s="664">
        <f t="shared" si="14"/>
        <v>1250767.46</v>
      </c>
      <c r="I141" s="664">
        <f t="shared" si="14"/>
        <v>943328.82000000007</v>
      </c>
      <c r="J141" s="664">
        <f t="shared" si="14"/>
        <v>104517</v>
      </c>
      <c r="K141" s="664">
        <f t="shared" si="14"/>
        <v>2089579.2800000003</v>
      </c>
    </row>
    <row r="142" spans="1:11" ht="18" customHeight="1" x14ac:dyDescent="0.3">
      <c r="A142" s="639" t="s">
        <v>142</v>
      </c>
      <c r="B142" s="636" t="s">
        <v>65</v>
      </c>
      <c r="C142" s="742"/>
      <c r="D142" s="742"/>
      <c r="E142" s="742"/>
      <c r="F142" s="664">
        <f t="shared" ref="F142:K142" si="15">F49</f>
        <v>47297</v>
      </c>
      <c r="G142" s="664">
        <f t="shared" si="15"/>
        <v>9662</v>
      </c>
      <c r="H142" s="664">
        <f t="shared" si="15"/>
        <v>2920272.7</v>
      </c>
      <c r="I142" s="664">
        <f t="shared" si="15"/>
        <v>468846.21999999991</v>
      </c>
      <c r="J142" s="664">
        <f t="shared" si="15"/>
        <v>2260966.7000000002</v>
      </c>
      <c r="K142" s="664">
        <f t="shared" si="15"/>
        <v>1128152.22</v>
      </c>
    </row>
    <row r="143" spans="1:11" ht="18" customHeight="1" x14ac:dyDescent="0.3">
      <c r="A143" s="639" t="s">
        <v>144</v>
      </c>
      <c r="B143" s="636" t="s">
        <v>66</v>
      </c>
      <c r="C143" s="742"/>
      <c r="D143" s="742"/>
      <c r="E143" s="742"/>
      <c r="F143" s="664">
        <f t="shared" ref="F143:K143" si="16">F64</f>
        <v>55027</v>
      </c>
      <c r="G143" s="664">
        <f t="shared" si="16"/>
        <v>26084</v>
      </c>
      <c r="H143" s="664">
        <f t="shared" si="16"/>
        <v>7238475.7999999998</v>
      </c>
      <c r="I143" s="664">
        <f t="shared" si="16"/>
        <v>4524874.6100000003</v>
      </c>
      <c r="J143" s="664">
        <f t="shared" si="16"/>
        <v>1807442.3</v>
      </c>
      <c r="K143" s="664">
        <f t="shared" si="16"/>
        <v>9955908.1099999994</v>
      </c>
    </row>
    <row r="144" spans="1:11" ht="18" customHeight="1" x14ac:dyDescent="0.3">
      <c r="A144" s="639" t="s">
        <v>146</v>
      </c>
      <c r="B144" s="636" t="s">
        <v>67</v>
      </c>
      <c r="C144" s="742"/>
      <c r="D144" s="742"/>
      <c r="E144" s="742"/>
      <c r="F144" s="664">
        <f t="shared" ref="F144:K144" si="17">F74</f>
        <v>865</v>
      </c>
      <c r="G144" s="664">
        <f t="shared" si="17"/>
        <v>0</v>
      </c>
      <c r="H144" s="664">
        <f t="shared" si="17"/>
        <v>114083.95</v>
      </c>
      <c r="I144" s="664">
        <f t="shared" si="17"/>
        <v>86042.12</v>
      </c>
      <c r="J144" s="664">
        <f t="shared" si="17"/>
        <v>0</v>
      </c>
      <c r="K144" s="664">
        <f t="shared" si="17"/>
        <v>200126.07</v>
      </c>
    </row>
    <row r="145" spans="1:11" ht="18" customHeight="1" x14ac:dyDescent="0.3">
      <c r="A145" s="639" t="s">
        <v>148</v>
      </c>
      <c r="B145" s="636" t="s">
        <v>68</v>
      </c>
      <c r="C145" s="742"/>
      <c r="D145" s="742"/>
      <c r="E145" s="742"/>
      <c r="F145" s="664">
        <f t="shared" ref="F145:K145" si="18">F82</f>
        <v>2494</v>
      </c>
      <c r="G145" s="664">
        <f t="shared" si="18"/>
        <v>13640</v>
      </c>
      <c r="H145" s="664">
        <f t="shared" si="18"/>
        <v>476717.27999999997</v>
      </c>
      <c r="I145" s="664">
        <f t="shared" si="18"/>
        <v>133280.16</v>
      </c>
      <c r="J145" s="664">
        <f t="shared" si="18"/>
        <v>0</v>
      </c>
      <c r="K145" s="664">
        <f t="shared" si="18"/>
        <v>609997.43999999994</v>
      </c>
    </row>
    <row r="146" spans="1:11" ht="18" customHeight="1" x14ac:dyDescent="0.3">
      <c r="A146" s="639" t="s">
        <v>150</v>
      </c>
      <c r="B146" s="636" t="s">
        <v>69</v>
      </c>
      <c r="C146" s="742"/>
      <c r="D146" s="742"/>
      <c r="E146" s="742"/>
      <c r="F146" s="664">
        <f t="shared" ref="F146:K146" si="19">F98</f>
        <v>802</v>
      </c>
      <c r="G146" s="664">
        <f t="shared" si="19"/>
        <v>0</v>
      </c>
      <c r="H146" s="664">
        <f t="shared" si="19"/>
        <v>208549.12</v>
      </c>
      <c r="I146" s="664">
        <f t="shared" si="19"/>
        <v>157287.74</v>
      </c>
      <c r="J146" s="664">
        <f t="shared" si="19"/>
        <v>0</v>
      </c>
      <c r="K146" s="664">
        <f t="shared" si="19"/>
        <v>365836.86</v>
      </c>
    </row>
    <row r="147" spans="1:11" ht="18" customHeight="1" x14ac:dyDescent="0.3">
      <c r="A147" s="639" t="s">
        <v>153</v>
      </c>
      <c r="B147" s="636" t="s">
        <v>61</v>
      </c>
      <c r="C147" s="742"/>
      <c r="D147" s="742"/>
      <c r="E147" s="742"/>
      <c r="F147" s="650">
        <f t="shared" ref="F147:K147" si="20">F108</f>
        <v>378</v>
      </c>
      <c r="G147" s="650">
        <f t="shared" si="20"/>
        <v>0</v>
      </c>
      <c r="H147" s="650">
        <f t="shared" si="20"/>
        <v>46699.020000000004</v>
      </c>
      <c r="I147" s="650">
        <f t="shared" si="20"/>
        <v>35218.390361999998</v>
      </c>
      <c r="J147" s="650">
        <f t="shared" si="20"/>
        <v>0</v>
      </c>
      <c r="K147" s="650">
        <f t="shared" si="20"/>
        <v>81917.410361999995</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5473873</v>
      </c>
    </row>
    <row r="149" spans="1:11" ht="18" customHeight="1" x14ac:dyDescent="0.3">
      <c r="A149" s="639"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639" t="s">
        <v>185</v>
      </c>
      <c r="B150" s="636" t="s">
        <v>186</v>
      </c>
      <c r="C150" s="742"/>
      <c r="D150" s="742"/>
      <c r="E150" s="742"/>
      <c r="F150" s="665" t="s">
        <v>73</v>
      </c>
      <c r="G150" s="665" t="s">
        <v>73</v>
      </c>
      <c r="H150" s="650">
        <f>H18</f>
        <v>0</v>
      </c>
      <c r="I150" s="650">
        <f>I18</f>
        <v>0</v>
      </c>
      <c r="J150" s="650">
        <f>J18</f>
        <v>0</v>
      </c>
      <c r="K150" s="650">
        <f>K18</f>
        <v>0</v>
      </c>
    </row>
    <row r="151" spans="1:11" ht="18" customHeight="1" x14ac:dyDescent="0.3">
      <c r="A151" s="63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134468</v>
      </c>
      <c r="G152" s="672">
        <f t="shared" si="22"/>
        <v>105675</v>
      </c>
      <c r="H152" s="672">
        <f t="shared" si="22"/>
        <v>12255565.329999998</v>
      </c>
      <c r="I152" s="672">
        <f t="shared" si="22"/>
        <v>6348878.0603620009</v>
      </c>
      <c r="J152" s="672">
        <f t="shared" si="22"/>
        <v>4172926</v>
      </c>
      <c r="K152" s="672">
        <f t="shared" si="22"/>
        <v>19905390.390361998</v>
      </c>
    </row>
    <row r="153" spans="1:11" ht="18" customHeight="1" x14ac:dyDescent="0.25">
      <c r="B153" s="740"/>
      <c r="C153" s="740"/>
      <c r="D153" s="740"/>
      <c r="E153" s="740"/>
      <c r="F153" s="740"/>
      <c r="G153" s="740"/>
      <c r="H153" s="740"/>
      <c r="I153" s="740"/>
      <c r="J153" s="740"/>
      <c r="K153" s="740"/>
    </row>
    <row r="154" spans="1:11" ht="18" customHeight="1" x14ac:dyDescent="0.3">
      <c r="A154" s="639" t="s">
        <v>168</v>
      </c>
      <c r="B154" s="636" t="s">
        <v>28</v>
      </c>
      <c r="C154" s="742"/>
      <c r="D154" s="742"/>
      <c r="E154" s="742"/>
      <c r="F154" s="687">
        <f>K152/F121</f>
        <v>8.9837766873071337E-2</v>
      </c>
      <c r="G154" s="742"/>
      <c r="H154" s="742"/>
      <c r="I154" s="742"/>
      <c r="J154" s="742"/>
      <c r="K154" s="742"/>
    </row>
    <row r="155" spans="1:11" ht="18" customHeight="1" x14ac:dyDescent="0.3">
      <c r="A155" s="639" t="s">
        <v>169</v>
      </c>
      <c r="B155" s="636" t="s">
        <v>72</v>
      </c>
      <c r="C155" s="742"/>
      <c r="D155" s="742"/>
      <c r="E155" s="742"/>
      <c r="F155" s="687">
        <f>K152/F127</f>
        <v>1.2793268366503592</v>
      </c>
      <c r="G155" s="636"/>
      <c r="H155" s="742"/>
      <c r="I155" s="742"/>
      <c r="J155" s="742"/>
      <c r="K155" s="742"/>
    </row>
    <row r="156" spans="1:11" ht="18" customHeight="1" x14ac:dyDescent="0.3">
      <c r="A156" s="633"/>
      <c r="B156" s="629"/>
      <c r="C156" s="629"/>
      <c r="D156" s="629"/>
      <c r="E156" s="629"/>
      <c r="F156" s="629"/>
      <c r="G156" s="632"/>
      <c r="H156" s="629"/>
      <c r="I156" s="629"/>
      <c r="J156" s="629"/>
      <c r="K156" s="629"/>
    </row>
  </sheetData>
  <sheetProtection sheet="1" objects="1" scenarios="1"/>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K156"/>
  <sheetViews>
    <sheetView showGridLines="0" zoomScale="80" zoomScaleNormal="80" zoomScaleSheetLayoutView="70" workbookViewId="0">
      <selection activeCell="B14" sqref="B14"/>
    </sheetView>
  </sheetViews>
  <sheetFormatPr defaultRowHeight="18" customHeight="1" x14ac:dyDescent="0.25"/>
  <cols>
    <col min="1" max="1" width="8.26953125" style="633" customWidth="1"/>
    <col min="2" max="2" width="55.453125" bestFit="1" customWidth="1"/>
    <col min="3" max="3" width="9.54296875" customWidth="1"/>
    <col min="5" max="5" width="12.453125" customWidth="1"/>
    <col min="6" max="6" width="18.54296875" customWidth="1"/>
    <col min="7" max="7" width="23.54296875" customWidth="1"/>
    <col min="8" max="8" width="17.26953125" customWidth="1"/>
    <col min="9" max="9" width="21.26953125" customWidth="1"/>
    <col min="10" max="10" width="19.7265625" customWidth="1"/>
    <col min="11" max="11" width="17.54296875" customWidth="1"/>
  </cols>
  <sheetData>
    <row r="1" spans="1:11" ht="18" customHeight="1" x14ac:dyDescent="0.3">
      <c r="B1" s="742"/>
      <c r="C1" s="888"/>
      <c r="D1" s="889"/>
      <c r="E1" s="888"/>
      <c r="F1" s="888"/>
      <c r="G1" s="888"/>
      <c r="H1" s="888"/>
      <c r="I1" s="888"/>
      <c r="J1" s="888"/>
      <c r="K1" s="888"/>
    </row>
    <row r="2" spans="1:11" ht="18" customHeight="1" x14ac:dyDescent="0.35">
      <c r="B2" s="742"/>
      <c r="C2" s="742"/>
      <c r="D2" s="1360" t="s">
        <v>700</v>
      </c>
      <c r="E2" s="1360"/>
      <c r="F2" s="1360"/>
      <c r="G2" s="1360"/>
      <c r="H2" s="1360"/>
      <c r="I2" s="742"/>
      <c r="J2" s="742"/>
      <c r="K2" s="742"/>
    </row>
    <row r="3" spans="1:11" ht="18" customHeight="1" x14ac:dyDescent="0.3">
      <c r="B3" s="636" t="s">
        <v>0</v>
      </c>
      <c r="C3" s="742"/>
      <c r="D3" s="742"/>
      <c r="E3" s="742"/>
      <c r="F3" s="742"/>
      <c r="G3" s="742"/>
      <c r="H3" s="742"/>
      <c r="I3" s="742"/>
      <c r="J3" s="742"/>
      <c r="K3" s="742"/>
    </row>
    <row r="4" spans="1:11" ht="18" customHeight="1" x14ac:dyDescent="0.25">
      <c r="B4" s="742"/>
      <c r="C4" s="742"/>
      <c r="D4" s="742"/>
      <c r="E4" s="742"/>
      <c r="F4" s="742"/>
      <c r="G4" s="742"/>
      <c r="H4" s="742"/>
      <c r="I4" s="742"/>
      <c r="J4" s="742"/>
      <c r="K4" s="742"/>
    </row>
    <row r="5" spans="1:11" ht="18" customHeight="1" x14ac:dyDescent="0.3">
      <c r="B5" s="733" t="s">
        <v>40</v>
      </c>
      <c r="C5" s="1446" t="s">
        <v>582</v>
      </c>
      <c r="D5" s="1447"/>
      <c r="E5" s="1447"/>
      <c r="F5" s="1447"/>
      <c r="G5" s="1448"/>
      <c r="H5" s="742"/>
      <c r="I5" s="742"/>
      <c r="J5" s="742"/>
      <c r="K5" s="742"/>
    </row>
    <row r="6" spans="1:11" ht="18" customHeight="1" x14ac:dyDescent="0.3">
      <c r="B6" s="733" t="s">
        <v>3</v>
      </c>
      <c r="C6" s="1365">
        <v>4013</v>
      </c>
      <c r="D6" s="1366"/>
      <c r="E6" s="1366"/>
      <c r="F6" s="1366"/>
      <c r="G6" s="1367"/>
      <c r="H6" s="742"/>
      <c r="I6" s="742"/>
      <c r="J6" s="742"/>
      <c r="K6" s="742"/>
    </row>
    <row r="7" spans="1:11" ht="18" customHeight="1" x14ac:dyDescent="0.3">
      <c r="B7" s="733" t="s">
        <v>4</v>
      </c>
      <c r="C7" s="1368">
        <f>382+15</f>
        <v>397</v>
      </c>
      <c r="D7" s="1369"/>
      <c r="E7" s="1369"/>
      <c r="F7" s="1369"/>
      <c r="G7" s="1370"/>
      <c r="H7" s="742"/>
      <c r="I7" s="742"/>
      <c r="J7" s="742"/>
      <c r="K7" s="742"/>
    </row>
    <row r="8" spans="1:11" ht="18" customHeight="1" x14ac:dyDescent="0.25">
      <c r="B8" s="742"/>
      <c r="C8" s="742"/>
      <c r="D8" s="742"/>
      <c r="E8" s="742"/>
      <c r="F8" s="742"/>
      <c r="G8" s="742"/>
      <c r="H8" s="742"/>
      <c r="I8" s="742"/>
      <c r="J8" s="742"/>
      <c r="K8" s="742"/>
    </row>
    <row r="9" spans="1:11" ht="18" customHeight="1" x14ac:dyDescent="0.3">
      <c r="B9" s="733" t="s">
        <v>1</v>
      </c>
      <c r="C9" s="1446" t="s">
        <v>187</v>
      </c>
      <c r="D9" s="1447"/>
      <c r="E9" s="1447"/>
      <c r="F9" s="1447"/>
      <c r="G9" s="1448"/>
      <c r="H9" s="742"/>
      <c r="I9" s="742"/>
      <c r="J9" s="742"/>
      <c r="K9" s="742"/>
    </row>
    <row r="10" spans="1:11" ht="18" customHeight="1" x14ac:dyDescent="0.3">
      <c r="B10" s="733" t="s">
        <v>2</v>
      </c>
      <c r="C10" s="1471" t="s">
        <v>188</v>
      </c>
      <c r="D10" s="1472"/>
      <c r="E10" s="1472"/>
      <c r="F10" s="1472"/>
      <c r="G10" s="1473"/>
      <c r="H10" s="742"/>
      <c r="I10" s="742"/>
      <c r="J10" s="742"/>
      <c r="K10" s="742"/>
    </row>
    <row r="11" spans="1:11" ht="18" customHeight="1" x14ac:dyDescent="0.3">
      <c r="B11" s="733" t="s">
        <v>32</v>
      </c>
      <c r="C11" s="1471" t="s">
        <v>189</v>
      </c>
      <c r="D11" s="1472"/>
      <c r="E11" s="1472"/>
      <c r="F11" s="1472"/>
      <c r="G11" s="1473"/>
      <c r="H11" s="742"/>
      <c r="I11" s="742"/>
      <c r="J11" s="742"/>
      <c r="K11" s="742"/>
    </row>
    <row r="12" spans="1:11" ht="18" customHeight="1" x14ac:dyDescent="0.3">
      <c r="B12" s="733"/>
      <c r="C12" s="733"/>
      <c r="D12" s="733"/>
      <c r="E12" s="733"/>
      <c r="F12" s="733"/>
      <c r="G12" s="733"/>
      <c r="H12" s="742"/>
      <c r="I12" s="742"/>
      <c r="J12" s="742"/>
      <c r="K12" s="742"/>
    </row>
    <row r="13" spans="1:11" ht="24.65" customHeight="1" x14ac:dyDescent="0.25">
      <c r="B13" s="1363"/>
      <c r="C13" s="1363"/>
      <c r="D13" s="1363"/>
      <c r="E13" s="1363"/>
      <c r="F13" s="1363"/>
      <c r="G13" s="1363"/>
      <c r="H13" s="1363"/>
      <c r="I13" s="888"/>
      <c r="J13" s="742"/>
      <c r="K13" s="742"/>
    </row>
    <row r="14" spans="1:11" ht="18" customHeight="1" x14ac:dyDescent="0.3">
      <c r="B14" s="640"/>
      <c r="C14" s="742"/>
      <c r="D14" s="742"/>
      <c r="E14" s="742"/>
      <c r="F14" s="742"/>
      <c r="G14" s="742"/>
      <c r="H14" s="742"/>
      <c r="I14" s="742"/>
      <c r="J14" s="742"/>
      <c r="K14" s="742"/>
    </row>
    <row r="15" spans="1:11" ht="18" customHeight="1" x14ac:dyDescent="0.3">
      <c r="B15" s="640"/>
      <c r="C15" s="742"/>
      <c r="D15" s="742"/>
      <c r="E15" s="742"/>
      <c r="F15" s="742"/>
      <c r="G15" s="742"/>
      <c r="H15" s="742"/>
      <c r="I15" s="742"/>
      <c r="J15" s="742"/>
      <c r="K15" s="742"/>
    </row>
    <row r="16" spans="1:11" ht="45" customHeight="1" x14ac:dyDescent="0.3">
      <c r="A16" s="63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639" t="s">
        <v>185</v>
      </c>
      <c r="B18" s="635" t="s">
        <v>183</v>
      </c>
      <c r="C18" s="742"/>
      <c r="D18" s="742"/>
      <c r="E18" s="742"/>
      <c r="F18" s="646" t="s">
        <v>73</v>
      </c>
      <c r="G18" s="646" t="s">
        <v>73</v>
      </c>
      <c r="H18" s="647"/>
      <c r="I18" s="673">
        <v>0</v>
      </c>
      <c r="J18" s="647"/>
      <c r="K18" s="648">
        <f>(H18+I18)-J18</f>
        <v>0</v>
      </c>
    </row>
    <row r="19" spans="1:11" ht="45" customHeight="1" x14ac:dyDescent="0.3">
      <c r="A19" s="63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639" t="s">
        <v>75</v>
      </c>
      <c r="B21" s="635" t="s">
        <v>42</v>
      </c>
      <c r="C21" s="742"/>
      <c r="D21" s="742"/>
      <c r="E21" s="742"/>
      <c r="F21" s="646">
        <f>'[10]CB Master List - FY17 &amp; CY16'!$AW$40</f>
        <v>725.80757932701351</v>
      </c>
      <c r="G21" s="646">
        <f>'[10]CB Master List - FY17 &amp; CY16'!$AX$40</f>
        <v>367.22654461405511</v>
      </c>
      <c r="H21" s="647">
        <f>'[10]CB Master List - FY17 &amp; CY16'!$AY$40</f>
        <v>43796.905038949997</v>
      </c>
      <c r="I21" s="673">
        <f>'[10]CB Master List - FY17 &amp; CY16'!$AZ$40</f>
        <v>52580.25238171927</v>
      </c>
      <c r="J21" s="647">
        <f>'[10]CB Master List - FY17 &amp; CY16'!$BA$40</f>
        <v>2782.4165043499997</v>
      </c>
      <c r="K21" s="648">
        <f t="shared" ref="K21:K34" si="0">(H21+I21)-J21</f>
        <v>93594.740916319279</v>
      </c>
    </row>
    <row r="22" spans="1:11" ht="18" customHeight="1" x14ac:dyDescent="0.3">
      <c r="A22" s="639" t="s">
        <v>76</v>
      </c>
      <c r="B22" s="742" t="s">
        <v>6</v>
      </c>
      <c r="C22" s="742"/>
      <c r="D22" s="742"/>
      <c r="E22" s="742"/>
      <c r="F22" s="646">
        <f>'[10]CB Master List - FY17 &amp; CY16'!$AW$59</f>
        <v>94.975879950000007</v>
      </c>
      <c r="G22" s="646"/>
      <c r="H22" s="647">
        <f>'[10]CB Master List - FY17 &amp; CY16'!$AY$59</f>
        <v>5622.5047644500009</v>
      </c>
      <c r="I22" s="673">
        <f>'[10]CB Master List - FY17 &amp; CY16'!$AZ$59</f>
        <v>6750.0824377723584</v>
      </c>
      <c r="J22" s="647">
        <f>'[10]CB Master List - FY17 &amp; CY16'!$BA$59</f>
        <v>1810.9175208250001</v>
      </c>
      <c r="K22" s="648">
        <f t="shared" si="0"/>
        <v>10561.669681397359</v>
      </c>
    </row>
    <row r="23" spans="1:11" ht="18" customHeight="1" x14ac:dyDescent="0.3">
      <c r="A23" s="639" t="s">
        <v>77</v>
      </c>
      <c r="B23" s="742" t="s">
        <v>43</v>
      </c>
      <c r="C23" s="742"/>
      <c r="D23" s="742"/>
      <c r="E23" s="742"/>
      <c r="F23" s="646">
        <f>'[10]CB Master List - FY17 &amp; CY16'!$AW$63</f>
        <v>134.7035004</v>
      </c>
      <c r="G23" s="646"/>
      <c r="H23" s="647">
        <f>'[10]CB Master List - FY17 &amp; CY16'!$AY$63</f>
        <v>3179.0784417</v>
      </c>
      <c r="I23" s="673">
        <f>'[10]CB Master List - FY17 &amp; CY16'!$AZ$63</f>
        <v>3816.6337702906389</v>
      </c>
      <c r="J23" s="647"/>
      <c r="K23" s="648">
        <f t="shared" si="0"/>
        <v>6995.7122119906389</v>
      </c>
    </row>
    <row r="24" spans="1:11" ht="18" customHeight="1" x14ac:dyDescent="0.3">
      <c r="A24" s="639" t="s">
        <v>78</v>
      </c>
      <c r="B24" s="742" t="s">
        <v>44</v>
      </c>
      <c r="C24" s="742"/>
      <c r="D24" s="742"/>
      <c r="E24" s="742"/>
      <c r="F24" s="646"/>
      <c r="G24" s="646"/>
      <c r="H24" s="647"/>
      <c r="I24" s="673">
        <f t="shared" ref="I24:I34" si="1">H24*F$114</f>
        <v>0</v>
      </c>
      <c r="J24" s="647"/>
      <c r="K24" s="648">
        <f t="shared" si="0"/>
        <v>0</v>
      </c>
    </row>
    <row r="25" spans="1:11" ht="18" customHeight="1" x14ac:dyDescent="0.3">
      <c r="A25" s="639" t="s">
        <v>79</v>
      </c>
      <c r="B25" s="742" t="s">
        <v>5</v>
      </c>
      <c r="C25" s="742"/>
      <c r="D25" s="742"/>
      <c r="E25" s="742"/>
      <c r="F25" s="646">
        <f>'[10]CB Master List - FY17 &amp; CY16'!$AW$92</f>
        <v>345.98441289999994</v>
      </c>
      <c r="G25" s="646"/>
      <c r="H25" s="647">
        <f>'[10]CB Master List - FY17 &amp; CY16'!$AY$92</f>
        <v>11341.324152900001</v>
      </c>
      <c r="I25" s="673">
        <f>'[10]CB Master List - FY17 &amp; CY16'!$AZ$92</f>
        <v>13615.795129177175</v>
      </c>
      <c r="J25" s="647">
        <f>'[10]CB Master List - FY17 &amp; CY16'!$BA$92</f>
        <v>409.34356330000003</v>
      </c>
      <c r="K25" s="648">
        <f t="shared" si="0"/>
        <v>24547.775718777175</v>
      </c>
    </row>
    <row r="26" spans="1:11" ht="18" customHeight="1" x14ac:dyDescent="0.3">
      <c r="A26" s="639" t="s">
        <v>80</v>
      </c>
      <c r="B26" s="742" t="s">
        <v>45</v>
      </c>
      <c r="C26" s="742"/>
      <c r="D26" s="742"/>
      <c r="E26" s="742"/>
      <c r="F26" s="646"/>
      <c r="G26" s="646"/>
      <c r="H26" s="647"/>
      <c r="I26" s="673">
        <f t="shared" si="1"/>
        <v>0</v>
      </c>
      <c r="J26" s="647"/>
      <c r="K26" s="648">
        <f t="shared" si="0"/>
        <v>0</v>
      </c>
    </row>
    <row r="27" spans="1:11" ht="18" customHeight="1" x14ac:dyDescent="0.3">
      <c r="A27" s="639" t="s">
        <v>81</v>
      </c>
      <c r="B27" s="742" t="s">
        <v>46</v>
      </c>
      <c r="C27" s="742"/>
      <c r="D27" s="742"/>
      <c r="E27" s="742"/>
      <c r="F27" s="646"/>
      <c r="G27" s="646"/>
      <c r="H27" s="647"/>
      <c r="I27" s="673">
        <f t="shared" si="1"/>
        <v>0</v>
      </c>
      <c r="J27" s="647"/>
      <c r="K27" s="648">
        <f t="shared" si="0"/>
        <v>0</v>
      </c>
    </row>
    <row r="28" spans="1:11" ht="18" customHeight="1" x14ac:dyDescent="0.3">
      <c r="A28" s="639" t="s">
        <v>82</v>
      </c>
      <c r="B28" s="742" t="s">
        <v>47</v>
      </c>
      <c r="C28" s="742"/>
      <c r="D28" s="742"/>
      <c r="E28" s="742"/>
      <c r="F28" s="646"/>
      <c r="G28" s="646"/>
      <c r="H28" s="647"/>
      <c r="I28" s="673">
        <f t="shared" si="1"/>
        <v>0</v>
      </c>
      <c r="J28" s="647"/>
      <c r="K28" s="648">
        <f t="shared" si="0"/>
        <v>0</v>
      </c>
    </row>
    <row r="29" spans="1:11" ht="18" customHeight="1" x14ac:dyDescent="0.3">
      <c r="A29" s="639" t="s">
        <v>83</v>
      </c>
      <c r="B29" s="742" t="s">
        <v>48</v>
      </c>
      <c r="C29" s="742"/>
      <c r="D29" s="742"/>
      <c r="E29" s="742"/>
      <c r="F29" s="646">
        <f>'[10]CB Master List - FY17 &amp; CY16'!$AW$120</f>
        <v>31.676344699999994</v>
      </c>
      <c r="G29" s="646"/>
      <c r="H29" s="647">
        <f>'[10]CB Master List - FY17 &amp; CY16'!$AY$120</f>
        <v>440108.11916349997</v>
      </c>
      <c r="I29" s="673">
        <f>'[10]CB Master List - FY17 &amp; CY16'!$AZ$120</f>
        <v>524307.25279418193</v>
      </c>
      <c r="J29" s="647"/>
      <c r="K29" s="648">
        <f t="shared" si="0"/>
        <v>964415.37195768184</v>
      </c>
    </row>
    <row r="30" spans="1:11" ht="18" customHeight="1" x14ac:dyDescent="0.3">
      <c r="A30" s="639" t="s">
        <v>84</v>
      </c>
      <c r="B30" s="1062" t="s">
        <v>196</v>
      </c>
      <c r="C30" s="1063"/>
      <c r="D30" s="1064"/>
      <c r="E30" s="742"/>
      <c r="F30" s="646">
        <f>'[10]CB Master List - FY17 &amp; CY16'!$AW$135</f>
        <v>23.550436750000003</v>
      </c>
      <c r="G30" s="646"/>
      <c r="H30" s="647">
        <f>'[10]CB Master List - FY17 &amp; CY16'!$AY$135</f>
        <v>739.40229457500004</v>
      </c>
      <c r="I30" s="673">
        <f>'[10]CB Master List - FY17 &amp; CY16'!$AZ$135</f>
        <v>514.61270357595936</v>
      </c>
      <c r="J30" s="647">
        <f>'[10]CB Master List - FY17 &amp; CY16'!$BA$135</f>
        <v>99.915500825000009</v>
      </c>
      <c r="K30" s="648">
        <f t="shared" si="0"/>
        <v>1154.0994973259594</v>
      </c>
    </row>
    <row r="31" spans="1:11" ht="18" customHeight="1" x14ac:dyDescent="0.3">
      <c r="A31" s="639" t="s">
        <v>133</v>
      </c>
      <c r="B31" s="1351"/>
      <c r="C31" s="1352"/>
      <c r="D31" s="1353"/>
      <c r="E31" s="742"/>
      <c r="F31" s="646"/>
      <c r="G31" s="646"/>
      <c r="H31" s="647"/>
      <c r="I31" s="673">
        <f t="shared" si="1"/>
        <v>0</v>
      </c>
      <c r="J31" s="647"/>
      <c r="K31" s="648">
        <f t="shared" si="0"/>
        <v>0</v>
      </c>
    </row>
    <row r="32" spans="1:11" ht="18" customHeight="1" x14ac:dyDescent="0.3">
      <c r="A32" s="639" t="s">
        <v>134</v>
      </c>
      <c r="B32" s="1059"/>
      <c r="C32" s="1060"/>
      <c r="D32" s="1061"/>
      <c r="E32" s="742"/>
      <c r="F32" s="646"/>
      <c r="G32" s="675" t="s">
        <v>85</v>
      </c>
      <c r="H32" s="647"/>
      <c r="I32" s="673">
        <f t="shared" si="1"/>
        <v>0</v>
      </c>
      <c r="J32" s="647"/>
      <c r="K32" s="648">
        <f t="shared" si="0"/>
        <v>0</v>
      </c>
    </row>
    <row r="33" spans="1:11" ht="18" customHeight="1" x14ac:dyDescent="0.3">
      <c r="A33" s="639" t="s">
        <v>135</v>
      </c>
      <c r="B33" s="1059"/>
      <c r="C33" s="1060"/>
      <c r="D33" s="1061"/>
      <c r="E33" s="742"/>
      <c r="F33" s="646"/>
      <c r="G33" s="675" t="s">
        <v>85</v>
      </c>
      <c r="H33" s="647"/>
      <c r="I33" s="673">
        <f t="shared" si="1"/>
        <v>0</v>
      </c>
      <c r="J33" s="647"/>
      <c r="K33" s="648">
        <f t="shared" si="0"/>
        <v>0</v>
      </c>
    </row>
    <row r="34" spans="1:11" ht="18" customHeight="1" x14ac:dyDescent="0.3">
      <c r="A34" s="639" t="s">
        <v>136</v>
      </c>
      <c r="B34" s="1351"/>
      <c r="C34" s="1352"/>
      <c r="D34" s="1353"/>
      <c r="E34" s="742"/>
      <c r="F34" s="646"/>
      <c r="G34" s="675" t="s">
        <v>85</v>
      </c>
      <c r="H34" s="647"/>
      <c r="I34" s="673">
        <f t="shared" si="1"/>
        <v>0</v>
      </c>
      <c r="J34" s="647"/>
      <c r="K34" s="648">
        <f t="shared" si="0"/>
        <v>0</v>
      </c>
    </row>
    <row r="35" spans="1:11" ht="18" customHeight="1" x14ac:dyDescent="0.25">
      <c r="B35" s="742"/>
      <c r="C35" s="742"/>
      <c r="D35" s="742"/>
      <c r="E35" s="742"/>
      <c r="F35" s="742"/>
      <c r="G35" s="742"/>
      <c r="H35" s="742"/>
      <c r="I35" s="742"/>
      <c r="J35" s="742"/>
      <c r="K35" s="667"/>
    </row>
    <row r="36" spans="1:11" ht="18" customHeight="1" x14ac:dyDescent="0.3">
      <c r="A36" s="639" t="s">
        <v>137</v>
      </c>
      <c r="B36" s="636" t="s">
        <v>138</v>
      </c>
      <c r="C36" s="742"/>
      <c r="D36" s="742"/>
      <c r="E36" s="636" t="s">
        <v>7</v>
      </c>
      <c r="F36" s="650">
        <f t="shared" ref="F36:K36" si="2">SUM(F21:F34)</f>
        <v>1356.6981540270135</v>
      </c>
      <c r="G36" s="650">
        <f t="shared" si="2"/>
        <v>367.22654461405511</v>
      </c>
      <c r="H36" s="650">
        <f t="shared" si="2"/>
        <v>504787.33385607495</v>
      </c>
      <c r="I36" s="648">
        <f t="shared" si="2"/>
        <v>601584.62921671732</v>
      </c>
      <c r="J36" s="648">
        <f t="shared" si="2"/>
        <v>5102.5930892999995</v>
      </c>
      <c r="K36" s="648">
        <f t="shared" si="2"/>
        <v>1101269.3699834922</v>
      </c>
    </row>
    <row r="37" spans="1:11" ht="18" customHeight="1" thickBot="1" x14ac:dyDescent="0.35">
      <c r="B37" s="636"/>
      <c r="C37" s="742"/>
      <c r="D37" s="742"/>
      <c r="E37" s="742"/>
      <c r="F37" s="651"/>
      <c r="G37" s="651"/>
      <c r="H37" s="652"/>
      <c r="I37" s="652"/>
      <c r="J37" s="652"/>
      <c r="K37" s="668"/>
    </row>
    <row r="38" spans="1:11" ht="42.75" customHeight="1" x14ac:dyDescent="0.3">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639" t="s">
        <v>87</v>
      </c>
      <c r="B40" s="742" t="s">
        <v>31</v>
      </c>
      <c r="C40" s="742"/>
      <c r="D40" s="742"/>
      <c r="E40" s="742"/>
      <c r="F40" s="646"/>
      <c r="G40" s="646"/>
      <c r="H40" s="647"/>
      <c r="I40" s="673">
        <v>0</v>
      </c>
      <c r="J40" s="647"/>
      <c r="K40" s="648">
        <f t="shared" ref="K40:K47" si="3">(H40+I40)-J40</f>
        <v>0</v>
      </c>
    </row>
    <row r="41" spans="1:11" ht="18" customHeight="1" x14ac:dyDescent="0.3">
      <c r="A41" s="639" t="s">
        <v>88</v>
      </c>
      <c r="B41" s="1359" t="s">
        <v>50</v>
      </c>
      <c r="C41" s="1359"/>
      <c r="D41" s="742"/>
      <c r="E41" s="742"/>
      <c r="F41" s="646"/>
      <c r="G41" s="646"/>
      <c r="H41" s="647"/>
      <c r="I41" s="673">
        <v>0</v>
      </c>
      <c r="J41" s="647"/>
      <c r="K41" s="648">
        <f t="shared" si="3"/>
        <v>0</v>
      </c>
    </row>
    <row r="42" spans="1:11" ht="18" customHeight="1" x14ac:dyDescent="0.3">
      <c r="A42" s="639" t="s">
        <v>89</v>
      </c>
      <c r="B42" s="635" t="s">
        <v>11</v>
      </c>
      <c r="C42" s="742"/>
      <c r="D42" s="742"/>
      <c r="E42" s="742"/>
      <c r="F42" s="646">
        <f>'[10]CB Master List - FY17 &amp; CY16'!$AW$188</f>
        <v>220.23417712273945</v>
      </c>
      <c r="G42" s="646">
        <f>'[10]CB Master List - FY17 &amp; CY16'!$AX$188</f>
        <v>0.64536446593551544</v>
      </c>
      <c r="H42" s="647">
        <f>'[10]CB Master List - FY17 &amp; CY16'!$AY$188</f>
        <v>9505.7103417500002</v>
      </c>
      <c r="I42" s="673">
        <v>0</v>
      </c>
      <c r="J42" s="647">
        <f>'[10]CB Master List - FY17 &amp; CY16'!$BA$188</f>
        <v>940.41639229999998</v>
      </c>
      <c r="K42" s="648">
        <f t="shared" si="3"/>
        <v>8565.2939494500006</v>
      </c>
    </row>
    <row r="43" spans="1:11" ht="18" customHeight="1" x14ac:dyDescent="0.3">
      <c r="A43" s="639" t="s">
        <v>90</v>
      </c>
      <c r="B43" s="670" t="s">
        <v>10</v>
      </c>
      <c r="C43" s="642"/>
      <c r="D43" s="642"/>
      <c r="E43" s="742"/>
      <c r="F43" s="646"/>
      <c r="G43" s="646"/>
      <c r="H43" s="647"/>
      <c r="I43" s="673">
        <v>0</v>
      </c>
      <c r="J43" s="647"/>
      <c r="K43" s="648">
        <f t="shared" si="3"/>
        <v>0</v>
      </c>
    </row>
    <row r="44" spans="1:11" ht="18" customHeight="1" x14ac:dyDescent="0.3">
      <c r="A44" s="639" t="s">
        <v>91</v>
      </c>
      <c r="B44" s="1351"/>
      <c r="C44" s="1352"/>
      <c r="D44" s="1353"/>
      <c r="E44" s="742"/>
      <c r="F44" s="677"/>
      <c r="G44" s="677"/>
      <c r="H44" s="677"/>
      <c r="I44" s="678">
        <v>0</v>
      </c>
      <c r="J44" s="677"/>
      <c r="K44" s="679">
        <f t="shared" si="3"/>
        <v>0</v>
      </c>
    </row>
    <row r="45" spans="1:11" ht="18" customHeight="1" x14ac:dyDescent="0.3">
      <c r="A45" s="639" t="s">
        <v>139</v>
      </c>
      <c r="B45" s="1351"/>
      <c r="C45" s="1352"/>
      <c r="D45" s="1353"/>
      <c r="E45" s="742"/>
      <c r="F45" s="646"/>
      <c r="G45" s="646"/>
      <c r="H45" s="647"/>
      <c r="I45" s="673">
        <v>0</v>
      </c>
      <c r="J45" s="647"/>
      <c r="K45" s="648">
        <f t="shared" si="3"/>
        <v>0</v>
      </c>
    </row>
    <row r="46" spans="1:11" ht="18" customHeight="1" x14ac:dyDescent="0.3">
      <c r="A46" s="639" t="s">
        <v>140</v>
      </c>
      <c r="B46" s="1351"/>
      <c r="C46" s="1352"/>
      <c r="D46" s="1353"/>
      <c r="E46" s="742"/>
      <c r="F46" s="646"/>
      <c r="G46" s="646"/>
      <c r="H46" s="647"/>
      <c r="I46" s="673">
        <v>0</v>
      </c>
      <c r="J46" s="647"/>
      <c r="K46" s="648">
        <f t="shared" si="3"/>
        <v>0</v>
      </c>
    </row>
    <row r="47" spans="1:11" ht="18" customHeight="1" x14ac:dyDescent="0.3">
      <c r="A47" s="639" t="s">
        <v>141</v>
      </c>
      <c r="B47" s="1351"/>
      <c r="C47" s="1352"/>
      <c r="D47" s="1353"/>
      <c r="E47" s="742"/>
      <c r="F47" s="646"/>
      <c r="G47" s="646"/>
      <c r="H47" s="647"/>
      <c r="I47" s="673">
        <v>0</v>
      </c>
      <c r="J47" s="647"/>
      <c r="K47" s="648">
        <f t="shared" si="3"/>
        <v>0</v>
      </c>
    </row>
    <row r="48" spans="1:11" ht="18" customHeight="1" x14ac:dyDescent="0.25">
      <c r="B48" s="742"/>
      <c r="C48" s="742"/>
      <c r="D48" s="742"/>
      <c r="E48" s="742"/>
      <c r="F48" s="742"/>
      <c r="G48" s="742"/>
      <c r="H48" s="742"/>
      <c r="I48" s="742"/>
      <c r="J48" s="742"/>
      <c r="K48" s="742"/>
    </row>
    <row r="49" spans="1:11" ht="18" customHeight="1" x14ac:dyDescent="0.3">
      <c r="A49" s="639" t="s">
        <v>142</v>
      </c>
      <c r="B49" s="636" t="s">
        <v>143</v>
      </c>
      <c r="C49" s="742"/>
      <c r="D49" s="742"/>
      <c r="E49" s="636" t="s">
        <v>7</v>
      </c>
      <c r="F49" s="654">
        <f t="shared" ref="F49:K49" si="4">SUM(F40:F47)</f>
        <v>220.23417712273945</v>
      </c>
      <c r="G49" s="654">
        <f t="shared" si="4"/>
        <v>0.64536446593551544</v>
      </c>
      <c r="H49" s="648">
        <f t="shared" si="4"/>
        <v>9505.7103417500002</v>
      </c>
      <c r="I49" s="648">
        <f t="shared" si="4"/>
        <v>0</v>
      </c>
      <c r="J49" s="648">
        <f t="shared" si="4"/>
        <v>940.41639229999998</v>
      </c>
      <c r="K49" s="648">
        <f t="shared" si="4"/>
        <v>8565.2939494500006</v>
      </c>
    </row>
    <row r="50" spans="1:11" ht="18" customHeight="1" thickBot="1" x14ac:dyDescent="0.3">
      <c r="B50" s="742"/>
      <c r="C50" s="742"/>
      <c r="D50" s="742"/>
      <c r="E50" s="742"/>
      <c r="F50" s="742"/>
      <c r="G50" s="655"/>
      <c r="H50" s="655"/>
      <c r="I50" s="655"/>
      <c r="J50" s="655"/>
      <c r="K50" s="655"/>
    </row>
    <row r="51" spans="1:11" ht="42.75" customHeight="1" x14ac:dyDescent="0.3">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639" t="s">
        <v>51</v>
      </c>
      <c r="B53" s="1354" t="s">
        <v>190</v>
      </c>
      <c r="C53" s="1355"/>
      <c r="D53" s="1356"/>
      <c r="E53" s="742"/>
      <c r="F53" s="646"/>
      <c r="G53" s="646"/>
      <c r="H53" s="647"/>
      <c r="I53" s="673">
        <v>0</v>
      </c>
      <c r="J53" s="647"/>
      <c r="K53" s="648">
        <f t="shared" ref="K53:K62" si="5">(H53+I53)-J53</f>
        <v>0</v>
      </c>
    </row>
    <row r="54" spans="1:11" ht="18" customHeight="1" x14ac:dyDescent="0.3">
      <c r="A54" s="639" t="s">
        <v>93</v>
      </c>
      <c r="B54" s="1062" t="s">
        <v>191</v>
      </c>
      <c r="C54" s="1063"/>
      <c r="D54" s="1064"/>
      <c r="E54" s="742"/>
      <c r="F54" s="646">
        <f>'[10]CB Master List - FY17 &amp; CY16'!$AW$219</f>
        <v>41600</v>
      </c>
      <c r="G54" s="646">
        <f>'[10]CB Master List - FY17 &amp; CY16'!$AX$219</f>
        <v>0</v>
      </c>
      <c r="H54" s="647">
        <f>'[10]CB Master List - FY17 &amp; CY16'!$AY$219</f>
        <v>848395.2</v>
      </c>
      <c r="I54" s="673">
        <v>0</v>
      </c>
      <c r="J54" s="647"/>
      <c r="K54" s="648">
        <f t="shared" si="5"/>
        <v>848395.2</v>
      </c>
    </row>
    <row r="55" spans="1:11" ht="18" customHeight="1" x14ac:dyDescent="0.3">
      <c r="A55" s="639" t="s">
        <v>94</v>
      </c>
      <c r="B55" s="1354" t="s">
        <v>192</v>
      </c>
      <c r="C55" s="1355"/>
      <c r="D55" s="1356"/>
      <c r="E55" s="742"/>
      <c r="F55" s="646"/>
      <c r="G55" s="646"/>
      <c r="H55" s="647"/>
      <c r="I55" s="673">
        <v>0</v>
      </c>
      <c r="J55" s="647"/>
      <c r="K55" s="648">
        <f t="shared" si="5"/>
        <v>0</v>
      </c>
    </row>
    <row r="56" spans="1:11" ht="18" customHeight="1" x14ac:dyDescent="0.3">
      <c r="A56" s="639" t="s">
        <v>95</v>
      </c>
      <c r="B56" s="1354" t="s">
        <v>193</v>
      </c>
      <c r="C56" s="1355"/>
      <c r="D56" s="1356"/>
      <c r="E56" s="742"/>
      <c r="F56" s="646"/>
      <c r="G56" s="646"/>
      <c r="H56" s="647"/>
      <c r="I56" s="673">
        <v>0</v>
      </c>
      <c r="J56" s="647"/>
      <c r="K56" s="648">
        <f t="shared" si="5"/>
        <v>0</v>
      </c>
    </row>
    <row r="57" spans="1:11" ht="18" customHeight="1" x14ac:dyDescent="0.3">
      <c r="A57" s="639" t="s">
        <v>96</v>
      </c>
      <c r="B57" s="1354" t="s">
        <v>194</v>
      </c>
      <c r="C57" s="1355"/>
      <c r="D57" s="1356"/>
      <c r="E57" s="742"/>
      <c r="F57" s="646">
        <f>'[10]CB Master List - FY17 &amp; CY16'!$AW$243</f>
        <v>0</v>
      </c>
      <c r="G57" s="646"/>
      <c r="H57" s="647">
        <f>'[10]CB Master List - FY17 &amp; CY16'!$AY$243</f>
        <v>2675195.6430000002</v>
      </c>
      <c r="I57" s="673">
        <v>0</v>
      </c>
      <c r="J57" s="647"/>
      <c r="K57" s="648">
        <f t="shared" si="5"/>
        <v>2675195.6430000002</v>
      </c>
    </row>
    <row r="58" spans="1:11" ht="18" customHeight="1" x14ac:dyDescent="0.3">
      <c r="A58" s="639" t="s">
        <v>97</v>
      </c>
      <c r="B58" s="1062"/>
      <c r="C58" s="1063"/>
      <c r="D58" s="1064"/>
      <c r="E58" s="742"/>
      <c r="F58" s="646"/>
      <c r="G58" s="646"/>
      <c r="H58" s="647"/>
      <c r="I58" s="673">
        <v>0</v>
      </c>
      <c r="J58" s="647"/>
      <c r="K58" s="648">
        <f t="shared" si="5"/>
        <v>0</v>
      </c>
    </row>
    <row r="59" spans="1:11" ht="18" customHeight="1" x14ac:dyDescent="0.3">
      <c r="A59" s="639" t="s">
        <v>98</v>
      </c>
      <c r="B59" s="1354"/>
      <c r="C59" s="1355"/>
      <c r="D59" s="1356"/>
      <c r="E59" s="742"/>
      <c r="F59" s="646"/>
      <c r="G59" s="646"/>
      <c r="H59" s="647"/>
      <c r="I59" s="673">
        <v>0</v>
      </c>
      <c r="J59" s="647"/>
      <c r="K59" s="648">
        <f t="shared" si="5"/>
        <v>0</v>
      </c>
    </row>
    <row r="60" spans="1:11" ht="18" customHeight="1" x14ac:dyDescent="0.3">
      <c r="A60" s="639" t="s">
        <v>99</v>
      </c>
      <c r="B60" s="1062"/>
      <c r="C60" s="1063"/>
      <c r="D60" s="1064"/>
      <c r="E60" s="742"/>
      <c r="F60" s="646"/>
      <c r="G60" s="646"/>
      <c r="H60" s="647"/>
      <c r="I60" s="673">
        <v>0</v>
      </c>
      <c r="J60" s="647"/>
      <c r="K60" s="648">
        <f t="shared" si="5"/>
        <v>0</v>
      </c>
    </row>
    <row r="61" spans="1:11" ht="18" customHeight="1" x14ac:dyDescent="0.3">
      <c r="A61" s="639" t="s">
        <v>100</v>
      </c>
      <c r="B61" s="1062"/>
      <c r="C61" s="1063"/>
      <c r="D61" s="1064"/>
      <c r="E61" s="742"/>
      <c r="F61" s="646"/>
      <c r="G61" s="646"/>
      <c r="H61" s="647"/>
      <c r="I61" s="673">
        <v>0</v>
      </c>
      <c r="J61" s="647"/>
      <c r="K61" s="648">
        <f t="shared" si="5"/>
        <v>0</v>
      </c>
    </row>
    <row r="62" spans="1:11" ht="18" customHeight="1" x14ac:dyDescent="0.3">
      <c r="A62" s="639" t="s">
        <v>101</v>
      </c>
      <c r="B62" s="1354"/>
      <c r="C62" s="1355"/>
      <c r="D62" s="1356"/>
      <c r="E62" s="742"/>
      <c r="F62" s="646"/>
      <c r="G62" s="646"/>
      <c r="H62" s="647"/>
      <c r="I62" s="673">
        <v>0</v>
      </c>
      <c r="J62" s="647"/>
      <c r="K62" s="648">
        <f t="shared" si="5"/>
        <v>0</v>
      </c>
    </row>
    <row r="63" spans="1:11" ht="18" customHeight="1" x14ac:dyDescent="0.3">
      <c r="A63" s="639"/>
      <c r="B63" s="742"/>
      <c r="C63" s="742"/>
      <c r="D63" s="742"/>
      <c r="E63" s="742"/>
      <c r="F63" s="742"/>
      <c r="G63" s="742"/>
      <c r="H63" s="742"/>
      <c r="I63" s="669"/>
      <c r="J63" s="742"/>
      <c r="K63" s="742"/>
    </row>
    <row r="64" spans="1:11" ht="18" customHeight="1" x14ac:dyDescent="0.3">
      <c r="A64" s="639" t="s">
        <v>144</v>
      </c>
      <c r="B64" s="636" t="s">
        <v>145</v>
      </c>
      <c r="C64" s="742"/>
      <c r="D64" s="742"/>
      <c r="E64" s="636" t="s">
        <v>7</v>
      </c>
      <c r="F64" s="650">
        <f t="shared" ref="F64:K64" si="6">SUM(F53:F62)</f>
        <v>41600</v>
      </c>
      <c r="G64" s="650">
        <f t="shared" si="6"/>
        <v>0</v>
      </c>
      <c r="H64" s="648">
        <f t="shared" si="6"/>
        <v>3523590.8430000003</v>
      </c>
      <c r="I64" s="648">
        <f t="shared" si="6"/>
        <v>0</v>
      </c>
      <c r="J64" s="648">
        <f t="shared" si="6"/>
        <v>0</v>
      </c>
      <c r="K64" s="648">
        <f t="shared" si="6"/>
        <v>3523590.8430000003</v>
      </c>
    </row>
    <row r="65" spans="1:11" ht="18" customHeight="1" x14ac:dyDescent="0.25">
      <c r="B65" s="742"/>
      <c r="C65" s="742"/>
      <c r="D65" s="742"/>
      <c r="E65" s="742"/>
      <c r="F65" s="671"/>
      <c r="G65" s="671"/>
      <c r="H65" s="671"/>
      <c r="I65" s="671"/>
      <c r="J65" s="671"/>
      <c r="K65" s="671"/>
    </row>
    <row r="66" spans="1:11" ht="42.75" customHeight="1" x14ac:dyDescent="0.3">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639" t="s">
        <v>103</v>
      </c>
      <c r="B68" s="742" t="s">
        <v>52</v>
      </c>
      <c r="C68" s="742"/>
      <c r="D68" s="742"/>
      <c r="E68" s="742"/>
      <c r="F68" s="674"/>
      <c r="G68" s="674"/>
      <c r="H68" s="647"/>
      <c r="I68" s="673">
        <v>0</v>
      </c>
      <c r="J68" s="674"/>
      <c r="K68" s="648">
        <f>(H68+I68)-J68</f>
        <v>0</v>
      </c>
    </row>
    <row r="69" spans="1:11" ht="18" customHeight="1" x14ac:dyDescent="0.3">
      <c r="A69" s="639" t="s">
        <v>104</v>
      </c>
      <c r="B69" s="635" t="s">
        <v>53</v>
      </c>
      <c r="C69" s="742"/>
      <c r="D69" s="742"/>
      <c r="E69" s="742"/>
      <c r="F69" s="674"/>
      <c r="G69" s="674"/>
      <c r="H69" s="674"/>
      <c r="I69" s="673">
        <v>0</v>
      </c>
      <c r="J69" s="674"/>
      <c r="K69" s="648">
        <f>(H69+I69)-J69</f>
        <v>0</v>
      </c>
    </row>
    <row r="70" spans="1:11" ht="18" customHeight="1" x14ac:dyDescent="0.3">
      <c r="A70" s="639" t="s">
        <v>178</v>
      </c>
      <c r="B70" s="1062"/>
      <c r="C70" s="1063"/>
      <c r="D70" s="1064"/>
      <c r="E70" s="636"/>
      <c r="F70" s="658"/>
      <c r="G70" s="658"/>
      <c r="H70" s="659"/>
      <c r="I70" s="673">
        <v>0</v>
      </c>
      <c r="J70" s="659"/>
      <c r="K70" s="648">
        <f>(H70+I70)-J70</f>
        <v>0</v>
      </c>
    </row>
    <row r="71" spans="1:11" ht="18" customHeight="1" x14ac:dyDescent="0.3">
      <c r="A71" s="639" t="s">
        <v>179</v>
      </c>
      <c r="B71" s="1062"/>
      <c r="C71" s="1063"/>
      <c r="D71" s="1064"/>
      <c r="E71" s="636"/>
      <c r="F71" s="658"/>
      <c r="G71" s="658"/>
      <c r="H71" s="659"/>
      <c r="I71" s="673">
        <v>0</v>
      </c>
      <c r="J71" s="659"/>
      <c r="K71" s="648">
        <f>(H71+I71)-J71</f>
        <v>0</v>
      </c>
    </row>
    <row r="72" spans="1:11" ht="18" customHeight="1" x14ac:dyDescent="0.3">
      <c r="A72" s="639" t="s">
        <v>180</v>
      </c>
      <c r="B72" s="1077"/>
      <c r="C72" s="1076"/>
      <c r="D72" s="657"/>
      <c r="E72" s="636"/>
      <c r="F72" s="646"/>
      <c r="G72" s="646"/>
      <c r="H72" s="647"/>
      <c r="I72" s="673">
        <v>0</v>
      </c>
      <c r="J72" s="647"/>
      <c r="K72" s="648">
        <f>(H72+I72)-J72</f>
        <v>0</v>
      </c>
    </row>
    <row r="73" spans="1:11" ht="18" customHeight="1" x14ac:dyDescent="0.3">
      <c r="A73" s="639"/>
      <c r="B73" s="635"/>
      <c r="C73" s="742"/>
      <c r="D73" s="742"/>
      <c r="E73" s="636"/>
      <c r="F73" s="684"/>
      <c r="G73" s="684"/>
      <c r="H73" s="685"/>
      <c r="I73" s="682"/>
      <c r="J73" s="685"/>
      <c r="K73" s="683"/>
    </row>
    <row r="74" spans="1:11" ht="18" customHeight="1" x14ac:dyDescent="0.3">
      <c r="A74" s="639" t="s">
        <v>146</v>
      </c>
      <c r="B74" s="636" t="s">
        <v>147</v>
      </c>
      <c r="C74" s="742"/>
      <c r="D74" s="742"/>
      <c r="E74" s="636" t="s">
        <v>7</v>
      </c>
      <c r="F74" s="653">
        <f t="shared" ref="F74:K74" si="7">SUM(F68:F72)</f>
        <v>0</v>
      </c>
      <c r="G74" s="653">
        <f t="shared" si="7"/>
        <v>0</v>
      </c>
      <c r="H74" s="653">
        <f t="shared" si="7"/>
        <v>0</v>
      </c>
      <c r="I74" s="676">
        <f t="shared" si="7"/>
        <v>0</v>
      </c>
      <c r="J74" s="653">
        <f t="shared" si="7"/>
        <v>0</v>
      </c>
      <c r="K74" s="649">
        <f t="shared" si="7"/>
        <v>0</v>
      </c>
    </row>
    <row r="75" spans="1:11" ht="42.75" customHeight="1" x14ac:dyDescent="0.3">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639" t="s">
        <v>107</v>
      </c>
      <c r="B77" s="635" t="s">
        <v>54</v>
      </c>
      <c r="C77" s="742"/>
      <c r="D77" s="742"/>
      <c r="E77" s="742"/>
      <c r="F77" s="646">
        <f>'[10]CB Master List - FY17 &amp; CY16'!$AW$292</f>
        <v>5.6841716422781934</v>
      </c>
      <c r="G77" s="646"/>
      <c r="H77" s="647">
        <f>'[10]CB Master List - FY17 &amp; CY16'!$AY$292</f>
        <v>57542.378000000004</v>
      </c>
      <c r="I77" s="673">
        <v>0</v>
      </c>
      <c r="J77" s="647"/>
      <c r="K77" s="648">
        <f>(H77+I77)-J77</f>
        <v>57542.378000000004</v>
      </c>
    </row>
    <row r="78" spans="1:11" ht="18" customHeight="1" x14ac:dyDescent="0.3">
      <c r="A78" s="639" t="s">
        <v>108</v>
      </c>
      <c r="B78" s="635" t="s">
        <v>55</v>
      </c>
      <c r="C78" s="742"/>
      <c r="D78" s="742"/>
      <c r="E78" s="742"/>
      <c r="F78" s="646"/>
      <c r="G78" s="646"/>
      <c r="H78" s="647"/>
      <c r="I78" s="673">
        <v>0</v>
      </c>
      <c r="J78" s="647"/>
      <c r="K78" s="648">
        <f>(H78+I78)-J78</f>
        <v>0</v>
      </c>
    </row>
    <row r="79" spans="1:11" ht="18" customHeight="1" x14ac:dyDescent="0.3">
      <c r="A79" s="639" t="s">
        <v>109</v>
      </c>
      <c r="B79" s="635" t="s">
        <v>13</v>
      </c>
      <c r="C79" s="742"/>
      <c r="D79" s="742"/>
      <c r="E79" s="742"/>
      <c r="F79" s="646">
        <f>'[10]CB Master List - FY17 &amp; CY16'!$AW$307</f>
        <v>13.949801148298448</v>
      </c>
      <c r="G79" s="646"/>
      <c r="H79" s="647"/>
      <c r="I79" s="673">
        <v>0</v>
      </c>
      <c r="J79" s="647"/>
      <c r="K79" s="648">
        <f>(H79+I79)-J79</f>
        <v>0</v>
      </c>
    </row>
    <row r="80" spans="1:11" ht="18" customHeight="1" x14ac:dyDescent="0.3">
      <c r="A80" s="639" t="s">
        <v>110</v>
      </c>
      <c r="B80" s="635" t="s">
        <v>56</v>
      </c>
      <c r="C80" s="742"/>
      <c r="D80" s="742"/>
      <c r="E80" s="742"/>
      <c r="F80" s="646"/>
      <c r="G80" s="646"/>
      <c r="H80" s="647"/>
      <c r="I80" s="673">
        <v>0</v>
      </c>
      <c r="J80" s="647"/>
      <c r="K80" s="648">
        <f>(H80+I80)-J80</f>
        <v>0</v>
      </c>
    </row>
    <row r="81" spans="1:11" ht="18" customHeight="1" x14ac:dyDescent="0.3">
      <c r="A81" s="639"/>
      <c r="B81" s="742"/>
      <c r="C81" s="742"/>
      <c r="D81" s="742"/>
      <c r="E81" s="742"/>
      <c r="F81" s="742"/>
      <c r="G81" s="742"/>
      <c r="H81" s="742"/>
      <c r="I81" s="742"/>
      <c r="J81" s="742"/>
      <c r="K81" s="663"/>
    </row>
    <row r="82" spans="1:11" ht="18" customHeight="1" x14ac:dyDescent="0.3">
      <c r="A82" s="639" t="s">
        <v>148</v>
      </c>
      <c r="B82" s="636" t="s">
        <v>149</v>
      </c>
      <c r="C82" s="742"/>
      <c r="D82" s="742"/>
      <c r="E82" s="636" t="s">
        <v>7</v>
      </c>
      <c r="F82" s="653">
        <f t="shared" ref="F82:K82" si="8">SUM(F77:F80)</f>
        <v>19.633972790576642</v>
      </c>
      <c r="G82" s="653">
        <f t="shared" si="8"/>
        <v>0</v>
      </c>
      <c r="H82" s="649">
        <f t="shared" si="8"/>
        <v>57542.378000000004</v>
      </c>
      <c r="I82" s="649">
        <f t="shared" si="8"/>
        <v>0</v>
      </c>
      <c r="J82" s="649">
        <f t="shared" si="8"/>
        <v>0</v>
      </c>
      <c r="K82" s="649">
        <f t="shared" si="8"/>
        <v>57542.378000000004</v>
      </c>
    </row>
    <row r="83" spans="1:11" ht="18" customHeight="1" thickBot="1" x14ac:dyDescent="0.35">
      <c r="A83" s="639"/>
      <c r="B83" s="742"/>
      <c r="C83" s="742"/>
      <c r="D83" s="742"/>
      <c r="E83" s="742"/>
      <c r="F83" s="655"/>
      <c r="G83" s="655"/>
      <c r="H83" s="655"/>
      <c r="I83" s="655"/>
      <c r="J83" s="655"/>
      <c r="K83" s="655"/>
    </row>
    <row r="84" spans="1:11" ht="42.75" customHeight="1" x14ac:dyDescent="0.3">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639" t="s">
        <v>112</v>
      </c>
      <c r="B86" s="635" t="s">
        <v>113</v>
      </c>
      <c r="C86" s="742"/>
      <c r="D86" s="742"/>
      <c r="E86" s="742"/>
      <c r="F86" s="646"/>
      <c r="G86" s="646"/>
      <c r="H86" s="647">
        <f>'[10]CB Master List - FY17 &amp; CY16'!$AY$332</f>
        <v>1476.14710727635</v>
      </c>
      <c r="I86" s="673">
        <f>'[10]CB Master List - FY17 &amp; CY16'!$AZ$332</f>
        <v>1027.3758403575807</v>
      </c>
      <c r="J86" s="647"/>
      <c r="K86" s="648">
        <f t="shared" ref="K86:K96" si="9">(H86+I86)-J86</f>
        <v>2503.5229476339309</v>
      </c>
    </row>
    <row r="87" spans="1:11" ht="18" customHeight="1" x14ac:dyDescent="0.3">
      <c r="A87" s="639" t="s">
        <v>114</v>
      </c>
      <c r="B87" s="635" t="s">
        <v>14</v>
      </c>
      <c r="C87" s="742"/>
      <c r="D87" s="742"/>
      <c r="E87" s="742"/>
      <c r="F87" s="646">
        <f>'[10]CB Master List - FY17 &amp; CY16'!$AW$340</f>
        <v>0.79429472730524975</v>
      </c>
      <c r="G87" s="646"/>
      <c r="H87" s="647"/>
      <c r="I87" s="673">
        <f t="shared" ref="I87:I96" si="10">H87*F$114</f>
        <v>0</v>
      </c>
      <c r="J87" s="647"/>
      <c r="K87" s="648">
        <f t="shared" si="9"/>
        <v>0</v>
      </c>
    </row>
    <row r="88" spans="1:11" ht="18" customHeight="1" x14ac:dyDescent="0.3">
      <c r="A88" s="639" t="s">
        <v>115</v>
      </c>
      <c r="B88" s="635" t="s">
        <v>116</v>
      </c>
      <c r="C88" s="742"/>
      <c r="D88" s="742"/>
      <c r="E88" s="742"/>
      <c r="F88" s="646">
        <f>'[10]CB Master List - FY17 &amp; CY16'!$AW$350</f>
        <v>1.0176901193598513</v>
      </c>
      <c r="G88" s="646"/>
      <c r="H88" s="647">
        <f>'[10]CB Master List - FY17 &amp; CY16'!$AY$350</f>
        <v>17968.8</v>
      </c>
      <c r="I88" s="673">
        <f>'[10]CB Master List - FY17 &amp; CY16'!$AZ$350</f>
        <v>21572.392801646431</v>
      </c>
      <c r="J88" s="647"/>
      <c r="K88" s="648">
        <f t="shared" si="9"/>
        <v>39541.19280164643</v>
      </c>
    </row>
    <row r="89" spans="1:11" ht="18" customHeight="1" x14ac:dyDescent="0.3">
      <c r="A89" s="639" t="s">
        <v>117</v>
      </c>
      <c r="B89" s="635" t="s">
        <v>58</v>
      </c>
      <c r="C89" s="742"/>
      <c r="D89" s="742"/>
      <c r="E89" s="742"/>
      <c r="F89" s="646"/>
      <c r="G89" s="646"/>
      <c r="H89" s="647"/>
      <c r="I89" s="673">
        <f t="shared" si="10"/>
        <v>0</v>
      </c>
      <c r="J89" s="647"/>
      <c r="K89" s="648">
        <f t="shared" si="9"/>
        <v>0</v>
      </c>
    </row>
    <row r="90" spans="1:11" ht="18" customHeight="1" x14ac:dyDescent="0.3">
      <c r="A90" s="639" t="s">
        <v>118</v>
      </c>
      <c r="B90" s="1359" t="s">
        <v>59</v>
      </c>
      <c r="C90" s="1359"/>
      <c r="D90" s="742"/>
      <c r="E90" s="742"/>
      <c r="F90" s="646">
        <f>'[10]CB Master List - FY17 &amp; CY16'!$AW$366</f>
        <v>1.1914420909578747</v>
      </c>
      <c r="G90" s="646"/>
      <c r="H90" s="647"/>
      <c r="I90" s="673">
        <f t="shared" si="10"/>
        <v>0</v>
      </c>
      <c r="J90" s="647"/>
      <c r="K90" s="648">
        <f t="shared" si="9"/>
        <v>0</v>
      </c>
    </row>
    <row r="91" spans="1:11" ht="18" customHeight="1" x14ac:dyDescent="0.3">
      <c r="A91" s="639" t="s">
        <v>119</v>
      </c>
      <c r="B91" s="635" t="s">
        <v>60</v>
      </c>
      <c r="C91" s="742"/>
      <c r="D91" s="742"/>
      <c r="E91" s="742"/>
      <c r="F91" s="646">
        <f>'[10]CB Master List - FY17 &amp; CY16'!$AW$375</f>
        <v>95.673493999999977</v>
      </c>
      <c r="G91" s="646"/>
      <c r="H91" s="647">
        <f>'[10]CB Master List - FY17 &amp; CY16'!$AY$375</f>
        <v>6682.7482046500008</v>
      </c>
      <c r="I91" s="673">
        <f>'[10]CB Master List - FY17 &amp; CY16'!$AZ$375</f>
        <v>7780.8369031717939</v>
      </c>
      <c r="J91" s="647">
        <f>'[10]CB Master List - FY17 &amp; CY16'!$BA$375</f>
        <v>878.52900799999998</v>
      </c>
      <c r="K91" s="648">
        <f t="shared" si="9"/>
        <v>13585.056099821795</v>
      </c>
    </row>
    <row r="92" spans="1:11" ht="18" customHeight="1" x14ac:dyDescent="0.3">
      <c r="A92" s="639" t="s">
        <v>120</v>
      </c>
      <c r="B92" s="635" t="s">
        <v>121</v>
      </c>
      <c r="C92" s="742"/>
      <c r="D92" s="742"/>
      <c r="E92" s="742"/>
      <c r="F92" s="661">
        <f>'[10]CB Master List - FY17 &amp; CY16'!$AW$387</f>
        <v>687.19373418999442</v>
      </c>
      <c r="G92" s="661"/>
      <c r="H92" s="662">
        <f>'[10]CB Master List - FY17 &amp; CY16'!$AY$387</f>
        <v>62596.317398304396</v>
      </c>
      <c r="I92" s="673">
        <f>'[10]CB Master List - FY17 &amp; CY16'!$AZ$387</f>
        <v>75149.834538352996</v>
      </c>
      <c r="J92" s="662"/>
      <c r="K92" s="648">
        <f t="shared" si="9"/>
        <v>137746.15193665738</v>
      </c>
    </row>
    <row r="93" spans="1:11" ht="18" customHeight="1" x14ac:dyDescent="0.3">
      <c r="A93" s="639" t="s">
        <v>122</v>
      </c>
      <c r="B93" s="635" t="s">
        <v>123</v>
      </c>
      <c r="C93" s="742"/>
      <c r="D93" s="742"/>
      <c r="E93" s="742"/>
      <c r="F93" s="646"/>
      <c r="G93" s="646"/>
      <c r="H93" s="647"/>
      <c r="I93" s="673">
        <f t="shared" si="10"/>
        <v>0</v>
      </c>
      <c r="J93" s="647"/>
      <c r="K93" s="648">
        <f t="shared" si="9"/>
        <v>0</v>
      </c>
    </row>
    <row r="94" spans="1:11" ht="18" customHeight="1" x14ac:dyDescent="0.3">
      <c r="A94" s="639" t="s">
        <v>124</v>
      </c>
      <c r="B94" s="1354"/>
      <c r="C94" s="1355"/>
      <c r="D94" s="1356"/>
      <c r="E94" s="742"/>
      <c r="F94" s="646"/>
      <c r="G94" s="646"/>
      <c r="H94" s="647"/>
      <c r="I94" s="673">
        <f t="shared" si="10"/>
        <v>0</v>
      </c>
      <c r="J94" s="647"/>
      <c r="K94" s="648">
        <f t="shared" si="9"/>
        <v>0</v>
      </c>
    </row>
    <row r="95" spans="1:11" ht="18" customHeight="1" x14ac:dyDescent="0.3">
      <c r="A95" s="639" t="s">
        <v>125</v>
      </c>
      <c r="B95" s="1354"/>
      <c r="C95" s="1355"/>
      <c r="D95" s="1356"/>
      <c r="E95" s="742"/>
      <c r="F95" s="646"/>
      <c r="G95" s="646"/>
      <c r="H95" s="647"/>
      <c r="I95" s="673">
        <f t="shared" si="10"/>
        <v>0</v>
      </c>
      <c r="J95" s="647"/>
      <c r="K95" s="648">
        <f t="shared" si="9"/>
        <v>0</v>
      </c>
    </row>
    <row r="96" spans="1:11" ht="18" customHeight="1" x14ac:dyDescent="0.3">
      <c r="A96" s="639" t="s">
        <v>126</v>
      </c>
      <c r="B96" s="1354"/>
      <c r="C96" s="1355"/>
      <c r="D96" s="1356"/>
      <c r="E96" s="742"/>
      <c r="F96" s="646"/>
      <c r="G96" s="646"/>
      <c r="H96" s="647"/>
      <c r="I96" s="673">
        <f t="shared" si="10"/>
        <v>0</v>
      </c>
      <c r="J96" s="647"/>
      <c r="K96" s="648">
        <f t="shared" si="9"/>
        <v>0</v>
      </c>
    </row>
    <row r="97" spans="1:11" ht="18" customHeight="1" x14ac:dyDescent="0.3">
      <c r="A97" s="639"/>
      <c r="B97" s="635"/>
      <c r="C97" s="742"/>
      <c r="D97" s="742"/>
      <c r="E97" s="742"/>
      <c r="F97" s="742"/>
      <c r="G97" s="742"/>
      <c r="H97" s="742"/>
      <c r="I97" s="742"/>
      <c r="J97" s="742"/>
      <c r="K97" s="742"/>
    </row>
    <row r="98" spans="1:11" ht="18" customHeight="1" x14ac:dyDescent="0.3">
      <c r="A98" s="639" t="s">
        <v>150</v>
      </c>
      <c r="B98" s="636" t="s">
        <v>151</v>
      </c>
      <c r="C98" s="742"/>
      <c r="D98" s="742"/>
      <c r="E98" s="636" t="s">
        <v>7</v>
      </c>
      <c r="F98" s="650">
        <f t="shared" ref="F98:K98" si="11">SUM(F86:F96)</f>
        <v>785.8706551276174</v>
      </c>
      <c r="G98" s="650">
        <f t="shared" si="11"/>
        <v>0</v>
      </c>
      <c r="H98" s="650">
        <f t="shared" si="11"/>
        <v>88724.012710230745</v>
      </c>
      <c r="I98" s="650">
        <f t="shared" si="11"/>
        <v>105530.44008352881</v>
      </c>
      <c r="J98" s="650">
        <f t="shared" si="11"/>
        <v>878.52900799999998</v>
      </c>
      <c r="K98" s="650">
        <f t="shared" si="11"/>
        <v>193375.92378575954</v>
      </c>
    </row>
    <row r="99" spans="1:11" ht="18" customHeight="1" thickBot="1" x14ac:dyDescent="0.35">
      <c r="B99" s="636"/>
      <c r="C99" s="742"/>
      <c r="D99" s="742"/>
      <c r="E99" s="742"/>
      <c r="F99" s="655"/>
      <c r="G99" s="655"/>
      <c r="H99" s="655"/>
      <c r="I99" s="655"/>
      <c r="J99" s="655"/>
      <c r="K99" s="655"/>
    </row>
    <row r="100" spans="1:11" ht="42.75" customHeight="1" x14ac:dyDescent="0.3">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639" t="s">
        <v>131</v>
      </c>
      <c r="B102" s="635" t="s">
        <v>152</v>
      </c>
      <c r="C102" s="742"/>
      <c r="D102" s="742"/>
      <c r="E102" s="742"/>
      <c r="F102" s="646">
        <f>'[10]CB Master List - FY17 &amp; CY16'!$AW$421</f>
        <v>577.13301110273005</v>
      </c>
      <c r="G102" s="646"/>
      <c r="H102" s="647">
        <f>'[10]CB Master List - FY17 &amp; CY16'!$AY$421</f>
        <v>30843.790647650003</v>
      </c>
      <c r="I102" s="673">
        <f>'[10]CB Master List - FY17 &amp; CY16'!$AZ$421</f>
        <v>36649.311488597392</v>
      </c>
      <c r="J102" s="647">
        <f>'[10]CB Master List - FY17 &amp; CY16'!$BA$421</f>
        <v>3079.2299737500002</v>
      </c>
      <c r="K102" s="648">
        <f>(H102+I102)-J102</f>
        <v>64413.872162497399</v>
      </c>
    </row>
    <row r="103" spans="1:11" ht="18" customHeight="1" x14ac:dyDescent="0.3">
      <c r="A103" s="639" t="s">
        <v>132</v>
      </c>
      <c r="B103" s="1357" t="s">
        <v>62</v>
      </c>
      <c r="C103" s="1357"/>
      <c r="D103" s="742"/>
      <c r="E103" s="742"/>
      <c r="F103" s="646">
        <f>'[10]CB Master List - FY17 &amp; CY16'!$AW$430</f>
        <v>1.7126980057519448</v>
      </c>
      <c r="G103" s="646"/>
      <c r="H103" s="647"/>
      <c r="I103" s="673">
        <f>H103*F$114</f>
        <v>0</v>
      </c>
      <c r="J103" s="647"/>
      <c r="K103" s="648">
        <f>(H103+I103)-J103</f>
        <v>0</v>
      </c>
    </row>
    <row r="104" spans="1:11" ht="18" customHeight="1" x14ac:dyDescent="0.3">
      <c r="A104" s="639" t="s">
        <v>128</v>
      </c>
      <c r="B104" s="1354" t="s">
        <v>195</v>
      </c>
      <c r="C104" s="1355"/>
      <c r="D104" s="1356"/>
      <c r="E104" s="742"/>
      <c r="F104" s="646">
        <f>'[10]CB Master List - FY17 &amp; CY16'!$AW$438</f>
        <v>271.37790399999994</v>
      </c>
      <c r="G104" s="646"/>
      <c r="H104" s="647">
        <f>'[10]CB Master List - FY17 &amp; CY16'!$AY$438</f>
        <v>16155.202362950002</v>
      </c>
      <c r="I104" s="673">
        <f>'[10]CB Master List - FY17 &amp; CY16'!$AZ$438</f>
        <v>19395.083208875607</v>
      </c>
      <c r="J104" s="647">
        <f>'[10]CB Master List - FY17 &amp; CY16'!$BA$438</f>
        <v>1533.1450036000001</v>
      </c>
      <c r="K104" s="648">
        <f>(H104+I104)-J104</f>
        <v>34017.140568225608</v>
      </c>
    </row>
    <row r="105" spans="1:11" ht="18" customHeight="1" x14ac:dyDescent="0.3">
      <c r="A105" s="639" t="s">
        <v>127</v>
      </c>
      <c r="B105" s="1354"/>
      <c r="C105" s="1355"/>
      <c r="D105" s="1356"/>
      <c r="E105" s="742"/>
      <c r="F105" s="646"/>
      <c r="G105" s="646"/>
      <c r="H105" s="647"/>
      <c r="I105" s="673">
        <f>H105*F$114</f>
        <v>0</v>
      </c>
      <c r="J105" s="647"/>
      <c r="K105" s="648">
        <f>(H105+I105)-J105</f>
        <v>0</v>
      </c>
    </row>
    <row r="106" spans="1:11" ht="18" customHeight="1" x14ac:dyDescent="0.3">
      <c r="A106" s="639" t="s">
        <v>129</v>
      </c>
      <c r="B106" s="1354"/>
      <c r="C106" s="1355"/>
      <c r="D106" s="1356"/>
      <c r="E106" s="742"/>
      <c r="F106" s="646"/>
      <c r="G106" s="646"/>
      <c r="H106" s="647"/>
      <c r="I106" s="673">
        <f>H106*F$114</f>
        <v>0</v>
      </c>
      <c r="J106" s="647"/>
      <c r="K106" s="648">
        <f>(H106+I106)-J106</f>
        <v>0</v>
      </c>
    </row>
    <row r="107" spans="1:11" ht="18" customHeight="1" x14ac:dyDescent="0.3">
      <c r="B107" s="636"/>
      <c r="C107" s="742"/>
      <c r="D107" s="742"/>
      <c r="E107" s="742"/>
      <c r="F107" s="742"/>
      <c r="G107" s="742"/>
      <c r="H107" s="742"/>
      <c r="I107" s="742"/>
      <c r="J107" s="742"/>
      <c r="K107" s="742"/>
    </row>
    <row r="108" spans="1:11" s="3" customFormat="1" ht="18" customHeight="1" x14ac:dyDescent="0.3">
      <c r="A108" s="639" t="s">
        <v>153</v>
      </c>
      <c r="B108" s="686" t="s">
        <v>154</v>
      </c>
      <c r="C108" s="742"/>
      <c r="D108" s="742"/>
      <c r="E108" s="636" t="s">
        <v>7</v>
      </c>
      <c r="F108" s="650">
        <f t="shared" ref="F108:K108" si="12">SUM(F102:F106)</f>
        <v>850.22361310848191</v>
      </c>
      <c r="G108" s="650">
        <f t="shared" si="12"/>
        <v>0</v>
      </c>
      <c r="H108" s="648">
        <f t="shared" si="12"/>
        <v>46998.993010600003</v>
      </c>
      <c r="I108" s="648">
        <f t="shared" si="12"/>
        <v>56044.394697472999</v>
      </c>
      <c r="J108" s="648">
        <f t="shared" si="12"/>
        <v>4612.3749773500003</v>
      </c>
      <c r="K108" s="648">
        <f t="shared" si="12"/>
        <v>98431.012730723014</v>
      </c>
    </row>
    <row r="109" spans="1:11" s="3" customFormat="1" ht="18" customHeight="1" thickBot="1" x14ac:dyDescent="0.35">
      <c r="A109" s="643"/>
      <c r="B109" s="644"/>
      <c r="C109" s="645"/>
      <c r="D109" s="645"/>
      <c r="E109" s="645"/>
      <c r="F109" s="655"/>
      <c r="G109" s="655"/>
      <c r="H109" s="655"/>
      <c r="I109" s="655"/>
      <c r="J109" s="655"/>
      <c r="K109" s="655"/>
    </row>
    <row r="110" spans="1:11" s="3"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647">
        <f>'[10]CB Master List - FY17 &amp; CY16'!$BB$459</f>
        <v>1451432</v>
      </c>
      <c r="G111" s="742"/>
      <c r="H111" s="742"/>
      <c r="I111" s="742"/>
      <c r="J111" s="742"/>
      <c r="K111" s="742"/>
    </row>
    <row r="112" spans="1:11" ht="18" customHeight="1" x14ac:dyDescent="0.3">
      <c r="B112" s="636"/>
      <c r="C112" s="742"/>
      <c r="D112" s="742"/>
      <c r="E112" s="636"/>
      <c r="F112" s="734"/>
      <c r="G112" s="742"/>
      <c r="H112" s="742"/>
      <c r="I112" s="742"/>
      <c r="J112" s="742"/>
      <c r="K112" s="742"/>
    </row>
    <row r="113" spans="1:11" ht="18" customHeight="1" x14ac:dyDescent="0.3">
      <c r="A113" s="639"/>
      <c r="B113" s="636" t="s">
        <v>15</v>
      </c>
      <c r="C113" s="742"/>
      <c r="D113" s="742"/>
      <c r="E113" s="742"/>
      <c r="F113" s="742"/>
      <c r="G113" s="742"/>
      <c r="H113" s="742"/>
      <c r="I113" s="742"/>
      <c r="J113" s="742"/>
      <c r="K113" s="742"/>
    </row>
    <row r="114" spans="1:11" ht="18" customHeight="1" x14ac:dyDescent="0.3">
      <c r="A114" s="639" t="s">
        <v>171</v>
      </c>
      <c r="B114" s="635" t="s">
        <v>35</v>
      </c>
      <c r="C114" s="742"/>
      <c r="D114" s="742"/>
      <c r="E114" s="742"/>
      <c r="F114" s="656">
        <f>'[10]CB Master List - FY17 &amp; CY16'!$BB$463</f>
        <v>1.2005472152645937</v>
      </c>
      <c r="G114" s="742"/>
      <c r="H114" s="742"/>
      <c r="I114" s="742"/>
      <c r="J114" s="742"/>
      <c r="K114" s="742"/>
    </row>
    <row r="115" spans="1:11" ht="18" customHeight="1" x14ac:dyDescent="0.3">
      <c r="A115" s="639"/>
      <c r="B115" s="636"/>
      <c r="C115" s="742"/>
      <c r="D115" s="742"/>
      <c r="E115" s="742"/>
      <c r="F115" s="742"/>
      <c r="G115" s="742"/>
      <c r="H115" s="742"/>
      <c r="I115" s="742"/>
      <c r="J115" s="742"/>
      <c r="K115" s="742"/>
    </row>
    <row r="116" spans="1:11" ht="18" customHeight="1" x14ac:dyDescent="0.3">
      <c r="A116" s="639" t="s">
        <v>170</v>
      </c>
      <c r="B116" s="636" t="s">
        <v>16</v>
      </c>
      <c r="C116" s="742"/>
      <c r="D116" s="742"/>
      <c r="E116" s="742"/>
      <c r="F116" s="742"/>
      <c r="G116" s="742"/>
      <c r="H116" s="742"/>
      <c r="I116" s="742"/>
      <c r="J116" s="742"/>
      <c r="K116" s="742"/>
    </row>
    <row r="117" spans="1:11" ht="18" customHeight="1" x14ac:dyDescent="0.3">
      <c r="A117" s="639" t="s">
        <v>172</v>
      </c>
      <c r="B117" s="635" t="s">
        <v>17</v>
      </c>
      <c r="C117" s="742"/>
      <c r="D117" s="742"/>
      <c r="E117" s="742"/>
      <c r="F117" s="647">
        <f>'[11]ConsolidatING P&amp;L'!$AE$74-'[11]ConsolidatING P&amp;L'!$Y$74</f>
        <v>35901688</v>
      </c>
      <c r="G117" s="742"/>
      <c r="H117" s="742"/>
      <c r="I117" s="742"/>
      <c r="J117" s="742"/>
      <c r="K117" s="742"/>
    </row>
    <row r="118" spans="1:11" ht="18" customHeight="1" x14ac:dyDescent="0.3">
      <c r="A118" s="639" t="s">
        <v>173</v>
      </c>
      <c r="B118" s="742" t="s">
        <v>18</v>
      </c>
      <c r="C118" s="742"/>
      <c r="D118" s="742"/>
      <c r="E118" s="742"/>
      <c r="F118" s="647">
        <f>'[11]ConsolidatING P&amp;L'!$AE$120-'[11]ConsolidatING P&amp;L'!$Y$120</f>
        <v>6493107</v>
      </c>
      <c r="G118" s="742"/>
      <c r="H118" s="742"/>
      <c r="I118" s="742"/>
      <c r="J118" s="742"/>
      <c r="K118" s="742"/>
    </row>
    <row r="119" spans="1:11" ht="18" customHeight="1" x14ac:dyDescent="0.3">
      <c r="A119" s="639" t="s">
        <v>174</v>
      </c>
      <c r="B119" s="636" t="s">
        <v>19</v>
      </c>
      <c r="C119" s="742"/>
      <c r="D119" s="742"/>
      <c r="E119" s="742"/>
      <c r="F119" s="649">
        <f>SUM(F117:F118)</f>
        <v>42394795</v>
      </c>
      <c r="G119" s="742"/>
      <c r="H119" s="742"/>
      <c r="I119" s="742"/>
      <c r="J119" s="742"/>
      <c r="K119" s="742"/>
    </row>
    <row r="120" spans="1:11" ht="18" customHeight="1" x14ac:dyDescent="0.3">
      <c r="A120" s="639"/>
      <c r="B120" s="636"/>
      <c r="C120" s="742"/>
      <c r="D120" s="742"/>
      <c r="E120" s="742"/>
      <c r="F120" s="742"/>
      <c r="G120" s="742"/>
      <c r="H120" s="742"/>
      <c r="I120" s="742"/>
      <c r="J120" s="742"/>
      <c r="K120" s="742"/>
    </row>
    <row r="121" spans="1:11" ht="18" customHeight="1" x14ac:dyDescent="0.3">
      <c r="A121" s="639" t="s">
        <v>167</v>
      </c>
      <c r="B121" s="636" t="s">
        <v>36</v>
      </c>
      <c r="C121" s="742"/>
      <c r="D121" s="742"/>
      <c r="E121" s="742"/>
      <c r="F121" s="647">
        <f>'[11]ConsolidatING P&amp;L'!$AE$485-'[11]ConsolidatING P&amp;L'!$Y$485-'[11]ConsolidatING P&amp;L'!$AC$485</f>
        <v>40204927</v>
      </c>
      <c r="G121" s="742"/>
      <c r="H121" s="742"/>
      <c r="I121" s="742"/>
      <c r="J121" s="742"/>
      <c r="K121" s="742"/>
    </row>
    <row r="122" spans="1:11" ht="18" customHeight="1" x14ac:dyDescent="0.3">
      <c r="A122" s="639"/>
      <c r="B122" s="742"/>
      <c r="C122" s="742"/>
      <c r="D122" s="742"/>
      <c r="E122" s="742"/>
      <c r="F122" s="742"/>
      <c r="G122" s="742"/>
      <c r="H122" s="742"/>
      <c r="I122" s="742"/>
      <c r="J122" s="742"/>
      <c r="K122" s="742"/>
    </row>
    <row r="123" spans="1:11" ht="18" customHeight="1" x14ac:dyDescent="0.3">
      <c r="A123" s="639" t="s">
        <v>175</v>
      </c>
      <c r="B123" s="636" t="s">
        <v>20</v>
      </c>
      <c r="C123" s="742"/>
      <c r="D123" s="742"/>
      <c r="E123" s="742"/>
      <c r="F123" s="647">
        <f>+F119-F121</f>
        <v>2189868</v>
      </c>
      <c r="G123" s="742"/>
      <c r="H123" s="742"/>
      <c r="I123" s="742"/>
      <c r="J123" s="742"/>
      <c r="K123" s="742"/>
    </row>
    <row r="124" spans="1:11" ht="18" customHeight="1" x14ac:dyDescent="0.3">
      <c r="A124" s="639"/>
      <c r="B124" s="742"/>
      <c r="C124" s="742"/>
      <c r="D124" s="742"/>
      <c r="E124" s="742"/>
      <c r="F124" s="742"/>
      <c r="G124" s="742"/>
      <c r="H124" s="742"/>
      <c r="I124" s="742"/>
      <c r="J124" s="742"/>
      <c r="K124" s="742"/>
    </row>
    <row r="125" spans="1:11" ht="18" customHeight="1" x14ac:dyDescent="0.3">
      <c r="A125" s="639" t="s">
        <v>176</v>
      </c>
      <c r="B125" s="636" t="s">
        <v>21</v>
      </c>
      <c r="C125" s="742"/>
      <c r="D125" s="742"/>
      <c r="E125" s="742"/>
      <c r="F125" s="647">
        <f>'[11]ConsolidatING P&amp;L'!$AE$505-'[11]ConsolidatING P&amp;L'!$Y$505</f>
        <v>-20155</v>
      </c>
      <c r="G125" s="742"/>
      <c r="H125" s="742"/>
      <c r="I125" s="742"/>
      <c r="J125" s="742"/>
      <c r="K125" s="742"/>
    </row>
    <row r="126" spans="1:11" ht="18" customHeight="1" x14ac:dyDescent="0.3">
      <c r="A126" s="639"/>
      <c r="B126" s="742"/>
      <c r="C126" s="742"/>
      <c r="D126" s="742"/>
      <c r="E126" s="742"/>
      <c r="F126" s="742"/>
      <c r="G126" s="742"/>
      <c r="H126" s="742"/>
      <c r="I126" s="742"/>
      <c r="J126" s="742"/>
      <c r="K126" s="742"/>
    </row>
    <row r="127" spans="1:11" ht="18" customHeight="1" x14ac:dyDescent="0.3">
      <c r="A127" s="639" t="s">
        <v>177</v>
      </c>
      <c r="B127" s="636" t="s">
        <v>22</v>
      </c>
      <c r="C127" s="742"/>
      <c r="D127" s="742"/>
      <c r="E127" s="742"/>
      <c r="F127" s="647">
        <f>F123+F125</f>
        <v>2169713</v>
      </c>
      <c r="G127" s="742"/>
      <c r="H127" s="742"/>
      <c r="I127" s="742"/>
      <c r="J127" s="742"/>
      <c r="K127" s="742"/>
    </row>
    <row r="128" spans="1:11" ht="18" customHeight="1" x14ac:dyDescent="0.3">
      <c r="A128" s="639"/>
      <c r="B128" s="742"/>
      <c r="C128" s="742"/>
      <c r="D128" s="742"/>
      <c r="E128" s="742"/>
      <c r="F128" s="742"/>
      <c r="G128" s="742"/>
      <c r="H128" s="742"/>
      <c r="I128" s="742"/>
      <c r="J128" s="742"/>
      <c r="K128" s="742"/>
    </row>
    <row r="129" spans="1:11" ht="42.75" customHeight="1" x14ac:dyDescent="0.3">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639" t="s">
        <v>158</v>
      </c>
      <c r="B131" s="742" t="s">
        <v>24</v>
      </c>
      <c r="C131" s="742"/>
      <c r="D131" s="742"/>
      <c r="E131" s="742"/>
      <c r="F131" s="646"/>
      <c r="G131" s="646"/>
      <c r="H131" s="647"/>
      <c r="I131" s="673">
        <v>0</v>
      </c>
      <c r="J131" s="647"/>
      <c r="K131" s="648">
        <f>(H131+I131)-J131</f>
        <v>0</v>
      </c>
    </row>
    <row r="132" spans="1:11" ht="18" customHeight="1" x14ac:dyDescent="0.3">
      <c r="A132" s="639" t="s">
        <v>159</v>
      </c>
      <c r="B132" s="742" t="s">
        <v>25</v>
      </c>
      <c r="C132" s="742"/>
      <c r="D132" s="742"/>
      <c r="E132" s="742"/>
      <c r="F132" s="646"/>
      <c r="G132" s="646"/>
      <c r="H132" s="647"/>
      <c r="I132" s="673">
        <v>0</v>
      </c>
      <c r="J132" s="647"/>
      <c r="K132" s="648">
        <f>(H132+I132)-J132</f>
        <v>0</v>
      </c>
    </row>
    <row r="133" spans="1:11" ht="18" customHeight="1" x14ac:dyDescent="0.3">
      <c r="A133" s="639" t="s">
        <v>160</v>
      </c>
      <c r="B133" s="1351"/>
      <c r="C133" s="1352"/>
      <c r="D133" s="1353"/>
      <c r="E133" s="742"/>
      <c r="F133" s="646"/>
      <c r="G133" s="646"/>
      <c r="H133" s="647"/>
      <c r="I133" s="673">
        <v>0</v>
      </c>
      <c r="J133" s="647"/>
      <c r="K133" s="648">
        <f>(H133+I133)-J133</f>
        <v>0</v>
      </c>
    </row>
    <row r="134" spans="1:11" ht="18" customHeight="1" x14ac:dyDescent="0.3">
      <c r="A134" s="639" t="s">
        <v>161</v>
      </c>
      <c r="B134" s="1351"/>
      <c r="C134" s="1352"/>
      <c r="D134" s="1353"/>
      <c r="E134" s="742"/>
      <c r="F134" s="646"/>
      <c r="G134" s="646"/>
      <c r="H134" s="647"/>
      <c r="I134" s="673">
        <v>0</v>
      </c>
      <c r="J134" s="647"/>
      <c r="K134" s="648">
        <f>(H134+I134)-J134</f>
        <v>0</v>
      </c>
    </row>
    <row r="135" spans="1:11" ht="18" customHeight="1" x14ac:dyDescent="0.3">
      <c r="A135" s="639" t="s">
        <v>162</v>
      </c>
      <c r="B135" s="1351"/>
      <c r="C135" s="1352"/>
      <c r="D135" s="1353"/>
      <c r="E135" s="742"/>
      <c r="F135" s="646"/>
      <c r="G135" s="646"/>
      <c r="H135" s="647"/>
      <c r="I135" s="673">
        <v>0</v>
      </c>
      <c r="J135" s="647"/>
      <c r="K135" s="648">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650">
        <f t="shared" ref="F137:K137" si="13">SUM(F131:F135)</f>
        <v>0</v>
      </c>
      <c r="G137" s="650">
        <f t="shared" si="13"/>
        <v>0</v>
      </c>
      <c r="H137" s="648">
        <f t="shared" si="13"/>
        <v>0</v>
      </c>
      <c r="I137" s="648">
        <f t="shared" si="13"/>
        <v>0</v>
      </c>
      <c r="J137" s="648">
        <f t="shared" si="13"/>
        <v>0</v>
      </c>
      <c r="K137" s="648">
        <f t="shared" si="13"/>
        <v>0</v>
      </c>
    </row>
    <row r="138" spans="1:11" ht="18" customHeight="1" x14ac:dyDescent="0.25">
      <c r="B138" s="742"/>
      <c r="C138" s="742"/>
      <c r="D138" s="742"/>
      <c r="E138" s="742"/>
      <c r="F138" s="742"/>
      <c r="G138" s="742"/>
      <c r="H138" s="742"/>
      <c r="I138" s="742"/>
      <c r="J138" s="742"/>
      <c r="K138" s="742"/>
    </row>
    <row r="139" spans="1:11" ht="42.75" customHeight="1" x14ac:dyDescent="0.3">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639" t="s">
        <v>137</v>
      </c>
      <c r="B141" s="636" t="s">
        <v>64</v>
      </c>
      <c r="C141" s="742"/>
      <c r="D141" s="742"/>
      <c r="E141" s="742"/>
      <c r="F141" s="664">
        <f t="shared" ref="F141:K141" si="14">F36</f>
        <v>1356.6981540270135</v>
      </c>
      <c r="G141" s="664">
        <f t="shared" si="14"/>
        <v>367.22654461405511</v>
      </c>
      <c r="H141" s="664">
        <f t="shared" si="14"/>
        <v>504787.33385607495</v>
      </c>
      <c r="I141" s="664">
        <f t="shared" si="14"/>
        <v>601584.62921671732</v>
      </c>
      <c r="J141" s="664">
        <f t="shared" si="14"/>
        <v>5102.5930892999995</v>
      </c>
      <c r="K141" s="664">
        <f t="shared" si="14"/>
        <v>1101269.3699834922</v>
      </c>
    </row>
    <row r="142" spans="1:11" ht="18" customHeight="1" x14ac:dyDescent="0.3">
      <c r="A142" s="639" t="s">
        <v>142</v>
      </c>
      <c r="B142" s="636" t="s">
        <v>65</v>
      </c>
      <c r="C142" s="742"/>
      <c r="D142" s="742"/>
      <c r="E142" s="742"/>
      <c r="F142" s="664">
        <f t="shared" ref="F142:K142" si="15">F49</f>
        <v>220.23417712273945</v>
      </c>
      <c r="G142" s="664">
        <f t="shared" si="15"/>
        <v>0.64536446593551544</v>
      </c>
      <c r="H142" s="664">
        <f t="shared" si="15"/>
        <v>9505.7103417500002</v>
      </c>
      <c r="I142" s="664">
        <f t="shared" si="15"/>
        <v>0</v>
      </c>
      <c r="J142" s="664">
        <f t="shared" si="15"/>
        <v>940.41639229999998</v>
      </c>
      <c r="K142" s="664">
        <f t="shared" si="15"/>
        <v>8565.2939494500006</v>
      </c>
    </row>
    <row r="143" spans="1:11" ht="18" customHeight="1" x14ac:dyDescent="0.3">
      <c r="A143" s="639" t="s">
        <v>144</v>
      </c>
      <c r="B143" s="636" t="s">
        <v>66</v>
      </c>
      <c r="C143" s="742"/>
      <c r="D143" s="742"/>
      <c r="E143" s="742"/>
      <c r="F143" s="664">
        <f t="shared" ref="F143:K143" si="16">F64</f>
        <v>41600</v>
      </c>
      <c r="G143" s="664">
        <f t="shared" si="16"/>
        <v>0</v>
      </c>
      <c r="H143" s="664">
        <f t="shared" si="16"/>
        <v>3523590.8430000003</v>
      </c>
      <c r="I143" s="664">
        <f t="shared" si="16"/>
        <v>0</v>
      </c>
      <c r="J143" s="664">
        <f t="shared" si="16"/>
        <v>0</v>
      </c>
      <c r="K143" s="664">
        <f t="shared" si="16"/>
        <v>3523590.8430000003</v>
      </c>
    </row>
    <row r="144" spans="1:11" ht="18" customHeight="1" x14ac:dyDescent="0.3">
      <c r="A144" s="639" t="s">
        <v>146</v>
      </c>
      <c r="B144" s="636" t="s">
        <v>67</v>
      </c>
      <c r="C144" s="742"/>
      <c r="D144" s="742"/>
      <c r="E144" s="742"/>
      <c r="F144" s="664">
        <f t="shared" ref="F144:K144" si="17">F74</f>
        <v>0</v>
      </c>
      <c r="G144" s="664">
        <f t="shared" si="17"/>
        <v>0</v>
      </c>
      <c r="H144" s="664">
        <f t="shared" si="17"/>
        <v>0</v>
      </c>
      <c r="I144" s="664">
        <f t="shared" si="17"/>
        <v>0</v>
      </c>
      <c r="J144" s="664">
        <f t="shared" si="17"/>
        <v>0</v>
      </c>
      <c r="K144" s="664">
        <f t="shared" si="17"/>
        <v>0</v>
      </c>
    </row>
    <row r="145" spans="1:11" ht="18" customHeight="1" x14ac:dyDescent="0.3">
      <c r="A145" s="639" t="s">
        <v>148</v>
      </c>
      <c r="B145" s="636" t="s">
        <v>68</v>
      </c>
      <c r="C145" s="742"/>
      <c r="D145" s="742"/>
      <c r="E145" s="742"/>
      <c r="F145" s="664">
        <f t="shared" ref="F145:K145" si="18">F82</f>
        <v>19.633972790576642</v>
      </c>
      <c r="G145" s="664">
        <f t="shared" si="18"/>
        <v>0</v>
      </c>
      <c r="H145" s="664">
        <f t="shared" si="18"/>
        <v>57542.378000000004</v>
      </c>
      <c r="I145" s="664">
        <f t="shared" si="18"/>
        <v>0</v>
      </c>
      <c r="J145" s="664">
        <f t="shared" si="18"/>
        <v>0</v>
      </c>
      <c r="K145" s="664">
        <f t="shared" si="18"/>
        <v>57542.378000000004</v>
      </c>
    </row>
    <row r="146" spans="1:11" ht="18" customHeight="1" x14ac:dyDescent="0.3">
      <c r="A146" s="639" t="s">
        <v>150</v>
      </c>
      <c r="B146" s="636" t="s">
        <v>69</v>
      </c>
      <c r="C146" s="742"/>
      <c r="D146" s="742"/>
      <c r="E146" s="742"/>
      <c r="F146" s="664">
        <f t="shared" ref="F146:K146" si="19">F98</f>
        <v>785.8706551276174</v>
      </c>
      <c r="G146" s="664">
        <f t="shared" si="19"/>
        <v>0</v>
      </c>
      <c r="H146" s="664">
        <f t="shared" si="19"/>
        <v>88724.012710230745</v>
      </c>
      <c r="I146" s="664">
        <f t="shared" si="19"/>
        <v>105530.44008352881</v>
      </c>
      <c r="J146" s="664">
        <f t="shared" si="19"/>
        <v>878.52900799999998</v>
      </c>
      <c r="K146" s="664">
        <f t="shared" si="19"/>
        <v>193375.92378575954</v>
      </c>
    </row>
    <row r="147" spans="1:11" ht="18" customHeight="1" x14ac:dyDescent="0.3">
      <c r="A147" s="639" t="s">
        <v>153</v>
      </c>
      <c r="B147" s="636" t="s">
        <v>61</v>
      </c>
      <c r="C147" s="742"/>
      <c r="D147" s="742"/>
      <c r="E147" s="742"/>
      <c r="F147" s="650">
        <f t="shared" ref="F147:K147" si="20">F108</f>
        <v>850.22361310848191</v>
      </c>
      <c r="G147" s="650">
        <f t="shared" si="20"/>
        <v>0</v>
      </c>
      <c r="H147" s="650">
        <f t="shared" si="20"/>
        <v>46998.993010600003</v>
      </c>
      <c r="I147" s="650">
        <f t="shared" si="20"/>
        <v>56044.394697472999</v>
      </c>
      <c r="J147" s="650">
        <f t="shared" si="20"/>
        <v>4612.3749773500003</v>
      </c>
      <c r="K147" s="650">
        <f t="shared" si="20"/>
        <v>98431.012730723014</v>
      </c>
    </row>
    <row r="148" spans="1:11" ht="18" customHeight="1" x14ac:dyDescent="0.3">
      <c r="A148" s="639" t="s">
        <v>155</v>
      </c>
      <c r="B148" s="636" t="s">
        <v>70</v>
      </c>
      <c r="C148" s="742"/>
      <c r="D148" s="742"/>
      <c r="E148" s="742"/>
      <c r="F148" s="665" t="s">
        <v>73</v>
      </c>
      <c r="G148" s="665" t="s">
        <v>73</v>
      </c>
      <c r="H148" s="666" t="s">
        <v>73</v>
      </c>
      <c r="I148" s="666" t="s">
        <v>73</v>
      </c>
      <c r="J148" s="666" t="s">
        <v>73</v>
      </c>
      <c r="K148" s="660">
        <f>F111</f>
        <v>1451432</v>
      </c>
    </row>
    <row r="149" spans="1:11" ht="18" customHeight="1" x14ac:dyDescent="0.3">
      <c r="A149" s="639" t="s">
        <v>163</v>
      </c>
      <c r="B149" s="636" t="s">
        <v>71</v>
      </c>
      <c r="C149" s="742"/>
      <c r="D149" s="742"/>
      <c r="E149" s="742"/>
      <c r="F149" s="650">
        <f t="shared" ref="F149:K149" si="21">F137</f>
        <v>0</v>
      </c>
      <c r="G149" s="650">
        <f t="shared" si="21"/>
        <v>0</v>
      </c>
      <c r="H149" s="650">
        <f t="shared" si="21"/>
        <v>0</v>
      </c>
      <c r="I149" s="650">
        <f t="shared" si="21"/>
        <v>0</v>
      </c>
      <c r="J149" s="650">
        <f t="shared" si="21"/>
        <v>0</v>
      </c>
      <c r="K149" s="650">
        <f t="shared" si="21"/>
        <v>0</v>
      </c>
    </row>
    <row r="150" spans="1:11" ht="18" customHeight="1" x14ac:dyDescent="0.3">
      <c r="A150" s="639" t="s">
        <v>185</v>
      </c>
      <c r="B150" s="636" t="s">
        <v>186</v>
      </c>
      <c r="C150" s="742"/>
      <c r="D150" s="742"/>
      <c r="E150" s="742"/>
      <c r="F150" s="665" t="s">
        <v>73</v>
      </c>
      <c r="G150" s="665" t="s">
        <v>73</v>
      </c>
      <c r="H150" s="650">
        <f>H18</f>
        <v>0</v>
      </c>
      <c r="I150" s="650">
        <f>I18</f>
        <v>0</v>
      </c>
      <c r="J150" s="650">
        <f>J18</f>
        <v>0</v>
      </c>
      <c r="K150" s="650">
        <f>K18</f>
        <v>0</v>
      </c>
    </row>
    <row r="151" spans="1:11" ht="18" customHeight="1" x14ac:dyDescent="0.3">
      <c r="B151" s="636"/>
      <c r="C151" s="742"/>
      <c r="D151" s="742"/>
      <c r="E151" s="742"/>
      <c r="F151" s="671"/>
      <c r="G151" s="671"/>
      <c r="H151" s="671"/>
      <c r="I151" s="671"/>
      <c r="J151" s="671"/>
      <c r="K151" s="671"/>
    </row>
    <row r="152" spans="1:11" ht="18" customHeight="1" x14ac:dyDescent="0.3">
      <c r="A152" s="639" t="s">
        <v>165</v>
      </c>
      <c r="B152" s="636" t="s">
        <v>26</v>
      </c>
      <c r="C152" s="742"/>
      <c r="D152" s="742"/>
      <c r="E152" s="742"/>
      <c r="F152" s="672">
        <f t="shared" ref="F152:K152" si="22">SUM(F141:F150)</f>
        <v>44832.660572176428</v>
      </c>
      <c r="G152" s="672">
        <f t="shared" si="22"/>
        <v>367.87190907999064</v>
      </c>
      <c r="H152" s="672">
        <f t="shared" si="22"/>
        <v>4231149.2709186561</v>
      </c>
      <c r="I152" s="672">
        <f t="shared" si="22"/>
        <v>763159.46399771923</v>
      </c>
      <c r="J152" s="672">
        <f t="shared" si="22"/>
        <v>11533.91346695</v>
      </c>
      <c r="K152" s="672">
        <f t="shared" si="22"/>
        <v>6434206.8214494241</v>
      </c>
    </row>
    <row r="153" spans="1:11" ht="18" customHeight="1" x14ac:dyDescent="0.25">
      <c r="B153" s="742"/>
      <c r="C153" s="742"/>
      <c r="D153" s="742"/>
      <c r="E153" s="742"/>
      <c r="F153" s="742"/>
      <c r="G153" s="742"/>
      <c r="H153" s="742"/>
      <c r="I153" s="742"/>
      <c r="J153" s="742"/>
      <c r="K153" s="742"/>
    </row>
    <row r="154" spans="1:11" ht="18" customHeight="1" x14ac:dyDescent="0.3">
      <c r="A154" s="639" t="s">
        <v>168</v>
      </c>
      <c r="B154" s="636" t="s">
        <v>28</v>
      </c>
      <c r="C154" s="742"/>
      <c r="D154" s="742"/>
      <c r="E154" s="742"/>
      <c r="F154" s="687">
        <f>K152/F121</f>
        <v>0.1600352817814947</v>
      </c>
      <c r="G154" s="742"/>
      <c r="H154" s="742"/>
      <c r="I154" s="742"/>
      <c r="J154" s="742"/>
      <c r="K154" s="742"/>
    </row>
    <row r="155" spans="1:11" ht="18" customHeight="1" x14ac:dyDescent="0.3">
      <c r="A155" s="639" t="s">
        <v>169</v>
      </c>
      <c r="B155" s="636" t="s">
        <v>72</v>
      </c>
      <c r="C155" s="742"/>
      <c r="D155" s="742"/>
      <c r="E155" s="742"/>
      <c r="F155" s="687">
        <f>K152/F127</f>
        <v>2.9654644745408376</v>
      </c>
      <c r="G155" s="636"/>
      <c r="H155" s="742"/>
      <c r="I155" s="742"/>
      <c r="J155" s="742"/>
      <c r="K155" s="742"/>
    </row>
    <row r="156" spans="1:11" ht="18" customHeight="1" x14ac:dyDescent="0.3">
      <c r="B156" s="634"/>
      <c r="C156" s="634"/>
      <c r="D156" s="634"/>
      <c r="E156" s="634"/>
      <c r="F156" s="634"/>
      <c r="G156" s="636"/>
      <c r="H156" s="634"/>
      <c r="I156" s="634"/>
      <c r="J156" s="634"/>
      <c r="K156" s="634"/>
    </row>
  </sheetData>
  <sheetProtection sheet="1" objects="1" scenarios="1"/>
  <mergeCells count="33">
    <mergeCell ref="B134:D134"/>
    <mergeCell ref="B135:D135"/>
    <mergeCell ref="B133:D133"/>
    <mergeCell ref="B104:D104"/>
    <mergeCell ref="B105:D105"/>
    <mergeCell ref="B106:D106"/>
    <mergeCell ref="D2:H2"/>
    <mergeCell ref="B34:D34"/>
    <mergeCell ref="B41:C41"/>
    <mergeCell ref="B13:H13"/>
    <mergeCell ref="B45:D45"/>
    <mergeCell ref="B44:D44"/>
    <mergeCell ref="C5:G5"/>
    <mergeCell ref="C6:G6"/>
    <mergeCell ref="C7:G7"/>
    <mergeCell ref="C11:G11"/>
    <mergeCell ref="C9:G9"/>
    <mergeCell ref="C10:G1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L156"/>
  <sheetViews>
    <sheetView zoomScale="80" zoomScaleNormal="80" workbookViewId="0">
      <selection activeCell="A3" sqref="A3"/>
    </sheetView>
  </sheetViews>
  <sheetFormatPr defaultColWidth="25.26953125" defaultRowHeight="18" customHeight="1" x14ac:dyDescent="0.25"/>
  <cols>
    <col min="1" max="1" width="7.7265625" style="446" customWidth="1"/>
    <col min="2" max="2" width="25.26953125" style="28"/>
    <col min="3" max="3" width="14.453125" style="28" customWidth="1"/>
    <col min="4" max="4" width="3.54296875" style="28" customWidth="1"/>
    <col min="5" max="5" width="3.26953125" style="28" customWidth="1"/>
    <col min="6" max="6" width="21" style="28" customWidth="1"/>
    <col min="7" max="7" width="14.26953125" style="28" customWidth="1"/>
    <col min="8" max="8" width="12.7265625" style="28" customWidth="1"/>
    <col min="9" max="9" width="18" style="28" customWidth="1"/>
    <col min="10" max="10" width="13.7265625" style="28" customWidth="1"/>
    <col min="11" max="11" width="16.7265625" style="28" customWidth="1"/>
    <col min="12" max="16384" width="25.26953125" style="28"/>
  </cols>
  <sheetData>
    <row r="1" spans="1:11" ht="18" customHeight="1" x14ac:dyDescent="0.3">
      <c r="B1" s="740"/>
      <c r="C1" s="401"/>
      <c r="D1" s="1078"/>
      <c r="E1" s="401"/>
      <c r="F1" s="401"/>
      <c r="G1" s="401"/>
      <c r="H1" s="401"/>
      <c r="I1" s="401"/>
      <c r="J1" s="401"/>
      <c r="K1" s="401"/>
    </row>
    <row r="2" spans="1:11" ht="18" customHeight="1" x14ac:dyDescent="0.35">
      <c r="B2" s="740"/>
      <c r="C2" s="740"/>
      <c r="D2" s="1429" t="s">
        <v>700</v>
      </c>
      <c r="E2" s="1429"/>
      <c r="F2" s="1429"/>
      <c r="G2" s="1429"/>
      <c r="H2" s="1429"/>
      <c r="I2" s="740"/>
      <c r="J2" s="740"/>
      <c r="K2" s="740"/>
    </row>
    <row r="3" spans="1:11" ht="18" customHeight="1" x14ac:dyDescent="0.3">
      <c r="B3" s="690" t="s">
        <v>0</v>
      </c>
      <c r="C3" s="740"/>
      <c r="D3" s="740"/>
      <c r="E3" s="740"/>
      <c r="F3" s="740"/>
      <c r="G3" s="740"/>
      <c r="H3" s="740"/>
      <c r="I3" s="740"/>
      <c r="J3" s="740"/>
      <c r="K3" s="740"/>
    </row>
    <row r="4" spans="1:11" ht="18" customHeight="1" x14ac:dyDescent="0.25">
      <c r="B4" s="740"/>
      <c r="C4" s="740"/>
      <c r="D4" s="740"/>
      <c r="E4" s="740"/>
      <c r="F4" s="740"/>
      <c r="G4" s="740"/>
      <c r="H4" s="740"/>
      <c r="I4" s="740"/>
      <c r="J4" s="740"/>
      <c r="K4" s="740"/>
    </row>
    <row r="5" spans="1:11" ht="18" customHeight="1" x14ac:dyDescent="0.3">
      <c r="B5" s="741" t="s">
        <v>40</v>
      </c>
      <c r="C5" s="1446" t="s">
        <v>404</v>
      </c>
      <c r="D5" s="1447"/>
      <c r="E5" s="1447"/>
      <c r="F5" s="1447"/>
      <c r="G5" s="1448"/>
      <c r="H5" s="740"/>
      <c r="I5" s="740"/>
      <c r="J5" s="740"/>
      <c r="K5" s="740"/>
    </row>
    <row r="6" spans="1:11" ht="18" customHeight="1" x14ac:dyDescent="0.3">
      <c r="B6" s="741" t="s">
        <v>3</v>
      </c>
      <c r="C6" s="1433"/>
      <c r="D6" s="1434"/>
      <c r="E6" s="1434"/>
      <c r="F6" s="1434"/>
      <c r="G6" s="1435"/>
      <c r="H6" s="740"/>
      <c r="I6" s="740"/>
      <c r="J6" s="740"/>
      <c r="K6" s="740"/>
    </row>
    <row r="7" spans="1:11" ht="18" customHeight="1" x14ac:dyDescent="0.3">
      <c r="B7" s="741" t="s">
        <v>4</v>
      </c>
      <c r="C7" s="1436">
        <v>784</v>
      </c>
      <c r="D7" s="1437"/>
      <c r="E7" s="1437"/>
      <c r="F7" s="1437"/>
      <c r="G7" s="1438"/>
      <c r="H7" s="740"/>
      <c r="I7" s="740"/>
      <c r="J7" s="740"/>
      <c r="K7" s="740"/>
    </row>
    <row r="8" spans="1:11" ht="18" customHeight="1" x14ac:dyDescent="0.25">
      <c r="B8" s="740"/>
      <c r="C8" s="740"/>
      <c r="D8" s="740"/>
      <c r="E8" s="740"/>
      <c r="F8" s="740"/>
      <c r="G8" s="740"/>
      <c r="H8" s="740"/>
      <c r="I8" s="740"/>
      <c r="J8" s="740"/>
      <c r="K8" s="740"/>
    </row>
    <row r="9" spans="1:11" ht="18" customHeight="1" x14ac:dyDescent="0.3">
      <c r="B9" s="741" t="s">
        <v>1</v>
      </c>
      <c r="C9" s="1446" t="s">
        <v>405</v>
      </c>
      <c r="D9" s="1447"/>
      <c r="E9" s="1447"/>
      <c r="F9" s="1447"/>
      <c r="G9" s="1448"/>
      <c r="H9" s="740"/>
      <c r="I9" s="740"/>
      <c r="J9" s="740"/>
      <c r="K9" s="740"/>
    </row>
    <row r="10" spans="1:11" ht="18" customHeight="1" x14ac:dyDescent="0.3">
      <c r="B10" s="741" t="s">
        <v>2</v>
      </c>
      <c r="C10" s="1471" t="s">
        <v>540</v>
      </c>
      <c r="D10" s="1472"/>
      <c r="E10" s="1472"/>
      <c r="F10" s="1472"/>
      <c r="G10" s="1473"/>
      <c r="H10" s="740"/>
      <c r="I10" s="740"/>
      <c r="J10" s="740"/>
      <c r="K10" s="740"/>
    </row>
    <row r="11" spans="1:11" ht="18" customHeight="1" x14ac:dyDescent="0.3">
      <c r="B11" s="741" t="s">
        <v>32</v>
      </c>
      <c r="C11" s="1446" t="s">
        <v>406</v>
      </c>
      <c r="D11" s="1447"/>
      <c r="E11" s="1447"/>
      <c r="F11" s="1447"/>
      <c r="G11" s="1447"/>
      <c r="H11" s="740"/>
      <c r="I11" s="740"/>
      <c r="J11" s="740"/>
      <c r="K11" s="740"/>
    </row>
    <row r="12" spans="1:11" ht="18" customHeight="1" x14ac:dyDescent="0.3">
      <c r="B12" s="741"/>
      <c r="C12" s="741"/>
      <c r="D12" s="741"/>
      <c r="E12" s="741"/>
      <c r="F12" s="741"/>
      <c r="G12" s="741"/>
      <c r="H12" s="740"/>
      <c r="I12" s="740"/>
      <c r="J12" s="740"/>
      <c r="K12" s="740"/>
    </row>
    <row r="13" spans="1:11" ht="24.65" customHeight="1" x14ac:dyDescent="0.25">
      <c r="B13" s="1417"/>
      <c r="C13" s="1417"/>
      <c r="D13" s="1417"/>
      <c r="E13" s="1417"/>
      <c r="F13" s="1417"/>
      <c r="G13" s="1417"/>
      <c r="H13" s="1417"/>
      <c r="I13" s="401"/>
      <c r="J13" s="740"/>
      <c r="K13" s="740"/>
    </row>
    <row r="14" spans="1:11" ht="18" customHeight="1" x14ac:dyDescent="0.3">
      <c r="B14" s="692"/>
      <c r="C14" s="740"/>
      <c r="D14" s="740"/>
      <c r="E14" s="740"/>
      <c r="F14" s="740"/>
      <c r="G14" s="740"/>
      <c r="H14" s="740"/>
      <c r="I14" s="740"/>
      <c r="J14" s="740"/>
      <c r="K14" s="740"/>
    </row>
    <row r="15" spans="1:11" ht="18" customHeight="1" x14ac:dyDescent="0.3">
      <c r="B15" s="692"/>
      <c r="C15" s="740"/>
      <c r="D15" s="740"/>
      <c r="E15" s="740"/>
      <c r="F15" s="740"/>
      <c r="G15" s="740"/>
      <c r="H15" s="740"/>
      <c r="I15" s="740"/>
      <c r="J15" s="740"/>
      <c r="K15" s="740"/>
    </row>
    <row r="16" spans="1:11" ht="45.4" customHeight="1" x14ac:dyDescent="0.3">
      <c r="A16" s="691" t="s">
        <v>181</v>
      </c>
      <c r="B16" s="401"/>
      <c r="C16" s="401"/>
      <c r="D16" s="401"/>
      <c r="E16" s="401"/>
      <c r="F16" s="693" t="s">
        <v>9</v>
      </c>
      <c r="G16" s="693" t="s">
        <v>37</v>
      </c>
      <c r="H16" s="693" t="s">
        <v>29</v>
      </c>
      <c r="I16" s="693" t="s">
        <v>30</v>
      </c>
      <c r="J16" s="693" t="s">
        <v>33</v>
      </c>
      <c r="K16" s="693" t="s">
        <v>34</v>
      </c>
    </row>
    <row r="17" spans="1:11" ht="18" customHeight="1" x14ac:dyDescent="0.3">
      <c r="A17" s="691" t="s">
        <v>184</v>
      </c>
      <c r="B17" s="690" t="s">
        <v>182</v>
      </c>
      <c r="C17" s="740"/>
      <c r="D17" s="740"/>
      <c r="E17" s="740"/>
      <c r="F17" s="740"/>
      <c r="G17" s="740"/>
      <c r="H17" s="740"/>
      <c r="I17" s="740"/>
      <c r="J17" s="740"/>
      <c r="K17" s="740"/>
    </row>
    <row r="18" spans="1:11" ht="18" customHeight="1" x14ac:dyDescent="0.3">
      <c r="A18" s="691" t="s">
        <v>185</v>
      </c>
      <c r="B18" s="689" t="s">
        <v>183</v>
      </c>
      <c r="C18" s="740"/>
      <c r="D18" s="740"/>
      <c r="E18" s="740"/>
      <c r="F18" s="698" t="s">
        <v>73</v>
      </c>
      <c r="G18" s="698" t="s">
        <v>73</v>
      </c>
      <c r="H18" s="699"/>
      <c r="I18" s="719">
        <v>0</v>
      </c>
      <c r="J18" s="699"/>
      <c r="K18" s="700">
        <v>0</v>
      </c>
    </row>
    <row r="19" spans="1:11" ht="45.4" customHeight="1" x14ac:dyDescent="0.3">
      <c r="A19" s="691" t="s">
        <v>8</v>
      </c>
      <c r="B19" s="401"/>
      <c r="C19" s="401"/>
      <c r="D19" s="401"/>
      <c r="E19" s="401"/>
      <c r="F19" s="693" t="s">
        <v>9</v>
      </c>
      <c r="G19" s="693" t="s">
        <v>37</v>
      </c>
      <c r="H19" s="693" t="s">
        <v>29</v>
      </c>
      <c r="I19" s="693" t="s">
        <v>30</v>
      </c>
      <c r="J19" s="693" t="s">
        <v>33</v>
      </c>
      <c r="K19" s="693" t="s">
        <v>34</v>
      </c>
    </row>
    <row r="20" spans="1:11" ht="18" customHeight="1" x14ac:dyDescent="0.3">
      <c r="A20" s="691" t="s">
        <v>74</v>
      </c>
      <c r="B20" s="690" t="s">
        <v>41</v>
      </c>
      <c r="C20" s="740"/>
      <c r="D20" s="740"/>
      <c r="E20" s="740"/>
      <c r="F20" s="740"/>
      <c r="G20" s="740"/>
      <c r="H20" s="740"/>
      <c r="I20" s="740"/>
      <c r="J20" s="740"/>
      <c r="K20" s="740"/>
    </row>
    <row r="21" spans="1:11" ht="18" customHeight="1" x14ac:dyDescent="0.3">
      <c r="A21" s="691" t="s">
        <v>75</v>
      </c>
      <c r="B21" s="689" t="s">
        <v>42</v>
      </c>
      <c r="C21" s="740"/>
      <c r="D21" s="740"/>
      <c r="E21" s="740"/>
      <c r="F21" s="698">
        <v>2291.5</v>
      </c>
      <c r="G21" s="698">
        <v>80785</v>
      </c>
      <c r="H21" s="698">
        <v>99456.627500000002</v>
      </c>
      <c r="I21" s="719">
        <v>49728.313750000001</v>
      </c>
      <c r="J21" s="698">
        <v>0</v>
      </c>
      <c r="K21" s="700">
        <v>149184.94125</v>
      </c>
    </row>
    <row r="22" spans="1:11" ht="18" customHeight="1" x14ac:dyDescent="0.3">
      <c r="A22" s="691" t="s">
        <v>76</v>
      </c>
      <c r="B22" s="740" t="s">
        <v>6</v>
      </c>
      <c r="C22" s="740"/>
      <c r="D22" s="740"/>
      <c r="E22" s="740"/>
      <c r="F22" s="698">
        <v>47</v>
      </c>
      <c r="G22" s="698">
        <v>382</v>
      </c>
      <c r="H22" s="698">
        <v>2768.375</v>
      </c>
      <c r="I22" s="719">
        <v>1384.1875</v>
      </c>
      <c r="J22" s="698">
        <v>0</v>
      </c>
      <c r="K22" s="700">
        <v>4152.5625</v>
      </c>
    </row>
    <row r="23" spans="1:11" ht="18" customHeight="1" x14ac:dyDescent="0.3">
      <c r="A23" s="691" t="s">
        <v>77</v>
      </c>
      <c r="B23" s="740" t="s">
        <v>43</v>
      </c>
      <c r="C23" s="740"/>
      <c r="D23" s="740"/>
      <c r="E23" s="740"/>
      <c r="F23" s="698">
        <v>0</v>
      </c>
      <c r="G23" s="698">
        <v>0</v>
      </c>
      <c r="H23" s="698">
        <v>0</v>
      </c>
      <c r="I23" s="719">
        <v>0</v>
      </c>
      <c r="J23" s="698">
        <v>0</v>
      </c>
      <c r="K23" s="700">
        <v>0</v>
      </c>
    </row>
    <row r="24" spans="1:11" ht="18" customHeight="1" x14ac:dyDescent="0.3">
      <c r="A24" s="691" t="s">
        <v>78</v>
      </c>
      <c r="B24" s="740" t="s">
        <v>44</v>
      </c>
      <c r="C24" s="740"/>
      <c r="D24" s="740"/>
      <c r="E24" s="740"/>
      <c r="F24" s="698">
        <v>0</v>
      </c>
      <c r="G24" s="698">
        <v>0</v>
      </c>
      <c r="H24" s="698">
        <v>0</v>
      </c>
      <c r="I24" s="719">
        <v>0</v>
      </c>
      <c r="J24" s="698">
        <v>0</v>
      </c>
      <c r="K24" s="700">
        <v>0</v>
      </c>
    </row>
    <row r="25" spans="1:11" ht="18" customHeight="1" x14ac:dyDescent="0.3">
      <c r="A25" s="691" t="s">
        <v>79</v>
      </c>
      <c r="B25" s="740" t="s">
        <v>5</v>
      </c>
      <c r="C25" s="740"/>
      <c r="D25" s="740"/>
      <c r="E25" s="740"/>
      <c r="F25" s="698">
        <v>0</v>
      </c>
      <c r="G25" s="698">
        <v>0</v>
      </c>
      <c r="H25" s="698">
        <v>0</v>
      </c>
      <c r="I25" s="719">
        <v>0</v>
      </c>
      <c r="J25" s="698">
        <v>0</v>
      </c>
      <c r="K25" s="700">
        <v>0</v>
      </c>
    </row>
    <row r="26" spans="1:11" ht="18" customHeight="1" x14ac:dyDescent="0.3">
      <c r="A26" s="691" t="s">
        <v>80</v>
      </c>
      <c r="B26" s="740" t="s">
        <v>45</v>
      </c>
      <c r="C26" s="740"/>
      <c r="D26" s="740"/>
      <c r="E26" s="740"/>
      <c r="F26" s="698">
        <v>0</v>
      </c>
      <c r="G26" s="698">
        <v>0</v>
      </c>
      <c r="H26" s="698">
        <v>0</v>
      </c>
      <c r="I26" s="719">
        <v>0</v>
      </c>
      <c r="J26" s="698">
        <v>0</v>
      </c>
      <c r="K26" s="700">
        <v>0</v>
      </c>
    </row>
    <row r="27" spans="1:11" ht="18" customHeight="1" x14ac:dyDescent="0.3">
      <c r="A27" s="691" t="s">
        <v>81</v>
      </c>
      <c r="B27" s="740" t="s">
        <v>46</v>
      </c>
      <c r="C27" s="740"/>
      <c r="D27" s="740"/>
      <c r="E27" s="740"/>
      <c r="F27" s="698">
        <v>0</v>
      </c>
      <c r="G27" s="698">
        <v>0</v>
      </c>
      <c r="H27" s="698">
        <v>0</v>
      </c>
      <c r="I27" s="719">
        <v>0</v>
      </c>
      <c r="J27" s="698">
        <v>0</v>
      </c>
      <c r="K27" s="700">
        <v>0</v>
      </c>
    </row>
    <row r="28" spans="1:11" ht="18" customHeight="1" x14ac:dyDescent="0.3">
      <c r="A28" s="691" t="s">
        <v>82</v>
      </c>
      <c r="B28" s="740" t="s">
        <v>47</v>
      </c>
      <c r="C28" s="740"/>
      <c r="D28" s="740"/>
      <c r="E28" s="740"/>
      <c r="F28" s="698">
        <v>0</v>
      </c>
      <c r="G28" s="698">
        <v>0</v>
      </c>
      <c r="H28" s="698">
        <v>0</v>
      </c>
      <c r="I28" s="719">
        <v>0</v>
      </c>
      <c r="J28" s="698">
        <v>0</v>
      </c>
      <c r="K28" s="700">
        <v>0</v>
      </c>
    </row>
    <row r="29" spans="1:11" ht="18" customHeight="1" x14ac:dyDescent="0.3">
      <c r="A29" s="691" t="s">
        <v>83</v>
      </c>
      <c r="B29" s="740" t="s">
        <v>48</v>
      </c>
      <c r="C29" s="740"/>
      <c r="D29" s="740"/>
      <c r="E29" s="740"/>
      <c r="F29" s="698">
        <v>64</v>
      </c>
      <c r="G29" s="698">
        <v>0</v>
      </c>
      <c r="H29" s="698">
        <v>9368.0749999999989</v>
      </c>
      <c r="I29" s="719">
        <v>4684.0374999999995</v>
      </c>
      <c r="J29" s="698">
        <v>0</v>
      </c>
      <c r="K29" s="700">
        <v>14052.112499999999</v>
      </c>
    </row>
    <row r="30" spans="1:11" ht="18" customHeight="1" x14ac:dyDescent="0.3">
      <c r="A30" s="691" t="s">
        <v>84</v>
      </c>
      <c r="B30" s="1418"/>
      <c r="C30" s="1419"/>
      <c r="D30" s="1420"/>
      <c r="E30" s="740"/>
      <c r="F30" s="698">
        <v>0</v>
      </c>
      <c r="G30" s="698">
        <v>0</v>
      </c>
      <c r="H30" s="698">
        <v>0</v>
      </c>
      <c r="I30" s="719">
        <v>0</v>
      </c>
      <c r="J30" s="698">
        <v>0</v>
      </c>
      <c r="K30" s="700">
        <v>0</v>
      </c>
    </row>
    <row r="31" spans="1:11" ht="18" customHeight="1" x14ac:dyDescent="0.3">
      <c r="A31" s="691" t="s">
        <v>133</v>
      </c>
      <c r="B31" s="1418"/>
      <c r="C31" s="1419"/>
      <c r="D31" s="1420"/>
      <c r="E31" s="740"/>
      <c r="F31" s="698">
        <v>0</v>
      </c>
      <c r="G31" s="698">
        <v>0</v>
      </c>
      <c r="H31" s="698">
        <v>0</v>
      </c>
      <c r="I31" s="719">
        <v>0</v>
      </c>
      <c r="J31" s="698">
        <v>0</v>
      </c>
      <c r="K31" s="700">
        <v>0</v>
      </c>
    </row>
    <row r="32" spans="1:11" ht="18" customHeight="1" x14ac:dyDescent="0.3">
      <c r="A32" s="691" t="s">
        <v>134</v>
      </c>
      <c r="B32" s="1070"/>
      <c r="C32" s="1071"/>
      <c r="D32" s="1072"/>
      <c r="E32" s="740"/>
      <c r="F32" s="698">
        <v>0</v>
      </c>
      <c r="G32" s="698">
        <v>0</v>
      </c>
      <c r="H32" s="698">
        <v>0</v>
      </c>
      <c r="I32" s="719">
        <v>0</v>
      </c>
      <c r="J32" s="698">
        <v>0</v>
      </c>
      <c r="K32" s="700">
        <v>0</v>
      </c>
    </row>
    <row r="33" spans="1:11" ht="18" customHeight="1" x14ac:dyDescent="0.3">
      <c r="A33" s="691" t="s">
        <v>135</v>
      </c>
      <c r="B33" s="1070"/>
      <c r="C33" s="1071"/>
      <c r="D33" s="1072"/>
      <c r="E33" s="740"/>
      <c r="F33" s="698">
        <v>0</v>
      </c>
      <c r="G33" s="698">
        <v>0</v>
      </c>
      <c r="H33" s="698">
        <v>0</v>
      </c>
      <c r="I33" s="719">
        <v>0</v>
      </c>
      <c r="J33" s="698">
        <v>0</v>
      </c>
      <c r="K33" s="700">
        <v>0</v>
      </c>
    </row>
    <row r="34" spans="1:11" ht="18" customHeight="1" x14ac:dyDescent="0.3">
      <c r="A34" s="691" t="s">
        <v>136</v>
      </c>
      <c r="B34" s="1418"/>
      <c r="C34" s="1419"/>
      <c r="D34" s="1420"/>
      <c r="E34" s="740"/>
      <c r="F34" s="698">
        <v>0</v>
      </c>
      <c r="G34" s="698">
        <v>0</v>
      </c>
      <c r="H34" s="698">
        <v>0</v>
      </c>
      <c r="I34" s="719">
        <v>0</v>
      </c>
      <c r="J34" s="698">
        <v>0</v>
      </c>
      <c r="K34" s="700">
        <v>0</v>
      </c>
    </row>
    <row r="35" spans="1:11" ht="18" customHeight="1" x14ac:dyDescent="0.25">
      <c r="B35" s="740"/>
      <c r="C35" s="740"/>
      <c r="D35" s="740"/>
      <c r="E35" s="740"/>
      <c r="F35" s="740"/>
      <c r="G35" s="740"/>
      <c r="H35" s="740"/>
      <c r="I35" s="740"/>
      <c r="J35" s="740"/>
      <c r="K35" s="714"/>
    </row>
    <row r="36" spans="1:11" ht="18" customHeight="1" x14ac:dyDescent="0.3">
      <c r="A36" s="691" t="s">
        <v>137</v>
      </c>
      <c r="B36" s="690" t="s">
        <v>138</v>
      </c>
      <c r="C36" s="740"/>
      <c r="D36" s="740"/>
      <c r="E36" s="690" t="s">
        <v>7</v>
      </c>
      <c r="F36" s="702">
        <v>2402.5</v>
      </c>
      <c r="G36" s="702">
        <v>81167</v>
      </c>
      <c r="H36" s="702">
        <v>111593.0775</v>
      </c>
      <c r="I36" s="700">
        <v>55796.53875</v>
      </c>
      <c r="J36" s="700">
        <v>0</v>
      </c>
      <c r="K36" s="700">
        <v>167389.61624999999</v>
      </c>
    </row>
    <row r="37" spans="1:11" ht="18" customHeight="1" x14ac:dyDescent="0.3">
      <c r="A37" s="1228"/>
      <c r="B37" s="728"/>
      <c r="C37" s="694"/>
      <c r="D37" s="694"/>
      <c r="E37" s="694"/>
      <c r="F37" s="731"/>
      <c r="G37" s="731"/>
      <c r="H37" s="732"/>
      <c r="I37" s="732"/>
      <c r="J37" s="732"/>
      <c r="K37" s="713"/>
    </row>
    <row r="38" spans="1:11" ht="42.75" customHeight="1" x14ac:dyDescent="0.3">
      <c r="A38" s="1228"/>
      <c r="B38" s="694"/>
      <c r="C38" s="694"/>
      <c r="D38" s="694"/>
      <c r="E38" s="694"/>
      <c r="F38" s="722" t="s">
        <v>9</v>
      </c>
      <c r="G38" s="722" t="s">
        <v>37</v>
      </c>
      <c r="H38" s="722" t="s">
        <v>29</v>
      </c>
      <c r="I38" s="722" t="s">
        <v>30</v>
      </c>
      <c r="J38" s="722" t="s">
        <v>33</v>
      </c>
      <c r="K38" s="722" t="s">
        <v>34</v>
      </c>
    </row>
    <row r="39" spans="1:11" ht="18.75" customHeight="1" x14ac:dyDescent="0.3">
      <c r="A39" s="691" t="s">
        <v>86</v>
      </c>
      <c r="B39" s="690" t="s">
        <v>49</v>
      </c>
      <c r="C39" s="740"/>
      <c r="D39" s="740"/>
      <c r="E39" s="740"/>
      <c r="F39" s="740"/>
      <c r="G39" s="740"/>
      <c r="H39" s="740"/>
      <c r="I39" s="740"/>
      <c r="J39" s="740"/>
      <c r="K39" s="740"/>
    </row>
    <row r="40" spans="1:11" ht="18" customHeight="1" x14ac:dyDescent="0.3">
      <c r="A40" s="691" t="s">
        <v>87</v>
      </c>
      <c r="B40" s="740" t="s">
        <v>31</v>
      </c>
      <c r="C40" s="740"/>
      <c r="D40" s="740"/>
      <c r="E40" s="740"/>
      <c r="F40" s="698">
        <v>8</v>
      </c>
      <c r="G40" s="698">
        <v>1000</v>
      </c>
      <c r="H40" s="698">
        <v>496.8</v>
      </c>
      <c r="I40" s="719">
        <v>248.4</v>
      </c>
      <c r="J40" s="698">
        <v>0</v>
      </c>
      <c r="K40" s="700">
        <v>745.2</v>
      </c>
    </row>
    <row r="41" spans="1:11" ht="18" customHeight="1" x14ac:dyDescent="0.3">
      <c r="A41" s="691" t="s">
        <v>88</v>
      </c>
      <c r="B41" s="1425" t="s">
        <v>50</v>
      </c>
      <c r="C41" s="1425"/>
      <c r="D41" s="740"/>
      <c r="E41" s="740"/>
      <c r="F41" s="698">
        <v>3763</v>
      </c>
      <c r="G41" s="698">
        <v>0</v>
      </c>
      <c r="H41" s="698">
        <v>166700.9</v>
      </c>
      <c r="I41" s="719">
        <v>83350.45</v>
      </c>
      <c r="J41" s="698">
        <v>0</v>
      </c>
      <c r="K41" s="700">
        <v>250051.34999999998</v>
      </c>
    </row>
    <row r="42" spans="1:11" ht="18" customHeight="1" x14ac:dyDescent="0.3">
      <c r="A42" s="691" t="s">
        <v>89</v>
      </c>
      <c r="B42" s="689" t="s">
        <v>11</v>
      </c>
      <c r="C42" s="740"/>
      <c r="D42" s="740"/>
      <c r="E42" s="740"/>
      <c r="F42" s="698">
        <v>798</v>
      </c>
      <c r="G42" s="698">
        <v>2892</v>
      </c>
      <c r="H42" s="698">
        <v>26135.374999999996</v>
      </c>
      <c r="I42" s="719">
        <v>13067.687499999998</v>
      </c>
      <c r="J42" s="698">
        <v>0</v>
      </c>
      <c r="K42" s="700">
        <v>39203.062499999993</v>
      </c>
    </row>
    <row r="43" spans="1:11" ht="18" customHeight="1" x14ac:dyDescent="0.3">
      <c r="A43" s="691" t="s">
        <v>90</v>
      </c>
      <c r="B43" s="716" t="s">
        <v>10</v>
      </c>
      <c r="C43" s="694"/>
      <c r="D43" s="694"/>
      <c r="E43" s="740"/>
      <c r="F43" s="698">
        <v>2066</v>
      </c>
      <c r="G43" s="698">
        <v>45</v>
      </c>
      <c r="H43" s="698">
        <v>85067.549999999988</v>
      </c>
      <c r="I43" s="719">
        <v>42533.774999999994</v>
      </c>
      <c r="J43" s="698">
        <v>0</v>
      </c>
      <c r="K43" s="700">
        <v>127601.32499999998</v>
      </c>
    </row>
    <row r="44" spans="1:11" ht="18" customHeight="1" x14ac:dyDescent="0.3">
      <c r="A44" s="691" t="s">
        <v>91</v>
      </c>
      <c r="B44" s="1418"/>
      <c r="C44" s="1419"/>
      <c r="D44" s="1420"/>
      <c r="E44" s="740"/>
      <c r="F44" s="698">
        <v>0</v>
      </c>
      <c r="G44" s="698">
        <v>0</v>
      </c>
      <c r="H44" s="698">
        <v>0</v>
      </c>
      <c r="I44" s="719">
        <v>0</v>
      </c>
      <c r="J44" s="698">
        <v>0</v>
      </c>
      <c r="K44" s="721">
        <v>0</v>
      </c>
    </row>
    <row r="45" spans="1:11" ht="18" customHeight="1" x14ac:dyDescent="0.3">
      <c r="A45" s="691" t="s">
        <v>139</v>
      </c>
      <c r="B45" s="1418"/>
      <c r="C45" s="1419"/>
      <c r="D45" s="1420"/>
      <c r="E45" s="740"/>
      <c r="F45" s="698">
        <v>0</v>
      </c>
      <c r="G45" s="698">
        <v>0</v>
      </c>
      <c r="H45" s="698">
        <v>0</v>
      </c>
      <c r="I45" s="719">
        <v>0</v>
      </c>
      <c r="J45" s="698">
        <v>0</v>
      </c>
      <c r="K45" s="700">
        <v>0</v>
      </c>
    </row>
    <row r="46" spans="1:11" ht="18" customHeight="1" x14ac:dyDescent="0.3">
      <c r="A46" s="691" t="s">
        <v>140</v>
      </c>
      <c r="B46" s="1418"/>
      <c r="C46" s="1419"/>
      <c r="D46" s="1420"/>
      <c r="E46" s="740"/>
      <c r="F46" s="698">
        <v>0</v>
      </c>
      <c r="G46" s="698">
        <v>0</v>
      </c>
      <c r="H46" s="698">
        <v>0</v>
      </c>
      <c r="I46" s="719">
        <v>0</v>
      </c>
      <c r="J46" s="698">
        <v>0</v>
      </c>
      <c r="K46" s="700">
        <v>0</v>
      </c>
    </row>
    <row r="47" spans="1:11" ht="18" customHeight="1" x14ac:dyDescent="0.3">
      <c r="A47" s="691" t="s">
        <v>141</v>
      </c>
      <c r="B47" s="1418"/>
      <c r="C47" s="1419"/>
      <c r="D47" s="1420"/>
      <c r="E47" s="740"/>
      <c r="F47" s="698">
        <v>0</v>
      </c>
      <c r="G47" s="698">
        <v>0</v>
      </c>
      <c r="H47" s="698">
        <v>0</v>
      </c>
      <c r="I47" s="719">
        <v>0</v>
      </c>
      <c r="J47" s="698">
        <v>0</v>
      </c>
      <c r="K47" s="700">
        <v>0</v>
      </c>
    </row>
    <row r="48" spans="1:11" ht="18" customHeight="1" x14ac:dyDescent="0.25">
      <c r="B48" s="740"/>
      <c r="C48" s="740"/>
      <c r="D48" s="740"/>
      <c r="E48" s="740"/>
      <c r="F48" s="740"/>
      <c r="G48" s="740"/>
      <c r="H48" s="740"/>
      <c r="I48" s="740"/>
      <c r="J48" s="740"/>
      <c r="K48" s="740"/>
    </row>
    <row r="49" spans="1:11" ht="18" customHeight="1" x14ac:dyDescent="0.3">
      <c r="A49" s="691" t="s">
        <v>142</v>
      </c>
      <c r="B49" s="690" t="s">
        <v>143</v>
      </c>
      <c r="C49" s="740"/>
      <c r="D49" s="740"/>
      <c r="E49" s="690" t="s">
        <v>7</v>
      </c>
      <c r="F49" s="705">
        <v>6635</v>
      </c>
      <c r="G49" s="705">
        <v>3937</v>
      </c>
      <c r="H49" s="700">
        <v>278400.625</v>
      </c>
      <c r="I49" s="700">
        <v>139200.3125</v>
      </c>
      <c r="J49" s="700">
        <v>0</v>
      </c>
      <c r="K49" s="700">
        <v>417600.9375</v>
      </c>
    </row>
    <row r="50" spans="1:11" ht="18" customHeight="1" thickBot="1" x14ac:dyDescent="0.3">
      <c r="B50" s="740"/>
      <c r="C50" s="740"/>
      <c r="D50" s="740"/>
      <c r="E50" s="740"/>
      <c r="F50" s="706"/>
      <c r="G50" s="706"/>
      <c r="H50" s="706"/>
      <c r="I50" s="706"/>
      <c r="J50" s="706"/>
      <c r="K50" s="706"/>
    </row>
    <row r="51" spans="1:11" ht="42.75" customHeight="1" x14ac:dyDescent="0.25">
      <c r="B51" s="740"/>
      <c r="C51" s="740"/>
      <c r="D51" s="740"/>
      <c r="E51" s="740"/>
      <c r="F51" s="742" t="s">
        <v>9</v>
      </c>
      <c r="G51" s="742" t="s">
        <v>37</v>
      </c>
      <c r="H51" s="742" t="s">
        <v>29</v>
      </c>
      <c r="I51" s="742" t="s">
        <v>30</v>
      </c>
      <c r="J51" s="742" t="s">
        <v>33</v>
      </c>
      <c r="K51" s="742" t="s">
        <v>34</v>
      </c>
    </row>
    <row r="52" spans="1:11" ht="18" customHeight="1" x14ac:dyDescent="0.3">
      <c r="A52" s="691" t="s">
        <v>92</v>
      </c>
      <c r="B52" s="1439" t="s">
        <v>38</v>
      </c>
      <c r="C52" s="1439"/>
      <c r="D52" s="740"/>
      <c r="E52" s="740"/>
      <c r="F52" s="693"/>
      <c r="G52" s="693"/>
      <c r="H52" s="693"/>
      <c r="I52" s="693"/>
      <c r="J52" s="693"/>
      <c r="K52" s="693"/>
    </row>
    <row r="53" spans="1:11" ht="18" customHeight="1" x14ac:dyDescent="0.3">
      <c r="A53" s="691" t="s">
        <v>51</v>
      </c>
      <c r="B53" s="1421" t="s">
        <v>407</v>
      </c>
      <c r="C53" s="1422"/>
      <c r="D53" s="1423"/>
      <c r="E53" s="740"/>
      <c r="F53" s="698">
        <v>10750</v>
      </c>
      <c r="G53" s="698">
        <v>3395</v>
      </c>
      <c r="H53" s="698">
        <v>732818</v>
      </c>
      <c r="I53" s="719">
        <v>366409</v>
      </c>
      <c r="J53" s="698">
        <v>454588</v>
      </c>
      <c r="K53" s="700">
        <v>644639</v>
      </c>
    </row>
    <row r="54" spans="1:11" ht="18" customHeight="1" x14ac:dyDescent="0.3">
      <c r="A54" s="691" t="s">
        <v>93</v>
      </c>
      <c r="B54" s="1073"/>
      <c r="C54" s="1074"/>
      <c r="D54" s="1075"/>
      <c r="E54" s="740"/>
      <c r="F54" s="698"/>
      <c r="G54" s="698"/>
      <c r="H54" s="699"/>
      <c r="I54" s="719">
        <v>0</v>
      </c>
      <c r="J54" s="699"/>
      <c r="K54" s="700">
        <v>0</v>
      </c>
    </row>
    <row r="55" spans="1:11" ht="18" customHeight="1" x14ac:dyDescent="0.3">
      <c r="A55" s="691" t="s">
        <v>94</v>
      </c>
      <c r="B55" s="1421"/>
      <c r="C55" s="1422"/>
      <c r="D55" s="1423"/>
      <c r="E55" s="740"/>
      <c r="F55" s="698"/>
      <c r="G55" s="698"/>
      <c r="H55" s="699"/>
      <c r="I55" s="719">
        <v>0</v>
      </c>
      <c r="J55" s="699"/>
      <c r="K55" s="700">
        <v>0</v>
      </c>
    </row>
    <row r="56" spans="1:11" ht="18" customHeight="1" x14ac:dyDescent="0.3">
      <c r="A56" s="691" t="s">
        <v>95</v>
      </c>
      <c r="B56" s="1421"/>
      <c r="C56" s="1422"/>
      <c r="D56" s="1423"/>
      <c r="E56" s="740"/>
      <c r="F56" s="698"/>
      <c r="G56" s="698"/>
      <c r="H56" s="699"/>
      <c r="I56" s="719">
        <v>0</v>
      </c>
      <c r="J56" s="699"/>
      <c r="K56" s="700">
        <v>0</v>
      </c>
    </row>
    <row r="57" spans="1:11" ht="18" customHeight="1" x14ac:dyDescent="0.3">
      <c r="A57" s="691" t="s">
        <v>96</v>
      </c>
      <c r="B57" s="1421"/>
      <c r="C57" s="1422"/>
      <c r="D57" s="1423"/>
      <c r="E57" s="740"/>
      <c r="F57" s="698"/>
      <c r="G57" s="698"/>
      <c r="H57" s="699"/>
      <c r="I57" s="719">
        <v>0</v>
      </c>
      <c r="J57" s="699"/>
      <c r="K57" s="700">
        <v>0</v>
      </c>
    </row>
    <row r="58" spans="1:11" ht="18" customHeight="1" x14ac:dyDescent="0.3">
      <c r="A58" s="691" t="s">
        <v>97</v>
      </c>
      <c r="B58" s="1073"/>
      <c r="C58" s="1074"/>
      <c r="D58" s="1075"/>
      <c r="E58" s="740"/>
      <c r="F58" s="698"/>
      <c r="G58" s="698"/>
      <c r="H58" s="699"/>
      <c r="I58" s="719">
        <v>0</v>
      </c>
      <c r="J58" s="699"/>
      <c r="K58" s="700">
        <v>0</v>
      </c>
    </row>
    <row r="59" spans="1:11" ht="18" customHeight="1" x14ac:dyDescent="0.3">
      <c r="A59" s="691" t="s">
        <v>98</v>
      </c>
      <c r="B59" s="1421"/>
      <c r="C59" s="1422"/>
      <c r="D59" s="1423"/>
      <c r="E59" s="740"/>
      <c r="F59" s="698"/>
      <c r="G59" s="698"/>
      <c r="H59" s="699"/>
      <c r="I59" s="719">
        <v>0</v>
      </c>
      <c r="J59" s="699"/>
      <c r="K59" s="700">
        <v>0</v>
      </c>
    </row>
    <row r="60" spans="1:11" ht="18" customHeight="1" x14ac:dyDescent="0.3">
      <c r="A60" s="691" t="s">
        <v>99</v>
      </c>
      <c r="B60" s="1073"/>
      <c r="C60" s="1074"/>
      <c r="D60" s="1075"/>
      <c r="E60" s="740"/>
      <c r="F60" s="698"/>
      <c r="G60" s="698"/>
      <c r="H60" s="699"/>
      <c r="I60" s="719">
        <v>0</v>
      </c>
      <c r="J60" s="699"/>
      <c r="K60" s="700">
        <v>0</v>
      </c>
    </row>
    <row r="61" spans="1:11" ht="18" customHeight="1" x14ac:dyDescent="0.3">
      <c r="A61" s="691" t="s">
        <v>100</v>
      </c>
      <c r="B61" s="1073"/>
      <c r="C61" s="1074"/>
      <c r="D61" s="1075"/>
      <c r="E61" s="740"/>
      <c r="F61" s="698"/>
      <c r="G61" s="698"/>
      <c r="H61" s="699"/>
      <c r="I61" s="719">
        <v>0</v>
      </c>
      <c r="J61" s="699"/>
      <c r="K61" s="700">
        <v>0</v>
      </c>
    </row>
    <row r="62" spans="1:11" ht="18" customHeight="1" x14ac:dyDescent="0.3">
      <c r="A62" s="691" t="s">
        <v>101</v>
      </c>
      <c r="B62" s="1421"/>
      <c r="C62" s="1422"/>
      <c r="D62" s="1423"/>
      <c r="E62" s="740"/>
      <c r="F62" s="698"/>
      <c r="G62" s="698"/>
      <c r="H62" s="699"/>
      <c r="I62" s="719">
        <v>0</v>
      </c>
      <c r="J62" s="699"/>
      <c r="K62" s="700">
        <v>0</v>
      </c>
    </row>
    <row r="63" spans="1:11" ht="18" customHeight="1" x14ac:dyDescent="0.3">
      <c r="A63" s="691"/>
      <c r="B63" s="740"/>
      <c r="C63" s="740"/>
      <c r="D63" s="740"/>
      <c r="E63" s="740"/>
      <c r="F63" s="740"/>
      <c r="G63" s="740"/>
      <c r="H63" s="740"/>
      <c r="I63" s="715"/>
      <c r="J63" s="740"/>
      <c r="K63" s="740"/>
    </row>
    <row r="64" spans="1:11" ht="18" customHeight="1" x14ac:dyDescent="0.3">
      <c r="A64" s="691" t="s">
        <v>144</v>
      </c>
      <c r="B64" s="690" t="s">
        <v>145</v>
      </c>
      <c r="C64" s="740"/>
      <c r="D64" s="740"/>
      <c r="E64" s="690" t="s">
        <v>7</v>
      </c>
      <c r="F64" s="702">
        <v>10750</v>
      </c>
      <c r="G64" s="702">
        <v>3395</v>
      </c>
      <c r="H64" s="700">
        <v>732818</v>
      </c>
      <c r="I64" s="700">
        <v>366409</v>
      </c>
      <c r="J64" s="700">
        <v>454588</v>
      </c>
      <c r="K64" s="700">
        <v>644639</v>
      </c>
    </row>
    <row r="65" spans="1:11" ht="18" customHeight="1" x14ac:dyDescent="0.25">
      <c r="B65" s="740"/>
      <c r="C65" s="740"/>
      <c r="D65" s="740"/>
      <c r="E65" s="740"/>
      <c r="F65" s="717"/>
      <c r="G65" s="717"/>
      <c r="H65" s="717"/>
      <c r="I65" s="717"/>
      <c r="J65" s="717"/>
      <c r="K65" s="717"/>
    </row>
    <row r="66" spans="1:11" ht="42.75" customHeight="1" x14ac:dyDescent="0.3">
      <c r="B66" s="740"/>
      <c r="C66" s="740"/>
      <c r="D66" s="740"/>
      <c r="E66" s="740"/>
      <c r="F66" s="722" t="s">
        <v>9</v>
      </c>
      <c r="G66" s="722" t="s">
        <v>37</v>
      </c>
      <c r="H66" s="722" t="s">
        <v>29</v>
      </c>
      <c r="I66" s="722" t="s">
        <v>30</v>
      </c>
      <c r="J66" s="722" t="s">
        <v>33</v>
      </c>
      <c r="K66" s="722" t="s">
        <v>34</v>
      </c>
    </row>
    <row r="67" spans="1:11" ht="18" customHeight="1" x14ac:dyDescent="0.3">
      <c r="A67" s="691" t="s">
        <v>102</v>
      </c>
      <c r="B67" s="690" t="s">
        <v>12</v>
      </c>
      <c r="C67" s="740"/>
      <c r="D67" s="740"/>
      <c r="E67" s="740"/>
      <c r="F67" s="723"/>
      <c r="G67" s="723"/>
      <c r="H67" s="723"/>
      <c r="I67" s="724"/>
      <c r="J67" s="723"/>
      <c r="K67" s="725"/>
    </row>
    <row r="68" spans="1:11" ht="18" customHeight="1" x14ac:dyDescent="0.3">
      <c r="A68" s="691" t="s">
        <v>103</v>
      </c>
      <c r="B68" s="740" t="s">
        <v>52</v>
      </c>
      <c r="C68" s="740"/>
      <c r="D68" s="740"/>
      <c r="E68" s="740"/>
      <c r="F68" s="698">
        <v>18</v>
      </c>
      <c r="G68" s="698">
        <v>0</v>
      </c>
      <c r="H68" s="698">
        <v>724.27499999999998</v>
      </c>
      <c r="I68" s="719">
        <v>362.13749999999999</v>
      </c>
      <c r="J68" s="698">
        <v>0</v>
      </c>
      <c r="K68" s="700">
        <v>1086.4124999999999</v>
      </c>
    </row>
    <row r="69" spans="1:11" ht="18" customHeight="1" x14ac:dyDescent="0.3">
      <c r="A69" s="691" t="s">
        <v>104</v>
      </c>
      <c r="B69" s="689" t="s">
        <v>53</v>
      </c>
      <c r="C69" s="740"/>
      <c r="D69" s="740"/>
      <c r="E69" s="740"/>
      <c r="F69" s="698">
        <v>0</v>
      </c>
      <c r="G69" s="698">
        <v>0</v>
      </c>
      <c r="H69" s="698">
        <v>0</v>
      </c>
      <c r="I69" s="719">
        <v>0</v>
      </c>
      <c r="J69" s="698">
        <v>0</v>
      </c>
      <c r="K69" s="700">
        <v>0</v>
      </c>
    </row>
    <row r="70" spans="1:11" ht="18" customHeight="1" x14ac:dyDescent="0.3">
      <c r="A70" s="691" t="s">
        <v>178</v>
      </c>
      <c r="B70" s="1073"/>
      <c r="C70" s="1074"/>
      <c r="D70" s="1075"/>
      <c r="E70" s="690"/>
      <c r="F70" s="698">
        <v>0</v>
      </c>
      <c r="G70" s="698">
        <v>0</v>
      </c>
      <c r="H70" s="698">
        <v>0</v>
      </c>
      <c r="I70" s="719">
        <v>0</v>
      </c>
      <c r="J70" s="698">
        <v>0</v>
      </c>
      <c r="K70" s="700">
        <v>0</v>
      </c>
    </row>
    <row r="71" spans="1:11" ht="18" customHeight="1" x14ac:dyDescent="0.3">
      <c r="A71" s="691" t="s">
        <v>179</v>
      </c>
      <c r="B71" s="1073"/>
      <c r="C71" s="1074"/>
      <c r="D71" s="1075"/>
      <c r="E71" s="690"/>
      <c r="F71" s="698">
        <v>0</v>
      </c>
      <c r="G71" s="698">
        <v>0</v>
      </c>
      <c r="H71" s="698">
        <v>0</v>
      </c>
      <c r="I71" s="719">
        <v>0</v>
      </c>
      <c r="J71" s="698">
        <v>0</v>
      </c>
      <c r="K71" s="700">
        <v>0</v>
      </c>
    </row>
    <row r="72" spans="1:11" ht="18" customHeight="1" x14ac:dyDescent="0.3">
      <c r="A72" s="691" t="s">
        <v>180</v>
      </c>
      <c r="B72" s="938"/>
      <c r="C72" s="939"/>
      <c r="D72" s="708"/>
      <c r="E72" s="690"/>
      <c r="F72" s="698">
        <v>0</v>
      </c>
      <c r="G72" s="698">
        <v>0</v>
      </c>
      <c r="H72" s="698">
        <v>0</v>
      </c>
      <c r="I72" s="719">
        <v>0</v>
      </c>
      <c r="J72" s="698">
        <v>0</v>
      </c>
      <c r="K72" s="700">
        <v>0</v>
      </c>
    </row>
    <row r="73" spans="1:11" ht="18" customHeight="1" x14ac:dyDescent="0.3">
      <c r="A73" s="691"/>
      <c r="B73" s="689"/>
      <c r="C73" s="740"/>
      <c r="D73" s="740"/>
      <c r="E73" s="690"/>
      <c r="F73" s="726"/>
      <c r="G73" s="726"/>
      <c r="H73" s="727"/>
      <c r="I73" s="724"/>
      <c r="J73" s="727"/>
      <c r="K73" s="725"/>
    </row>
    <row r="74" spans="1:11" ht="18" customHeight="1" x14ac:dyDescent="0.3">
      <c r="A74" s="691" t="s">
        <v>146</v>
      </c>
      <c r="B74" s="690" t="s">
        <v>147</v>
      </c>
      <c r="C74" s="740"/>
      <c r="D74" s="740"/>
      <c r="E74" s="690" t="s">
        <v>7</v>
      </c>
      <c r="F74" s="703">
        <v>18</v>
      </c>
      <c r="G74" s="703">
        <v>0</v>
      </c>
      <c r="H74" s="703">
        <v>724.27499999999998</v>
      </c>
      <c r="I74" s="720">
        <v>362.13749999999999</v>
      </c>
      <c r="J74" s="703">
        <v>0</v>
      </c>
      <c r="K74" s="701">
        <v>1086.4124999999999</v>
      </c>
    </row>
    <row r="75" spans="1:11" ht="42.75" customHeight="1" x14ac:dyDescent="0.3">
      <c r="B75" s="740"/>
      <c r="C75" s="740"/>
      <c r="D75" s="740"/>
      <c r="E75" s="740"/>
      <c r="F75" s="693" t="s">
        <v>9</v>
      </c>
      <c r="G75" s="693" t="s">
        <v>37</v>
      </c>
      <c r="H75" s="693" t="s">
        <v>29</v>
      </c>
      <c r="I75" s="693" t="s">
        <v>30</v>
      </c>
      <c r="J75" s="693" t="s">
        <v>33</v>
      </c>
      <c r="K75" s="693" t="s">
        <v>34</v>
      </c>
    </row>
    <row r="76" spans="1:11" ht="18" customHeight="1" x14ac:dyDescent="0.3">
      <c r="A76" s="691" t="s">
        <v>105</v>
      </c>
      <c r="B76" s="690" t="s">
        <v>106</v>
      </c>
      <c r="C76" s="740"/>
      <c r="D76" s="740"/>
      <c r="E76" s="740"/>
      <c r="F76" s="740"/>
      <c r="G76" s="740"/>
      <c r="H76" s="740"/>
      <c r="I76" s="740"/>
      <c r="J76" s="740"/>
      <c r="K76" s="740"/>
    </row>
    <row r="77" spans="1:11" ht="18" customHeight="1" x14ac:dyDescent="0.3">
      <c r="A77" s="691" t="s">
        <v>107</v>
      </c>
      <c r="B77" s="689" t="s">
        <v>54</v>
      </c>
      <c r="C77" s="740"/>
      <c r="D77" s="740"/>
      <c r="E77" s="740"/>
      <c r="F77" s="698">
        <v>0</v>
      </c>
      <c r="G77" s="698">
        <v>0</v>
      </c>
      <c r="H77" s="698">
        <v>0</v>
      </c>
      <c r="I77" s="719">
        <v>0</v>
      </c>
      <c r="J77" s="698">
        <v>0</v>
      </c>
      <c r="K77" s="700">
        <v>0</v>
      </c>
    </row>
    <row r="78" spans="1:11" ht="18" customHeight="1" x14ac:dyDescent="0.3">
      <c r="A78" s="691" t="s">
        <v>108</v>
      </c>
      <c r="B78" s="689" t="s">
        <v>55</v>
      </c>
      <c r="C78" s="740"/>
      <c r="D78" s="740"/>
      <c r="E78" s="740"/>
      <c r="F78" s="698">
        <v>0</v>
      </c>
      <c r="G78" s="698">
        <v>0</v>
      </c>
      <c r="H78" s="698">
        <v>0</v>
      </c>
      <c r="I78" s="719">
        <v>0</v>
      </c>
      <c r="J78" s="698">
        <v>0</v>
      </c>
      <c r="K78" s="700">
        <v>0</v>
      </c>
    </row>
    <row r="79" spans="1:11" ht="18" customHeight="1" x14ac:dyDescent="0.3">
      <c r="A79" s="691" t="s">
        <v>109</v>
      </c>
      <c r="B79" s="689" t="s">
        <v>13</v>
      </c>
      <c r="C79" s="740"/>
      <c r="D79" s="740"/>
      <c r="E79" s="740"/>
      <c r="F79" s="698">
        <v>389</v>
      </c>
      <c r="G79" s="698">
        <v>312</v>
      </c>
      <c r="H79" s="698">
        <v>17847.485000000001</v>
      </c>
      <c r="I79" s="719">
        <v>8923.7425000000003</v>
      </c>
      <c r="J79" s="698">
        <v>0</v>
      </c>
      <c r="K79" s="700">
        <v>26771.227500000001</v>
      </c>
    </row>
    <row r="80" spans="1:11" ht="18" customHeight="1" x14ac:dyDescent="0.3">
      <c r="A80" s="691" t="s">
        <v>110</v>
      </c>
      <c r="B80" s="689" t="s">
        <v>56</v>
      </c>
      <c r="C80" s="740"/>
      <c r="D80" s="740"/>
      <c r="E80" s="740"/>
      <c r="F80" s="698">
        <v>0</v>
      </c>
      <c r="G80" s="698">
        <v>0</v>
      </c>
      <c r="H80" s="698">
        <v>0</v>
      </c>
      <c r="I80" s="719">
        <v>0</v>
      </c>
      <c r="J80" s="698">
        <v>0</v>
      </c>
      <c r="K80" s="700">
        <v>0</v>
      </c>
    </row>
    <row r="81" spans="1:11" ht="18" customHeight="1" x14ac:dyDescent="0.3">
      <c r="A81" s="691"/>
      <c r="B81" s="740"/>
      <c r="C81" s="740"/>
      <c r="D81" s="740"/>
      <c r="E81" s="740"/>
      <c r="F81" s="740"/>
      <c r="G81" s="740"/>
      <c r="H81" s="740"/>
      <c r="I81" s="740"/>
      <c r="J81" s="740"/>
      <c r="K81" s="710"/>
    </row>
    <row r="82" spans="1:11" ht="18" customHeight="1" x14ac:dyDescent="0.3">
      <c r="A82" s="691" t="s">
        <v>148</v>
      </c>
      <c r="B82" s="690" t="s">
        <v>149</v>
      </c>
      <c r="C82" s="740"/>
      <c r="D82" s="740"/>
      <c r="E82" s="690" t="s">
        <v>7</v>
      </c>
      <c r="F82" s="703">
        <v>389</v>
      </c>
      <c r="G82" s="703">
        <v>312</v>
      </c>
      <c r="H82" s="701">
        <v>17847.485000000001</v>
      </c>
      <c r="I82" s="701">
        <v>8923.7425000000003</v>
      </c>
      <c r="J82" s="701">
        <v>0</v>
      </c>
      <c r="K82" s="701">
        <v>26771.227500000001</v>
      </c>
    </row>
    <row r="83" spans="1:11" ht="18" customHeight="1" thickBot="1" x14ac:dyDescent="0.35">
      <c r="A83" s="691"/>
      <c r="B83" s="740"/>
      <c r="C83" s="740"/>
      <c r="D83" s="740"/>
      <c r="E83" s="740"/>
      <c r="F83" s="706"/>
      <c r="G83" s="706"/>
      <c r="H83" s="706"/>
      <c r="I83" s="706"/>
      <c r="J83" s="706"/>
      <c r="K83" s="706"/>
    </row>
    <row r="84" spans="1:11" ht="42.75" customHeight="1" x14ac:dyDescent="0.3">
      <c r="B84" s="740"/>
      <c r="C84" s="740"/>
      <c r="D84" s="740"/>
      <c r="E84" s="740"/>
      <c r="F84" s="693" t="s">
        <v>9</v>
      </c>
      <c r="G84" s="693" t="s">
        <v>37</v>
      </c>
      <c r="H84" s="693" t="s">
        <v>29</v>
      </c>
      <c r="I84" s="693" t="s">
        <v>30</v>
      </c>
      <c r="J84" s="693" t="s">
        <v>33</v>
      </c>
      <c r="K84" s="693" t="s">
        <v>34</v>
      </c>
    </row>
    <row r="85" spans="1:11" ht="18" customHeight="1" x14ac:dyDescent="0.3">
      <c r="A85" s="691" t="s">
        <v>111</v>
      </c>
      <c r="B85" s="690" t="s">
        <v>57</v>
      </c>
      <c r="C85" s="740"/>
      <c r="D85" s="740"/>
      <c r="E85" s="740"/>
      <c r="F85" s="740"/>
      <c r="G85" s="740"/>
      <c r="H85" s="740"/>
      <c r="I85" s="740"/>
      <c r="J85" s="740"/>
      <c r="K85" s="740"/>
    </row>
    <row r="86" spans="1:11" ht="18" customHeight="1" x14ac:dyDescent="0.3">
      <c r="A86" s="691" t="s">
        <v>112</v>
      </c>
      <c r="B86" s="689" t="s">
        <v>113</v>
      </c>
      <c r="C86" s="740"/>
      <c r="D86" s="740"/>
      <c r="E86" s="740"/>
      <c r="F86" s="698">
        <v>1200</v>
      </c>
      <c r="G86" s="698">
        <v>7</v>
      </c>
      <c r="H86" s="698">
        <v>30540</v>
      </c>
      <c r="I86" s="719">
        <v>15270</v>
      </c>
      <c r="J86" s="698">
        <v>0</v>
      </c>
      <c r="K86" s="700">
        <v>45810</v>
      </c>
    </row>
    <row r="87" spans="1:11" ht="18" customHeight="1" x14ac:dyDescent="0.3">
      <c r="A87" s="691" t="s">
        <v>114</v>
      </c>
      <c r="B87" s="689" t="s">
        <v>14</v>
      </c>
      <c r="C87" s="740"/>
      <c r="D87" s="740"/>
      <c r="E87" s="740"/>
      <c r="F87" s="698">
        <v>0</v>
      </c>
      <c r="G87" s="698">
        <v>0</v>
      </c>
      <c r="H87" s="698">
        <v>0</v>
      </c>
      <c r="I87" s="719">
        <v>0</v>
      </c>
      <c r="J87" s="698">
        <v>0</v>
      </c>
      <c r="K87" s="700">
        <v>0</v>
      </c>
    </row>
    <row r="88" spans="1:11" ht="18" customHeight="1" x14ac:dyDescent="0.3">
      <c r="A88" s="691" t="s">
        <v>115</v>
      </c>
      <c r="B88" s="689" t="s">
        <v>116</v>
      </c>
      <c r="C88" s="740"/>
      <c r="D88" s="740"/>
      <c r="E88" s="740"/>
      <c r="F88" s="698">
        <v>144</v>
      </c>
      <c r="G88" s="698">
        <v>18</v>
      </c>
      <c r="H88" s="698">
        <v>38155</v>
      </c>
      <c r="I88" s="719">
        <v>19077.5</v>
      </c>
      <c r="J88" s="698">
        <v>0</v>
      </c>
      <c r="K88" s="700">
        <v>57232.5</v>
      </c>
    </row>
    <row r="89" spans="1:11" ht="18" customHeight="1" x14ac:dyDescent="0.3">
      <c r="A89" s="691" t="s">
        <v>117</v>
      </c>
      <c r="B89" s="689" t="s">
        <v>58</v>
      </c>
      <c r="C89" s="740"/>
      <c r="D89" s="740"/>
      <c r="E89" s="740"/>
      <c r="F89" s="698">
        <v>0</v>
      </c>
      <c r="G89" s="698">
        <v>0</v>
      </c>
      <c r="H89" s="698">
        <v>0</v>
      </c>
      <c r="I89" s="719">
        <v>0</v>
      </c>
      <c r="J89" s="698">
        <v>0</v>
      </c>
      <c r="K89" s="700">
        <v>0</v>
      </c>
    </row>
    <row r="90" spans="1:11" ht="18" customHeight="1" x14ac:dyDescent="0.3">
      <c r="A90" s="691" t="s">
        <v>118</v>
      </c>
      <c r="B90" s="1425" t="s">
        <v>59</v>
      </c>
      <c r="C90" s="1425"/>
      <c r="D90" s="740"/>
      <c r="E90" s="740"/>
      <c r="F90" s="698">
        <v>0</v>
      </c>
      <c r="G90" s="698">
        <v>0</v>
      </c>
      <c r="H90" s="698">
        <v>0</v>
      </c>
      <c r="I90" s="719">
        <v>0</v>
      </c>
      <c r="J90" s="698">
        <v>0</v>
      </c>
      <c r="K90" s="700">
        <v>0</v>
      </c>
    </row>
    <row r="91" spans="1:11" ht="18" customHeight="1" x14ac:dyDescent="0.3">
      <c r="A91" s="691" t="s">
        <v>119</v>
      </c>
      <c r="B91" s="689" t="s">
        <v>60</v>
      </c>
      <c r="C91" s="740"/>
      <c r="D91" s="740"/>
      <c r="E91" s="740"/>
      <c r="F91" s="698">
        <v>20</v>
      </c>
      <c r="G91" s="698">
        <v>950</v>
      </c>
      <c r="H91" s="698">
        <v>513</v>
      </c>
      <c r="I91" s="719">
        <v>256.5</v>
      </c>
      <c r="J91" s="698">
        <v>0</v>
      </c>
      <c r="K91" s="700">
        <v>769.5</v>
      </c>
    </row>
    <row r="92" spans="1:11" ht="18" customHeight="1" x14ac:dyDescent="0.3">
      <c r="A92" s="691" t="s">
        <v>120</v>
      </c>
      <c r="B92" s="689" t="s">
        <v>121</v>
      </c>
      <c r="C92" s="740"/>
      <c r="D92" s="740"/>
      <c r="E92" s="740"/>
      <c r="F92" s="698">
        <v>452</v>
      </c>
      <c r="G92" s="698">
        <v>400</v>
      </c>
      <c r="H92" s="698">
        <v>26872.201923076922</v>
      </c>
      <c r="I92" s="719">
        <v>13436.100961538461</v>
      </c>
      <c r="J92" s="698">
        <v>0</v>
      </c>
      <c r="K92" s="700">
        <v>40308.302884615383</v>
      </c>
    </row>
    <row r="93" spans="1:11" ht="18" customHeight="1" x14ac:dyDescent="0.3">
      <c r="A93" s="691" t="s">
        <v>122</v>
      </c>
      <c r="B93" s="689" t="s">
        <v>123</v>
      </c>
      <c r="C93" s="740"/>
      <c r="D93" s="740"/>
      <c r="E93" s="740"/>
      <c r="F93" s="698">
        <v>215</v>
      </c>
      <c r="G93" s="698">
        <v>8</v>
      </c>
      <c r="H93" s="698">
        <v>9801.5</v>
      </c>
      <c r="I93" s="719">
        <v>4900.75</v>
      </c>
      <c r="J93" s="698">
        <v>0</v>
      </c>
      <c r="K93" s="700">
        <v>14702.25</v>
      </c>
    </row>
    <row r="94" spans="1:11" ht="18" customHeight="1" x14ac:dyDescent="0.3">
      <c r="A94" s="691" t="s">
        <v>124</v>
      </c>
      <c r="B94" s="1421"/>
      <c r="C94" s="1422"/>
      <c r="D94" s="1423"/>
      <c r="E94" s="740"/>
      <c r="F94" s="698">
        <v>0</v>
      </c>
      <c r="G94" s="698">
        <v>0</v>
      </c>
      <c r="H94" s="698">
        <v>0</v>
      </c>
      <c r="I94" s="719">
        <v>0</v>
      </c>
      <c r="J94" s="698">
        <v>0</v>
      </c>
      <c r="K94" s="700">
        <v>0</v>
      </c>
    </row>
    <row r="95" spans="1:11" ht="18" customHeight="1" x14ac:dyDescent="0.3">
      <c r="A95" s="691" t="s">
        <v>125</v>
      </c>
      <c r="B95" s="1421"/>
      <c r="C95" s="1422"/>
      <c r="D95" s="1423"/>
      <c r="E95" s="740"/>
      <c r="F95" s="698">
        <v>0</v>
      </c>
      <c r="G95" s="698">
        <v>0</v>
      </c>
      <c r="H95" s="698">
        <v>0</v>
      </c>
      <c r="I95" s="719">
        <v>0</v>
      </c>
      <c r="J95" s="698">
        <v>0</v>
      </c>
      <c r="K95" s="700">
        <v>0</v>
      </c>
    </row>
    <row r="96" spans="1:11" ht="18" customHeight="1" x14ac:dyDescent="0.3">
      <c r="A96" s="691" t="s">
        <v>126</v>
      </c>
      <c r="B96" s="1421"/>
      <c r="C96" s="1422"/>
      <c r="D96" s="1423"/>
      <c r="E96" s="740"/>
      <c r="F96" s="698">
        <v>0</v>
      </c>
      <c r="G96" s="698">
        <v>0</v>
      </c>
      <c r="H96" s="698">
        <v>0</v>
      </c>
      <c r="I96" s="719">
        <v>0</v>
      </c>
      <c r="J96" s="698">
        <v>0</v>
      </c>
      <c r="K96" s="700">
        <v>0</v>
      </c>
    </row>
    <row r="97" spans="1:11" ht="18" customHeight="1" x14ac:dyDescent="0.3">
      <c r="A97" s="691"/>
      <c r="B97" s="689"/>
      <c r="C97" s="740"/>
      <c r="D97" s="740"/>
      <c r="E97" s="740"/>
      <c r="F97" s="740"/>
      <c r="G97" s="740"/>
      <c r="H97" s="740"/>
      <c r="I97" s="740"/>
      <c r="J97" s="740"/>
      <c r="K97" s="740"/>
    </row>
    <row r="98" spans="1:11" ht="18" customHeight="1" x14ac:dyDescent="0.3">
      <c r="A98" s="691" t="s">
        <v>150</v>
      </c>
      <c r="B98" s="690" t="s">
        <v>151</v>
      </c>
      <c r="C98" s="740"/>
      <c r="D98" s="740"/>
      <c r="E98" s="690" t="s">
        <v>7</v>
      </c>
      <c r="F98" s="702">
        <v>2031</v>
      </c>
      <c r="G98" s="702">
        <v>1383</v>
      </c>
      <c r="H98" s="702">
        <v>105881.70192307692</v>
      </c>
      <c r="I98" s="702">
        <v>52940.850961538461</v>
      </c>
      <c r="J98" s="702">
        <v>0</v>
      </c>
      <c r="K98" s="702">
        <v>158822.55288461538</v>
      </c>
    </row>
    <row r="99" spans="1:11" ht="18" customHeight="1" thickBot="1" x14ac:dyDescent="0.35">
      <c r="B99" s="690"/>
      <c r="C99" s="740"/>
      <c r="D99" s="740"/>
      <c r="E99" s="740"/>
      <c r="F99" s="706"/>
      <c r="G99" s="706"/>
      <c r="H99" s="706"/>
      <c r="I99" s="706"/>
      <c r="J99" s="706"/>
      <c r="K99" s="706"/>
    </row>
    <row r="100" spans="1:11" ht="42.75" customHeight="1" x14ac:dyDescent="0.3">
      <c r="B100" s="740"/>
      <c r="C100" s="740"/>
      <c r="D100" s="740"/>
      <c r="E100" s="740"/>
      <c r="F100" s="693" t="s">
        <v>9</v>
      </c>
      <c r="G100" s="693" t="s">
        <v>37</v>
      </c>
      <c r="H100" s="693" t="s">
        <v>29</v>
      </c>
      <c r="I100" s="693" t="s">
        <v>30</v>
      </c>
      <c r="J100" s="693" t="s">
        <v>33</v>
      </c>
      <c r="K100" s="693" t="s">
        <v>34</v>
      </c>
    </row>
    <row r="101" spans="1:11" ht="18" customHeight="1" x14ac:dyDescent="0.3">
      <c r="A101" s="691" t="s">
        <v>130</v>
      </c>
      <c r="B101" s="690" t="s">
        <v>63</v>
      </c>
      <c r="C101" s="740"/>
      <c r="D101" s="740"/>
      <c r="E101" s="740"/>
      <c r="F101" s="740"/>
      <c r="G101" s="740"/>
      <c r="H101" s="740"/>
      <c r="I101" s="740"/>
      <c r="J101" s="740"/>
      <c r="K101" s="740"/>
    </row>
    <row r="102" spans="1:11" ht="18" customHeight="1" x14ac:dyDescent="0.3">
      <c r="A102" s="691" t="s">
        <v>131</v>
      </c>
      <c r="B102" s="689" t="s">
        <v>152</v>
      </c>
      <c r="C102" s="740"/>
      <c r="D102" s="740"/>
      <c r="E102" s="740"/>
      <c r="F102" s="698">
        <v>1596</v>
      </c>
      <c r="G102" s="698">
        <v>9093</v>
      </c>
      <c r="H102" s="698">
        <v>74979.7</v>
      </c>
      <c r="I102" s="719">
        <v>37489.85</v>
      </c>
      <c r="J102" s="698">
        <v>0</v>
      </c>
      <c r="K102" s="700">
        <v>112469.54999999999</v>
      </c>
    </row>
    <row r="103" spans="1:11" ht="18" customHeight="1" x14ac:dyDescent="0.3">
      <c r="A103" s="691" t="s">
        <v>132</v>
      </c>
      <c r="B103" s="1424" t="s">
        <v>62</v>
      </c>
      <c r="C103" s="1424"/>
      <c r="D103" s="740"/>
      <c r="E103" s="740"/>
      <c r="F103" s="698">
        <v>0</v>
      </c>
      <c r="G103" s="698">
        <v>0</v>
      </c>
      <c r="H103" s="698">
        <v>0</v>
      </c>
      <c r="I103" s="719">
        <v>0</v>
      </c>
      <c r="J103" s="698">
        <v>0</v>
      </c>
      <c r="K103" s="700">
        <v>0</v>
      </c>
    </row>
    <row r="104" spans="1:11" ht="18" customHeight="1" x14ac:dyDescent="0.3">
      <c r="A104" s="691" t="s">
        <v>128</v>
      </c>
      <c r="B104" s="1421"/>
      <c r="C104" s="1422"/>
      <c r="D104" s="1423"/>
      <c r="E104" s="740"/>
      <c r="F104" s="698">
        <v>0</v>
      </c>
      <c r="G104" s="698">
        <v>0</v>
      </c>
      <c r="H104" s="698">
        <v>0</v>
      </c>
      <c r="I104" s="719">
        <v>0</v>
      </c>
      <c r="J104" s="698">
        <v>0</v>
      </c>
      <c r="K104" s="700">
        <v>0</v>
      </c>
    </row>
    <row r="105" spans="1:11" ht="18" customHeight="1" x14ac:dyDescent="0.3">
      <c r="A105" s="691" t="s">
        <v>127</v>
      </c>
      <c r="B105" s="1421"/>
      <c r="C105" s="1422"/>
      <c r="D105" s="1423"/>
      <c r="E105" s="740"/>
      <c r="F105" s="698">
        <v>0</v>
      </c>
      <c r="G105" s="698">
        <v>0</v>
      </c>
      <c r="H105" s="698">
        <v>0</v>
      </c>
      <c r="I105" s="719">
        <v>0</v>
      </c>
      <c r="J105" s="698">
        <v>0</v>
      </c>
      <c r="K105" s="700">
        <v>0</v>
      </c>
    </row>
    <row r="106" spans="1:11" ht="18" customHeight="1" x14ac:dyDescent="0.3">
      <c r="A106" s="691" t="s">
        <v>129</v>
      </c>
      <c r="B106" s="1421"/>
      <c r="C106" s="1422"/>
      <c r="D106" s="1423"/>
      <c r="E106" s="740"/>
      <c r="F106" s="698">
        <v>0</v>
      </c>
      <c r="G106" s="698">
        <v>0</v>
      </c>
      <c r="H106" s="698">
        <v>0</v>
      </c>
      <c r="I106" s="719">
        <v>0</v>
      </c>
      <c r="J106" s="698">
        <v>0</v>
      </c>
      <c r="K106" s="700">
        <v>0</v>
      </c>
    </row>
    <row r="107" spans="1:11" ht="18" customHeight="1" x14ac:dyDescent="0.3">
      <c r="B107" s="690"/>
      <c r="C107" s="740"/>
      <c r="D107" s="740"/>
      <c r="E107" s="740"/>
      <c r="F107" s="740"/>
      <c r="G107" s="740"/>
      <c r="H107" s="740"/>
      <c r="I107" s="740"/>
      <c r="J107" s="740"/>
      <c r="K107" s="740"/>
    </row>
    <row r="108" spans="1:11" s="29" customFormat="1" ht="18" customHeight="1" x14ac:dyDescent="0.3">
      <c r="A108" s="691" t="s">
        <v>153</v>
      </c>
      <c r="B108" s="728" t="s">
        <v>154</v>
      </c>
      <c r="C108" s="740"/>
      <c r="D108" s="740"/>
      <c r="E108" s="690" t="s">
        <v>7</v>
      </c>
      <c r="F108" s="702">
        <v>1596</v>
      </c>
      <c r="G108" s="702">
        <v>9093</v>
      </c>
      <c r="H108" s="700">
        <v>74979.7</v>
      </c>
      <c r="I108" s="700">
        <v>37489.85</v>
      </c>
      <c r="J108" s="700">
        <v>0</v>
      </c>
      <c r="K108" s="700">
        <v>112469.54999999999</v>
      </c>
    </row>
    <row r="109" spans="1:11" s="29" customFormat="1" ht="18" customHeight="1" thickBot="1" x14ac:dyDescent="0.35">
      <c r="A109" s="695"/>
      <c r="B109" s="696"/>
      <c r="C109" s="697"/>
      <c r="D109" s="697"/>
      <c r="E109" s="697"/>
      <c r="F109" s="706"/>
      <c r="G109" s="706"/>
      <c r="H109" s="706"/>
      <c r="I109" s="706"/>
      <c r="J109" s="706"/>
      <c r="K109" s="706"/>
    </row>
    <row r="110" spans="1:11" s="29" customFormat="1" ht="18" customHeight="1" x14ac:dyDescent="0.3">
      <c r="A110" s="691" t="s">
        <v>156</v>
      </c>
      <c r="B110" s="690" t="s">
        <v>39</v>
      </c>
      <c r="C110" s="740"/>
      <c r="D110" s="740"/>
      <c r="E110" s="740"/>
      <c r="F110" s="740"/>
      <c r="G110" s="740"/>
      <c r="H110" s="740"/>
      <c r="I110" s="740"/>
      <c r="J110" s="740"/>
      <c r="K110" s="740"/>
    </row>
    <row r="111" spans="1:11" ht="18" customHeight="1" x14ac:dyDescent="0.3">
      <c r="A111" s="691" t="s">
        <v>155</v>
      </c>
      <c r="B111" s="690" t="s">
        <v>164</v>
      </c>
      <c r="C111" s="740"/>
      <c r="D111" s="740"/>
      <c r="E111" s="690" t="s">
        <v>7</v>
      </c>
      <c r="F111" s="699">
        <v>382465</v>
      </c>
      <c r="G111" s="740"/>
      <c r="H111" s="740"/>
      <c r="I111" s="740"/>
      <c r="J111" s="740"/>
      <c r="K111" s="740"/>
    </row>
    <row r="112" spans="1:11" ht="18" customHeight="1" x14ac:dyDescent="0.3">
      <c r="B112" s="690"/>
      <c r="C112" s="740"/>
      <c r="D112" s="740"/>
      <c r="E112" s="690"/>
      <c r="F112" s="704"/>
      <c r="G112" s="740"/>
      <c r="H112" s="740"/>
      <c r="I112" s="740"/>
      <c r="J112" s="740"/>
      <c r="K112" s="740"/>
    </row>
    <row r="113" spans="1:11" ht="13" x14ac:dyDescent="0.3">
      <c r="A113" s="691"/>
      <c r="B113" s="690" t="s">
        <v>15</v>
      </c>
      <c r="C113" s="740"/>
      <c r="D113" s="740"/>
      <c r="E113" s="740"/>
      <c r="F113" s="740"/>
      <c r="G113" s="740"/>
      <c r="H113" s="740"/>
      <c r="I113" s="740"/>
      <c r="J113" s="740"/>
      <c r="K113" s="740"/>
    </row>
    <row r="114" spans="1:11" ht="13" x14ac:dyDescent="0.3">
      <c r="A114" s="691" t="s">
        <v>171</v>
      </c>
      <c r="B114" s="689" t="s">
        <v>35</v>
      </c>
      <c r="C114" s="740"/>
      <c r="D114" s="740"/>
      <c r="E114" s="740"/>
      <c r="F114" s="707">
        <v>0.5</v>
      </c>
      <c r="G114" s="740"/>
      <c r="H114" s="740"/>
      <c r="I114" s="740"/>
      <c r="J114" s="740"/>
      <c r="K114" s="740"/>
    </row>
    <row r="115" spans="1:11" ht="13" x14ac:dyDescent="0.3">
      <c r="A115" s="691"/>
      <c r="B115" s="690"/>
      <c r="C115" s="740"/>
      <c r="D115" s="740"/>
      <c r="E115" s="740"/>
      <c r="F115" s="740"/>
      <c r="G115" s="740"/>
      <c r="H115" s="740"/>
      <c r="I115" s="740"/>
      <c r="J115" s="740"/>
      <c r="K115" s="740"/>
    </row>
    <row r="116" spans="1:11" ht="13" x14ac:dyDescent="0.3">
      <c r="A116" s="691" t="s">
        <v>170</v>
      </c>
      <c r="B116" s="690" t="s">
        <v>16</v>
      </c>
      <c r="C116" s="740"/>
      <c r="D116" s="740"/>
      <c r="E116" s="740"/>
      <c r="F116" s="740"/>
      <c r="G116" s="740"/>
      <c r="H116" s="740"/>
      <c r="I116" s="740"/>
      <c r="J116" s="740"/>
      <c r="K116" s="740"/>
    </row>
    <row r="117" spans="1:11" ht="13" x14ac:dyDescent="0.3">
      <c r="A117" s="691" t="s">
        <v>172</v>
      </c>
      <c r="B117" s="689" t="s">
        <v>17</v>
      </c>
      <c r="C117" s="740"/>
      <c r="D117" s="740"/>
      <c r="E117" s="740"/>
      <c r="F117" s="699">
        <v>58077114</v>
      </c>
      <c r="G117" s="740"/>
      <c r="H117" s="740"/>
      <c r="I117" s="740"/>
      <c r="J117" s="740"/>
      <c r="K117" s="740"/>
    </row>
    <row r="118" spans="1:11" ht="13" x14ac:dyDescent="0.3">
      <c r="A118" s="691" t="s">
        <v>173</v>
      </c>
      <c r="B118" s="740" t="s">
        <v>18</v>
      </c>
      <c r="C118" s="740"/>
      <c r="D118" s="740"/>
      <c r="E118" s="740"/>
      <c r="F118" s="699">
        <v>774940</v>
      </c>
      <c r="G118" s="740"/>
      <c r="H118" s="740"/>
      <c r="I118" s="740"/>
      <c r="J118" s="740"/>
      <c r="K118" s="740"/>
    </row>
    <row r="119" spans="1:11" ht="13" x14ac:dyDescent="0.3">
      <c r="A119" s="691" t="s">
        <v>174</v>
      </c>
      <c r="B119" s="690" t="s">
        <v>19</v>
      </c>
      <c r="C119" s="740"/>
      <c r="D119" s="740"/>
      <c r="E119" s="740"/>
      <c r="F119" s="701">
        <v>58852054</v>
      </c>
      <c r="G119" s="740"/>
      <c r="H119" s="740"/>
      <c r="I119" s="740"/>
      <c r="J119" s="740"/>
      <c r="K119" s="740"/>
    </row>
    <row r="120" spans="1:11" ht="13" x14ac:dyDescent="0.3">
      <c r="A120" s="691"/>
      <c r="B120" s="690"/>
      <c r="C120" s="740"/>
      <c r="D120" s="740"/>
      <c r="E120" s="740"/>
      <c r="F120" s="740"/>
      <c r="G120" s="740"/>
      <c r="H120" s="740"/>
      <c r="I120" s="740"/>
      <c r="J120" s="740"/>
      <c r="K120" s="740"/>
    </row>
    <row r="121" spans="1:11" ht="13" x14ac:dyDescent="0.3">
      <c r="A121" s="691" t="s">
        <v>167</v>
      </c>
      <c r="B121" s="690" t="s">
        <v>36</v>
      </c>
      <c r="C121" s="740"/>
      <c r="D121" s="740"/>
      <c r="E121" s="740"/>
      <c r="F121" s="699">
        <v>55412291</v>
      </c>
      <c r="G121" s="740"/>
      <c r="H121" s="740"/>
      <c r="I121" s="740"/>
      <c r="J121" s="740"/>
      <c r="K121" s="740"/>
    </row>
    <row r="122" spans="1:11" ht="13" x14ac:dyDescent="0.3">
      <c r="A122" s="691"/>
      <c r="B122" s="740"/>
      <c r="C122" s="740"/>
      <c r="D122" s="740"/>
      <c r="E122" s="740"/>
      <c r="F122" s="740"/>
      <c r="G122" s="740"/>
      <c r="H122" s="740"/>
      <c r="I122" s="740"/>
      <c r="J122" s="740"/>
      <c r="K122" s="740"/>
    </row>
    <row r="123" spans="1:11" ht="13" x14ac:dyDescent="0.3">
      <c r="A123" s="691" t="s">
        <v>175</v>
      </c>
      <c r="B123" s="690" t="s">
        <v>20</v>
      </c>
      <c r="C123" s="740"/>
      <c r="D123" s="740"/>
      <c r="E123" s="740"/>
      <c r="F123" s="699">
        <v>3439764</v>
      </c>
      <c r="G123" s="740"/>
      <c r="H123" s="740"/>
      <c r="I123" s="740"/>
      <c r="J123" s="740"/>
      <c r="K123" s="740"/>
    </row>
    <row r="124" spans="1:11" ht="13" x14ac:dyDescent="0.3">
      <c r="A124" s="691"/>
      <c r="B124" s="740"/>
      <c r="C124" s="740"/>
      <c r="D124" s="740"/>
      <c r="E124" s="740"/>
      <c r="F124" s="740"/>
      <c r="G124" s="740"/>
      <c r="H124" s="740"/>
      <c r="I124" s="740"/>
      <c r="J124" s="740"/>
      <c r="K124" s="740"/>
    </row>
    <row r="125" spans="1:11" ht="13" x14ac:dyDescent="0.3">
      <c r="A125" s="691" t="s">
        <v>176</v>
      </c>
      <c r="B125" s="690" t="s">
        <v>21</v>
      </c>
      <c r="C125" s="740"/>
      <c r="D125" s="740"/>
      <c r="E125" s="740"/>
      <c r="F125" s="730">
        <v>4115822</v>
      </c>
      <c r="G125" s="740"/>
      <c r="H125" s="740"/>
      <c r="I125" s="740"/>
      <c r="J125" s="740"/>
      <c r="K125" s="740"/>
    </row>
    <row r="126" spans="1:11" ht="13" x14ac:dyDescent="0.3">
      <c r="A126" s="691"/>
      <c r="B126" s="740"/>
      <c r="C126" s="740"/>
      <c r="D126" s="740"/>
      <c r="E126" s="740"/>
      <c r="F126" s="740"/>
      <c r="G126" s="740"/>
      <c r="H126" s="740"/>
      <c r="I126" s="740"/>
      <c r="J126" s="740"/>
      <c r="K126" s="740"/>
    </row>
    <row r="127" spans="1:11" ht="13" x14ac:dyDescent="0.3">
      <c r="A127" s="691" t="s">
        <v>177</v>
      </c>
      <c r="B127" s="690" t="s">
        <v>22</v>
      </c>
      <c r="C127" s="740"/>
      <c r="D127" s="740"/>
      <c r="E127" s="740"/>
      <c r="F127" s="699">
        <v>7555585</v>
      </c>
      <c r="G127" s="740"/>
      <c r="H127" s="740"/>
      <c r="I127" s="740"/>
      <c r="J127" s="740"/>
      <c r="K127" s="740"/>
    </row>
    <row r="128" spans="1:11" ht="13" x14ac:dyDescent="0.3">
      <c r="A128" s="691"/>
      <c r="B128" s="740"/>
      <c r="C128" s="740"/>
      <c r="D128" s="740"/>
      <c r="E128" s="740"/>
      <c r="F128" s="740"/>
      <c r="G128" s="740"/>
      <c r="H128" s="740"/>
      <c r="I128" s="740"/>
      <c r="J128" s="740"/>
      <c r="K128" s="740"/>
    </row>
    <row r="129" spans="1:12" ht="42.75" customHeight="1" x14ac:dyDescent="0.3">
      <c r="B129" s="740"/>
      <c r="C129" s="740"/>
      <c r="D129" s="740"/>
      <c r="E129" s="740"/>
      <c r="F129" s="693" t="s">
        <v>9</v>
      </c>
      <c r="G129" s="693" t="s">
        <v>37</v>
      </c>
      <c r="H129" s="693" t="s">
        <v>29</v>
      </c>
      <c r="I129" s="693" t="s">
        <v>30</v>
      </c>
      <c r="J129" s="693" t="s">
        <v>33</v>
      </c>
      <c r="K129" s="693" t="s">
        <v>34</v>
      </c>
    </row>
    <row r="130" spans="1:12" ht="18" customHeight="1" x14ac:dyDescent="0.3">
      <c r="A130" s="691" t="s">
        <v>157</v>
      </c>
      <c r="B130" s="690" t="s">
        <v>23</v>
      </c>
      <c r="C130" s="740"/>
      <c r="D130" s="740"/>
      <c r="E130" s="740"/>
      <c r="F130" s="740"/>
      <c r="G130" s="740"/>
      <c r="H130" s="740"/>
      <c r="I130" s="740"/>
      <c r="J130" s="740"/>
      <c r="K130" s="740"/>
    </row>
    <row r="131" spans="1:12" ht="18" customHeight="1" x14ac:dyDescent="0.3">
      <c r="A131" s="691" t="s">
        <v>158</v>
      </c>
      <c r="B131" s="740" t="s">
        <v>24</v>
      </c>
      <c r="C131" s="740"/>
      <c r="D131" s="740"/>
      <c r="E131" s="740"/>
      <c r="F131" s="698"/>
      <c r="G131" s="698"/>
      <c r="H131" s="699">
        <v>74655</v>
      </c>
      <c r="I131" s="719">
        <v>0</v>
      </c>
      <c r="J131" s="699">
        <v>0</v>
      </c>
      <c r="K131" s="700">
        <v>74655</v>
      </c>
    </row>
    <row r="132" spans="1:12" ht="18" customHeight="1" x14ac:dyDescent="0.3">
      <c r="A132" s="691" t="s">
        <v>159</v>
      </c>
      <c r="B132" s="740" t="s">
        <v>25</v>
      </c>
      <c r="C132" s="740"/>
      <c r="D132" s="740"/>
      <c r="E132" s="740"/>
      <c r="F132" s="698"/>
      <c r="G132" s="698"/>
      <c r="H132" s="699"/>
      <c r="I132" s="719">
        <v>0</v>
      </c>
      <c r="J132" s="699"/>
      <c r="K132" s="700">
        <v>0</v>
      </c>
    </row>
    <row r="133" spans="1:12" ht="18" customHeight="1" x14ac:dyDescent="0.3">
      <c r="A133" s="691" t="s">
        <v>160</v>
      </c>
      <c r="B133" s="1418"/>
      <c r="C133" s="1419"/>
      <c r="D133" s="1420"/>
      <c r="E133" s="740"/>
      <c r="F133" s="698"/>
      <c r="G133" s="698"/>
      <c r="H133" s="699"/>
      <c r="I133" s="719">
        <v>0</v>
      </c>
      <c r="J133" s="699"/>
      <c r="K133" s="700">
        <v>0</v>
      </c>
    </row>
    <row r="134" spans="1:12" ht="18" customHeight="1" x14ac:dyDescent="0.3">
      <c r="A134" s="691" t="s">
        <v>161</v>
      </c>
      <c r="B134" s="1418"/>
      <c r="C134" s="1419"/>
      <c r="D134" s="1420"/>
      <c r="E134" s="740"/>
      <c r="F134" s="698"/>
      <c r="G134" s="698"/>
      <c r="H134" s="699"/>
      <c r="I134" s="719">
        <v>0</v>
      </c>
      <c r="J134" s="699"/>
      <c r="K134" s="700">
        <v>0</v>
      </c>
    </row>
    <row r="135" spans="1:12" ht="18" customHeight="1" x14ac:dyDescent="0.3">
      <c r="A135" s="691" t="s">
        <v>162</v>
      </c>
      <c r="B135" s="1418"/>
      <c r="C135" s="1419"/>
      <c r="D135" s="1420"/>
      <c r="E135" s="740"/>
      <c r="F135" s="698"/>
      <c r="G135" s="698"/>
      <c r="H135" s="699"/>
      <c r="I135" s="719">
        <v>0</v>
      </c>
      <c r="J135" s="699"/>
      <c r="K135" s="700">
        <v>0</v>
      </c>
    </row>
    <row r="136" spans="1:12" ht="18" customHeight="1" x14ac:dyDescent="0.3">
      <c r="A136" s="691"/>
      <c r="B136" s="740"/>
      <c r="C136" s="740"/>
      <c r="D136" s="740"/>
      <c r="E136" s="740"/>
      <c r="F136" s="740"/>
      <c r="G136" s="740"/>
      <c r="H136" s="740"/>
      <c r="I136" s="740"/>
      <c r="J136" s="740"/>
      <c r="K136" s="740"/>
    </row>
    <row r="137" spans="1:12" ht="18" customHeight="1" x14ac:dyDescent="0.3">
      <c r="A137" s="691" t="s">
        <v>163</v>
      </c>
      <c r="B137" s="690" t="s">
        <v>27</v>
      </c>
      <c r="C137" s="740"/>
      <c r="D137" s="740"/>
      <c r="E137" s="740"/>
      <c r="F137" s="702"/>
      <c r="G137" s="702"/>
      <c r="H137" s="700">
        <v>74655</v>
      </c>
      <c r="I137" s="700">
        <v>0</v>
      </c>
      <c r="J137" s="700">
        <v>0</v>
      </c>
      <c r="K137" s="700">
        <v>74655</v>
      </c>
    </row>
    <row r="138" spans="1:12" ht="18" customHeight="1" x14ac:dyDescent="0.25">
      <c r="B138" s="740"/>
      <c r="C138" s="740"/>
      <c r="D138" s="740"/>
      <c r="E138" s="740"/>
      <c r="F138" s="740"/>
      <c r="G138" s="740"/>
      <c r="H138" s="740"/>
      <c r="I138" s="740"/>
      <c r="J138" s="740"/>
      <c r="K138" s="740"/>
    </row>
    <row r="139" spans="1:12" ht="42.75" customHeight="1" x14ac:dyDescent="0.3">
      <c r="B139" s="740"/>
      <c r="C139" s="740"/>
      <c r="D139" s="740"/>
      <c r="E139" s="740"/>
      <c r="F139" s="693" t="s">
        <v>9</v>
      </c>
      <c r="G139" s="693" t="s">
        <v>37</v>
      </c>
      <c r="H139" s="693" t="s">
        <v>29</v>
      </c>
      <c r="I139" s="693" t="s">
        <v>30</v>
      </c>
      <c r="J139" s="693" t="s">
        <v>33</v>
      </c>
      <c r="K139" s="693" t="s">
        <v>34</v>
      </c>
    </row>
    <row r="140" spans="1:12" ht="18" customHeight="1" x14ac:dyDescent="0.3">
      <c r="A140" s="691" t="s">
        <v>166</v>
      </c>
      <c r="B140" s="690" t="s">
        <v>26</v>
      </c>
      <c r="C140" s="740"/>
      <c r="D140" s="740"/>
      <c r="E140" s="740"/>
      <c r="F140" s="740"/>
      <c r="G140" s="740"/>
      <c r="H140" s="740"/>
      <c r="I140" s="740"/>
      <c r="J140" s="740"/>
      <c r="K140" s="740"/>
    </row>
    <row r="141" spans="1:12" ht="18" customHeight="1" x14ac:dyDescent="0.3">
      <c r="A141" s="691" t="s">
        <v>137</v>
      </c>
      <c r="B141" s="690" t="s">
        <v>64</v>
      </c>
      <c r="C141" s="740"/>
      <c r="D141" s="740"/>
      <c r="E141" s="740"/>
      <c r="F141" s="711">
        <v>2402.5</v>
      </c>
      <c r="G141" s="711">
        <v>81167</v>
      </c>
      <c r="H141" s="711">
        <v>111593.0775</v>
      </c>
      <c r="I141" s="711">
        <v>55796.53875</v>
      </c>
      <c r="J141" s="711">
        <v>0</v>
      </c>
      <c r="K141" s="711">
        <v>167389.61624999999</v>
      </c>
      <c r="L141" s="1156"/>
    </row>
    <row r="142" spans="1:12" ht="18" customHeight="1" x14ac:dyDescent="0.3">
      <c r="A142" s="691" t="s">
        <v>142</v>
      </c>
      <c r="B142" s="690" t="s">
        <v>65</v>
      </c>
      <c r="C142" s="740"/>
      <c r="D142" s="740"/>
      <c r="E142" s="740"/>
      <c r="F142" s="711">
        <v>6635</v>
      </c>
      <c r="G142" s="711">
        <v>3937</v>
      </c>
      <c r="H142" s="711">
        <v>278400.625</v>
      </c>
      <c r="I142" s="711">
        <v>139200.3125</v>
      </c>
      <c r="J142" s="711">
        <v>0</v>
      </c>
      <c r="K142" s="711">
        <v>417600.9375</v>
      </c>
    </row>
    <row r="143" spans="1:12" ht="18" customHeight="1" x14ac:dyDescent="0.3">
      <c r="A143" s="691" t="s">
        <v>144</v>
      </c>
      <c r="B143" s="690" t="s">
        <v>66</v>
      </c>
      <c r="C143" s="740"/>
      <c r="D143" s="740"/>
      <c r="E143" s="740"/>
      <c r="F143" s="711">
        <v>10750</v>
      </c>
      <c r="G143" s="711">
        <v>3395</v>
      </c>
      <c r="H143" s="711">
        <v>732818</v>
      </c>
      <c r="I143" s="711">
        <v>366409</v>
      </c>
      <c r="J143" s="711">
        <v>454588</v>
      </c>
      <c r="K143" s="711">
        <v>644639</v>
      </c>
    </row>
    <row r="144" spans="1:12" ht="18" customHeight="1" x14ac:dyDescent="0.3">
      <c r="A144" s="691" t="s">
        <v>146</v>
      </c>
      <c r="B144" s="690" t="s">
        <v>67</v>
      </c>
      <c r="C144" s="740"/>
      <c r="D144" s="740"/>
      <c r="E144" s="740"/>
      <c r="F144" s="711">
        <v>18</v>
      </c>
      <c r="G144" s="711">
        <v>0</v>
      </c>
      <c r="H144" s="711">
        <v>724.27499999999998</v>
      </c>
      <c r="I144" s="711">
        <v>362.13749999999999</v>
      </c>
      <c r="J144" s="711">
        <v>0</v>
      </c>
      <c r="K144" s="711">
        <v>1086.4124999999999</v>
      </c>
    </row>
    <row r="145" spans="1:11" ht="18" customHeight="1" x14ac:dyDescent="0.3">
      <c r="A145" s="691" t="s">
        <v>148</v>
      </c>
      <c r="B145" s="690" t="s">
        <v>68</v>
      </c>
      <c r="C145" s="740"/>
      <c r="D145" s="740"/>
      <c r="E145" s="740"/>
      <c r="F145" s="711">
        <v>389</v>
      </c>
      <c r="G145" s="711">
        <v>312</v>
      </c>
      <c r="H145" s="711">
        <v>17847.485000000001</v>
      </c>
      <c r="I145" s="711">
        <v>8923.7425000000003</v>
      </c>
      <c r="J145" s="711">
        <v>0</v>
      </c>
      <c r="K145" s="711">
        <v>26771.227500000001</v>
      </c>
    </row>
    <row r="146" spans="1:11" ht="18" customHeight="1" x14ac:dyDescent="0.3">
      <c r="A146" s="691" t="s">
        <v>150</v>
      </c>
      <c r="B146" s="690" t="s">
        <v>69</v>
      </c>
      <c r="C146" s="740"/>
      <c r="D146" s="740"/>
      <c r="E146" s="740"/>
      <c r="F146" s="711">
        <v>2031</v>
      </c>
      <c r="G146" s="711">
        <v>1383</v>
      </c>
      <c r="H146" s="711">
        <v>105881.70192307692</v>
      </c>
      <c r="I146" s="711">
        <v>52940.850961538461</v>
      </c>
      <c r="J146" s="711">
        <v>0</v>
      </c>
      <c r="K146" s="711">
        <v>158822.55288461538</v>
      </c>
    </row>
    <row r="147" spans="1:11" ht="18" customHeight="1" x14ac:dyDescent="0.3">
      <c r="A147" s="691" t="s">
        <v>153</v>
      </c>
      <c r="B147" s="690" t="s">
        <v>61</v>
      </c>
      <c r="C147" s="740"/>
      <c r="D147" s="740"/>
      <c r="E147" s="740"/>
      <c r="F147" s="702">
        <v>1596</v>
      </c>
      <c r="G147" s="702">
        <v>9093</v>
      </c>
      <c r="H147" s="702">
        <v>74979.7</v>
      </c>
      <c r="I147" s="702">
        <v>37489.85</v>
      </c>
      <c r="J147" s="702">
        <v>0</v>
      </c>
      <c r="K147" s="702">
        <v>112469.54999999999</v>
      </c>
    </row>
    <row r="148" spans="1:11" ht="18" customHeight="1" x14ac:dyDescent="0.3">
      <c r="A148" s="691" t="s">
        <v>155</v>
      </c>
      <c r="B148" s="690" t="s">
        <v>70</v>
      </c>
      <c r="C148" s="740"/>
      <c r="D148" s="740"/>
      <c r="E148" s="740"/>
      <c r="F148" s="712" t="s">
        <v>73</v>
      </c>
      <c r="G148" s="712" t="s">
        <v>73</v>
      </c>
      <c r="H148" s="713" t="s">
        <v>73</v>
      </c>
      <c r="I148" s="713" t="s">
        <v>73</v>
      </c>
      <c r="J148" s="713" t="s">
        <v>73</v>
      </c>
      <c r="K148" s="709">
        <v>382465</v>
      </c>
    </row>
    <row r="149" spans="1:11" ht="18" customHeight="1" x14ac:dyDescent="0.3">
      <c r="A149" s="691" t="s">
        <v>163</v>
      </c>
      <c r="B149" s="690" t="s">
        <v>71</v>
      </c>
      <c r="C149" s="740"/>
      <c r="D149" s="740"/>
      <c r="E149" s="740"/>
      <c r="F149" s="702">
        <v>0</v>
      </c>
      <c r="G149" s="702">
        <v>0</v>
      </c>
      <c r="H149" s="702">
        <v>74655</v>
      </c>
      <c r="I149" s="702">
        <v>0</v>
      </c>
      <c r="J149" s="702">
        <v>0</v>
      </c>
      <c r="K149" s="702">
        <v>74655</v>
      </c>
    </row>
    <row r="150" spans="1:11" ht="18" customHeight="1" x14ac:dyDescent="0.3">
      <c r="A150" s="691" t="s">
        <v>185</v>
      </c>
      <c r="B150" s="690" t="s">
        <v>186</v>
      </c>
      <c r="C150" s="740"/>
      <c r="D150" s="740"/>
      <c r="E150" s="740"/>
      <c r="F150" s="712" t="s">
        <v>73</v>
      </c>
      <c r="G150" s="712" t="s">
        <v>73</v>
      </c>
      <c r="H150" s="702">
        <v>0</v>
      </c>
      <c r="I150" s="702">
        <v>0</v>
      </c>
      <c r="J150" s="702">
        <v>0</v>
      </c>
      <c r="K150" s="702">
        <v>0</v>
      </c>
    </row>
    <row r="151" spans="1:11" ht="18" customHeight="1" x14ac:dyDescent="0.3">
      <c r="B151" s="690"/>
      <c r="C151" s="740"/>
      <c r="D151" s="740"/>
      <c r="E151" s="740"/>
      <c r="F151" s="717"/>
      <c r="G151" s="717"/>
      <c r="H151" s="717"/>
      <c r="I151" s="717"/>
      <c r="J151" s="717"/>
      <c r="K151" s="717"/>
    </row>
    <row r="152" spans="1:11" ht="18" customHeight="1" x14ac:dyDescent="0.3">
      <c r="A152" s="691" t="s">
        <v>165</v>
      </c>
      <c r="B152" s="690" t="s">
        <v>26</v>
      </c>
      <c r="C152" s="740"/>
      <c r="D152" s="740"/>
      <c r="E152" s="740"/>
      <c r="F152" s="718">
        <v>23821.5</v>
      </c>
      <c r="G152" s="718">
        <v>99287</v>
      </c>
      <c r="H152" s="718">
        <v>1396899.8644230771</v>
      </c>
      <c r="I152" s="718">
        <v>661122.43221153854</v>
      </c>
      <c r="J152" s="718">
        <v>454588</v>
      </c>
      <c r="K152" s="718">
        <v>1985899.2966346156</v>
      </c>
    </row>
    <row r="153" spans="1:11" ht="18" customHeight="1" x14ac:dyDescent="0.25">
      <c r="B153" s="740"/>
      <c r="C153" s="740"/>
      <c r="D153" s="740"/>
      <c r="E153" s="740"/>
      <c r="F153" s="740"/>
      <c r="G153" s="740"/>
      <c r="H153" s="1156">
        <f>SUM(H141:H150)</f>
        <v>1396899.8644230771</v>
      </c>
      <c r="I153" s="1156">
        <f t="shared" ref="I153:J153" si="0">SUM(I141:I150)</f>
        <v>661122.43221153854</v>
      </c>
      <c r="J153" s="1156">
        <f t="shared" si="0"/>
        <v>454588</v>
      </c>
      <c r="K153" s="1156">
        <f>SUM(K141:K150)</f>
        <v>1985899.2966346156</v>
      </c>
    </row>
    <row r="154" spans="1:11" ht="18" customHeight="1" x14ac:dyDescent="0.3">
      <c r="A154" s="691" t="s">
        <v>168</v>
      </c>
      <c r="B154" s="690" t="s">
        <v>28</v>
      </c>
      <c r="C154" s="740"/>
      <c r="D154" s="740"/>
      <c r="E154" s="740"/>
      <c r="F154" s="729">
        <v>3.5838606576194726E-2</v>
      </c>
      <c r="G154" s="740"/>
      <c r="H154" s="740"/>
      <c r="I154" s="740"/>
      <c r="J154" s="740"/>
      <c r="K154" s="740"/>
    </row>
    <row r="155" spans="1:11" ht="18" customHeight="1" x14ac:dyDescent="0.3">
      <c r="A155" s="691" t="s">
        <v>169</v>
      </c>
      <c r="B155" s="690" t="s">
        <v>72</v>
      </c>
      <c r="C155" s="740"/>
      <c r="D155" s="740"/>
      <c r="E155" s="740"/>
      <c r="F155" s="729">
        <v>0.57733591509028404</v>
      </c>
      <c r="G155" s="690"/>
      <c r="H155" s="740"/>
      <c r="I155" s="740"/>
      <c r="J155" s="740"/>
      <c r="K155" s="740"/>
    </row>
    <row r="156" spans="1:11" ht="18" customHeight="1" x14ac:dyDescent="0.3">
      <c r="B156" s="688"/>
      <c r="C156" s="688"/>
      <c r="D156" s="688"/>
      <c r="E156" s="688"/>
      <c r="F156" s="688"/>
      <c r="G156" s="690"/>
      <c r="H156" s="688"/>
      <c r="I156" s="688"/>
      <c r="J156" s="688"/>
      <c r="K156" s="688"/>
    </row>
  </sheetData>
  <sheetProtection sheet="1" objects="1" scenarios="1"/>
  <mergeCells count="34">
    <mergeCell ref="B134:D134"/>
    <mergeCell ref="B135:D135"/>
    <mergeCell ref="B90:C90"/>
    <mergeCell ref="B56:D56"/>
    <mergeCell ref="B133:D133"/>
    <mergeCell ref="B104:D104"/>
    <mergeCell ref="B105:D105"/>
    <mergeCell ref="B106:D106"/>
    <mergeCell ref="B62:D62"/>
    <mergeCell ref="B103:C103"/>
    <mergeCell ref="B96:D96"/>
    <mergeCell ref="B95:D95"/>
    <mergeCell ref="B94:D94"/>
    <mergeCell ref="B59:D59"/>
    <mergeCell ref="B57:D57"/>
    <mergeCell ref="B55:D55"/>
    <mergeCell ref="B52:C52"/>
    <mergeCell ref="B53:D53"/>
    <mergeCell ref="B30:D30"/>
    <mergeCell ref="B31:D31"/>
    <mergeCell ref="D2:H2"/>
    <mergeCell ref="B45:D45"/>
    <mergeCell ref="B46:D46"/>
    <mergeCell ref="B47:D47"/>
    <mergeCell ref="B34:D34"/>
    <mergeCell ref="C5:G5"/>
    <mergeCell ref="C6:G6"/>
    <mergeCell ref="C7:G7"/>
    <mergeCell ref="C9:G9"/>
    <mergeCell ref="C10:G10"/>
    <mergeCell ref="C11:G11"/>
    <mergeCell ref="B41:C41"/>
    <mergeCell ref="B44:D44"/>
    <mergeCell ref="B13:H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249977111117893"/>
    <pageSetUpPr fitToPage="1"/>
  </sheetPr>
  <dimension ref="A1:AV64"/>
  <sheetViews>
    <sheetView zoomScale="70" zoomScaleNormal="70" workbookViewId="0">
      <pane xSplit="2" ySplit="2" topLeftCell="C3" activePane="bottomRight" state="frozen"/>
      <selection pane="topRight" activeCell="C1" sqref="C1"/>
      <selection pane="bottomLeft" activeCell="A3" sqref="A3"/>
      <selection pane="bottomRight" activeCell="S44" sqref="S44"/>
    </sheetView>
  </sheetViews>
  <sheetFormatPr defaultColWidth="9.26953125" defaultRowHeight="14.5" x14ac:dyDescent="0.35"/>
  <cols>
    <col min="1" max="1" width="12.26953125" style="4" customWidth="1"/>
    <col min="2" max="2" width="41.453125" style="4" bestFit="1" customWidth="1"/>
    <col min="3" max="3" width="14" style="24" bestFit="1" customWidth="1"/>
    <col min="4" max="4" width="16.453125" style="4" customWidth="1"/>
    <col min="5" max="5" width="21" style="18" customWidth="1"/>
    <col min="6" max="6" width="20.7265625" style="18" customWidth="1"/>
    <col min="7" max="7" width="15.26953125" style="8" customWidth="1"/>
    <col min="8" max="8" width="23.54296875" style="26" customWidth="1"/>
    <col min="9" max="9" width="30.54296875" style="11" customWidth="1"/>
    <col min="10" max="10" width="18.26953125" style="18" bestFit="1" customWidth="1"/>
    <col min="11" max="11" width="18.26953125" style="4" bestFit="1" customWidth="1"/>
    <col min="12" max="16384" width="9.26953125" style="4"/>
  </cols>
  <sheetData>
    <row r="1" spans="1:11" ht="27.75" customHeight="1" x14ac:dyDescent="0.35">
      <c r="A1" s="1341" t="s">
        <v>899</v>
      </c>
      <c r="B1" s="1341"/>
      <c r="C1" s="1341"/>
    </row>
    <row r="2" spans="1:11" s="9" customFormat="1" ht="72.5" x14ac:dyDescent="0.35">
      <c r="A2" s="1318" t="s">
        <v>205</v>
      </c>
      <c r="B2" s="1318" t="s">
        <v>206</v>
      </c>
      <c r="C2" s="1302" t="s">
        <v>900</v>
      </c>
      <c r="D2" s="1302" t="s">
        <v>901</v>
      </c>
      <c r="E2" s="1303" t="s">
        <v>230</v>
      </c>
      <c r="F2" s="1303" t="s">
        <v>902</v>
      </c>
      <c r="G2" s="1304" t="s">
        <v>231</v>
      </c>
      <c r="H2" s="1302" t="s">
        <v>884</v>
      </c>
      <c r="I2" s="1305" t="s">
        <v>903</v>
      </c>
      <c r="J2" s="1304" t="s">
        <v>232</v>
      </c>
      <c r="K2" s="1303" t="s">
        <v>233</v>
      </c>
    </row>
    <row r="3" spans="1:11" x14ac:dyDescent="0.35">
      <c r="A3" s="759">
        <v>1</v>
      </c>
      <c r="B3" s="759" t="s">
        <v>197</v>
      </c>
      <c r="C3" s="13">
        <f>'#1-Meritus'!$C$7</f>
        <v>2579</v>
      </c>
      <c r="D3" s="13">
        <f>'#1-Meritus'!$F$108</f>
        <v>825</v>
      </c>
      <c r="E3" s="1331">
        <f>'#1-Meritus'!$F$121</f>
        <v>309163913</v>
      </c>
      <c r="F3" s="1335">
        <f>'#1-Meritus'!$K$152</f>
        <v>22183519.59</v>
      </c>
      <c r="G3" s="123">
        <f t="shared" ref="G3:G34" si="0">F3/E3</f>
        <v>7.1753263098335796E-2</v>
      </c>
      <c r="H3" s="1339">
        <f>'Rate Support-Attachment I'!F3</f>
        <v>5854998.2495827628</v>
      </c>
      <c r="I3" s="795">
        <f t="shared" ref="I3:I34" si="1">F3-H3</f>
        <v>16328521.340417236</v>
      </c>
      <c r="J3" s="796">
        <f t="shared" ref="J3:J34" si="2">I3/E3</f>
        <v>5.2815094691912624E-2</v>
      </c>
      <c r="K3" s="1331">
        <f>'#1-Meritus'!$F$111</f>
        <v>4596840.59</v>
      </c>
    </row>
    <row r="4" spans="1:11" x14ac:dyDescent="0.35">
      <c r="A4" s="759">
        <v>2</v>
      </c>
      <c r="B4" s="759" t="s">
        <v>236</v>
      </c>
      <c r="C4" s="13">
        <f>'#2-UMMC'!$C$7</f>
        <v>9010</v>
      </c>
      <c r="D4" s="13">
        <f>'#2-UMMC'!$F$108</f>
        <v>1480</v>
      </c>
      <c r="E4" s="1331">
        <f>'#2-UMMC'!$F$121</f>
        <v>1470095000</v>
      </c>
      <c r="F4" s="1335">
        <f>'#2-UMMC'!$K$152</f>
        <v>212701197.67056865</v>
      </c>
      <c r="G4" s="123">
        <f t="shared" si="0"/>
        <v>0.14468534187965312</v>
      </c>
      <c r="H4" s="1339">
        <f>'Rate Support-Attachment I'!F4</f>
        <v>135156904.57528391</v>
      </c>
      <c r="I4" s="795">
        <f t="shared" si="1"/>
        <v>77544293.09528473</v>
      </c>
      <c r="J4" s="796">
        <f t="shared" si="2"/>
        <v>5.2747810920576378E-2</v>
      </c>
      <c r="K4" s="1331">
        <f>'#2-UMMC'!$F$111</f>
        <v>20308000</v>
      </c>
    </row>
    <row r="5" spans="1:11" x14ac:dyDescent="0.35">
      <c r="A5" s="759">
        <v>3</v>
      </c>
      <c r="B5" s="1319" t="s">
        <v>904</v>
      </c>
      <c r="C5" s="13">
        <f>'#3-Prince Georges Hospital'!$C$7</f>
        <v>0</v>
      </c>
      <c r="D5" s="13">
        <f>'#3-Prince Georges Hospital'!$F$108</f>
        <v>2773</v>
      </c>
      <c r="E5" s="1331">
        <f>'#3-Prince Georges Hospital'!$F$121</f>
        <v>286955092</v>
      </c>
      <c r="F5" s="1335">
        <f>'#3-Prince Georges Hospital'!$K$152</f>
        <v>53997890.25863149</v>
      </c>
      <c r="G5" s="123">
        <f t="shared" si="0"/>
        <v>0.18817540362249954</v>
      </c>
      <c r="H5" s="1339">
        <f>'Rate Support-Attachment I'!F5</f>
        <v>16983058.472930618</v>
      </c>
      <c r="I5" s="795">
        <f t="shared" si="1"/>
        <v>37014831.785700873</v>
      </c>
      <c r="J5" s="796">
        <f t="shared" si="2"/>
        <v>0.12899172315680976</v>
      </c>
      <c r="K5" s="1331">
        <f>'#3-Prince Georges Hospital'!$F$111</f>
        <v>9166191</v>
      </c>
    </row>
    <row r="6" spans="1:11" x14ac:dyDescent="0.35">
      <c r="A6" s="759">
        <v>4</v>
      </c>
      <c r="B6" s="759" t="s">
        <v>238</v>
      </c>
      <c r="C6" s="13">
        <f>'#4-Holy Cross Hospital'!$C$7</f>
        <v>3551</v>
      </c>
      <c r="D6" s="13">
        <f>'#4-Holy Cross Hospital'!$F$108</f>
        <v>6155.2</v>
      </c>
      <c r="E6" s="1331">
        <f>'#4-Holy Cross Hospital'!$F$121</f>
        <v>413796889</v>
      </c>
      <c r="F6" s="1335">
        <f>'#4-Holy Cross Hospital'!$K$152</f>
        <v>51921784</v>
      </c>
      <c r="G6" s="123">
        <f t="shared" si="0"/>
        <v>0.12547649675539246</v>
      </c>
      <c r="H6" s="1339">
        <f>'Rate Support-Attachment I'!F6</f>
        <v>30407881.74241044</v>
      </c>
      <c r="I6" s="795">
        <f t="shared" si="1"/>
        <v>21513902.25758956</v>
      </c>
      <c r="J6" s="796">
        <f t="shared" si="2"/>
        <v>5.1991454816349668E-2</v>
      </c>
      <c r="K6" s="1331">
        <f>'#4-Holy Cross Hospital'!$F$111</f>
        <v>31396990</v>
      </c>
    </row>
    <row r="7" spans="1:11" x14ac:dyDescent="0.35">
      <c r="A7" s="759">
        <v>5</v>
      </c>
      <c r="B7" s="759" t="s">
        <v>198</v>
      </c>
      <c r="C7" s="13" t="str">
        <f>'#5-Frederick Memorial Hospital'!$C$7</f>
        <v>1831</v>
      </c>
      <c r="D7" s="13">
        <f>'#5-Frederick Memorial Hospital'!$F$108</f>
        <v>141</v>
      </c>
      <c r="E7" s="1331">
        <f>'#5-Frederick Memorial Hospital'!$F$121</f>
        <v>350118000</v>
      </c>
      <c r="F7" s="1335">
        <f>'#5-Frederick Memorial Hospital'!$K$152</f>
        <v>30651701.561999999</v>
      </c>
      <c r="G7" s="123">
        <f t="shared" si="0"/>
        <v>8.754677440748547E-2</v>
      </c>
      <c r="H7" s="1339">
        <f>'Rate Support-Attachment I'!F7</f>
        <v>7251488.584271552</v>
      </c>
      <c r="I7" s="795">
        <f t="shared" si="1"/>
        <v>23400212.977728449</v>
      </c>
      <c r="J7" s="796">
        <f t="shared" si="2"/>
        <v>6.683521834846666E-2</v>
      </c>
      <c r="K7" s="1331">
        <f>'#5-Frederick Memorial Hospital'!$F$111</f>
        <v>8081000</v>
      </c>
    </row>
    <row r="8" spans="1:11" x14ac:dyDescent="0.35">
      <c r="A8" s="759">
        <v>6</v>
      </c>
      <c r="B8" s="1320" t="s">
        <v>239</v>
      </c>
      <c r="C8" s="13">
        <f>'#6-UM Harford Memorial'!$C$7</f>
        <v>1000</v>
      </c>
      <c r="D8" s="13">
        <f>'#6-UM Harford Memorial'!$F$108</f>
        <v>921</v>
      </c>
      <c r="E8" s="1331">
        <f>'#6-UM Harford Memorial'!$F$121</f>
        <v>84926000</v>
      </c>
      <c r="F8" s="1335">
        <f>'#6-UM Harford Memorial'!$K$152</f>
        <v>7461405.8122310359</v>
      </c>
      <c r="G8" s="123">
        <f t="shared" si="0"/>
        <v>8.7857732758295878E-2</v>
      </c>
      <c r="H8" s="1339">
        <f>'Rate Support-Attachment I'!F8</f>
        <v>2200824.7420276222</v>
      </c>
      <c r="I8" s="795">
        <f t="shared" si="1"/>
        <v>5260581.0702034142</v>
      </c>
      <c r="J8" s="796">
        <f t="shared" si="2"/>
        <v>6.194311600927177E-2</v>
      </c>
      <c r="K8" s="1331">
        <f>'#6-UM Harford Memorial'!$F$111</f>
        <v>1927000</v>
      </c>
    </row>
    <row r="9" spans="1:11" x14ac:dyDescent="0.35">
      <c r="A9" s="759">
        <v>8</v>
      </c>
      <c r="B9" s="759" t="s">
        <v>240</v>
      </c>
      <c r="C9" s="13" t="str">
        <f>'#8-Mercy'!$C$7</f>
        <v>3,482</v>
      </c>
      <c r="D9" s="13">
        <f>'#8-Mercy'!$F$108</f>
        <v>2513</v>
      </c>
      <c r="E9" s="1331">
        <f>'#8-Mercy'!$F$121</f>
        <v>464031500</v>
      </c>
      <c r="F9" s="1335">
        <f>'#8-Mercy'!$K$152</f>
        <v>52967409.563000001</v>
      </c>
      <c r="G9" s="123">
        <f t="shared" si="0"/>
        <v>0.11414615077424702</v>
      </c>
      <c r="H9" s="1339">
        <f>'Rate Support-Attachment I'!F9</f>
        <v>24083679.66829472</v>
      </c>
      <c r="I9" s="795">
        <f t="shared" si="1"/>
        <v>28883729.894705281</v>
      </c>
      <c r="J9" s="796">
        <f t="shared" si="2"/>
        <v>6.2245192179206113E-2</v>
      </c>
      <c r="K9" s="1331">
        <f>'#8-Mercy'!$F$111</f>
        <v>14411600</v>
      </c>
    </row>
    <row r="10" spans="1:11" x14ac:dyDescent="0.35">
      <c r="A10" s="759">
        <v>9</v>
      </c>
      <c r="B10" s="759" t="s">
        <v>241</v>
      </c>
      <c r="C10" s="13">
        <f>'#9-Johns Hopkins'!$C$7</f>
        <v>0</v>
      </c>
      <c r="D10" s="13">
        <f>'#9-Johns Hopkins'!$F$108</f>
        <v>7799.9922500000002</v>
      </c>
      <c r="E10" s="1331">
        <f>'#9-Johns Hopkins'!$F$121</f>
        <v>2307202000</v>
      </c>
      <c r="F10" s="1335">
        <f>'#9-Johns Hopkins'!$K$152</f>
        <v>206666870.25321072</v>
      </c>
      <c r="G10" s="123">
        <f t="shared" si="0"/>
        <v>8.9574675409093238E-2</v>
      </c>
      <c r="H10" s="1339">
        <f>'Rate Support-Attachment I'!F10</f>
        <v>143031879.3427614</v>
      </c>
      <c r="I10" s="795">
        <f t="shared" si="1"/>
        <v>63634990.910449326</v>
      </c>
      <c r="J10" s="796">
        <f t="shared" si="2"/>
        <v>2.7581022775833814E-2</v>
      </c>
      <c r="K10" s="1331">
        <f>'#9-Johns Hopkins'!$F$111</f>
        <v>21697000</v>
      </c>
    </row>
    <row r="11" spans="1:11" x14ac:dyDescent="0.35">
      <c r="A11" s="759">
        <v>10</v>
      </c>
      <c r="B11" s="759" t="s">
        <v>242</v>
      </c>
      <c r="C11" s="13">
        <f>'#10-UM Shore Health Dorchester'!$C$7</f>
        <v>318.84770000000003</v>
      </c>
      <c r="D11" s="13">
        <f>'#10-UM Shore Health Dorchester'!$F$108</f>
        <v>475</v>
      </c>
      <c r="E11" s="1331">
        <f>'#10-UM Shore Health Dorchester'!$F$121</f>
        <v>42909000</v>
      </c>
      <c r="F11" s="1335">
        <f>'#10-UM Shore Health Dorchester'!$K$152</f>
        <v>5794584.7440871336</v>
      </c>
      <c r="G11" s="123">
        <f t="shared" si="0"/>
        <v>0.13504357463672267</v>
      </c>
      <c r="H11" s="1339">
        <f>'Rate Support-Attachment I'!F11</f>
        <v>839723.35090987047</v>
      </c>
      <c r="I11" s="795">
        <f t="shared" si="1"/>
        <v>4954861.3931772634</v>
      </c>
      <c r="J11" s="796">
        <f t="shared" si="2"/>
        <v>0.11547370931919326</v>
      </c>
      <c r="K11" s="1331">
        <f>'#10-UM Shore Health Dorchester'!$F$111</f>
        <v>647362</v>
      </c>
    </row>
    <row r="12" spans="1:11" x14ac:dyDescent="0.35">
      <c r="A12" s="759">
        <v>11</v>
      </c>
      <c r="B12" s="759" t="s">
        <v>199</v>
      </c>
      <c r="C12" s="13">
        <f>'#11-St. Agnes Hospital'!$C$7</f>
        <v>2678</v>
      </c>
      <c r="D12" s="13">
        <f>'#11-St. Agnes Hospital'!$F$108</f>
        <v>0</v>
      </c>
      <c r="E12" s="1331">
        <f>'#11-St. Agnes Hospital'!$F$121</f>
        <v>433986000</v>
      </c>
      <c r="F12" s="1335">
        <f>'#11-St. Agnes Hospital'!$K$152</f>
        <v>48844580.44735603</v>
      </c>
      <c r="G12" s="123">
        <f t="shared" si="0"/>
        <v>0.11254874684288441</v>
      </c>
      <c r="H12" s="1339">
        <f>'Rate Support-Attachment I'!F12</f>
        <v>35045777.537142746</v>
      </c>
      <c r="I12" s="795">
        <f t="shared" si="1"/>
        <v>13798802.910213284</v>
      </c>
      <c r="J12" s="796">
        <f t="shared" si="2"/>
        <v>3.1795502413011677E-2</v>
      </c>
      <c r="K12" s="1331">
        <f>'#11-St. Agnes Hospital'!$F$111</f>
        <v>21573282</v>
      </c>
    </row>
    <row r="13" spans="1:11" x14ac:dyDescent="0.35">
      <c r="A13" s="759">
        <v>12</v>
      </c>
      <c r="B13" s="759" t="s">
        <v>243</v>
      </c>
      <c r="C13" s="13">
        <f>'#12-Sinai'!$C$7</f>
        <v>4987</v>
      </c>
      <c r="D13" s="13">
        <f>'#12-Sinai'!$F$108</f>
        <v>6720</v>
      </c>
      <c r="E13" s="1331">
        <f>'#12-Sinai'!$F$121</f>
        <v>727868000</v>
      </c>
      <c r="F13" s="1335">
        <f>'#12-Sinai'!$K$152</f>
        <v>55851186.499199994</v>
      </c>
      <c r="G13" s="123">
        <f t="shared" si="0"/>
        <v>7.6732575823088789E-2</v>
      </c>
      <c r="H13" s="1339">
        <f>'Rate Support-Attachment I'!F13</f>
        <v>24419216.049317047</v>
      </c>
      <c r="I13" s="795">
        <f t="shared" si="1"/>
        <v>31431970.449882947</v>
      </c>
      <c r="J13" s="796">
        <f t="shared" si="2"/>
        <v>4.3183613580873109E-2</v>
      </c>
      <c r="K13" s="1331">
        <f>'#12-Sinai'!$F$111</f>
        <v>6526756</v>
      </c>
    </row>
    <row r="14" spans="1:11" x14ac:dyDescent="0.35">
      <c r="A14" s="759">
        <v>13</v>
      </c>
      <c r="B14" s="759" t="s">
        <v>200</v>
      </c>
      <c r="C14" s="13">
        <f>'#13-Bon Secours'!$C$7</f>
        <v>641</v>
      </c>
      <c r="D14" s="13">
        <f>'#13-Bon Secours'!$F$108</f>
        <v>17964</v>
      </c>
      <c r="E14" s="1331">
        <f>'#13-Bon Secours'!$F$121</f>
        <v>113068120</v>
      </c>
      <c r="F14" s="1335">
        <f>'#13-Bon Secours'!$K$152</f>
        <v>17553533.864799999</v>
      </c>
      <c r="G14" s="123">
        <f t="shared" si="0"/>
        <v>0.15524741956264948</v>
      </c>
      <c r="H14" s="1339">
        <f>'Rate Support-Attachment I'!F14</f>
        <v>1016895.4743652627</v>
      </c>
      <c r="I14" s="795">
        <f t="shared" si="1"/>
        <v>16536638.390434736</v>
      </c>
      <c r="J14" s="796">
        <f t="shared" si="2"/>
        <v>0.14625376622901962</v>
      </c>
      <c r="K14" s="1331">
        <f>'#13-Bon Secours'!$F$111</f>
        <v>675245</v>
      </c>
    </row>
    <row r="15" spans="1:11" x14ac:dyDescent="0.35">
      <c r="A15" s="759">
        <v>15</v>
      </c>
      <c r="B15" s="759" t="s">
        <v>244</v>
      </c>
      <c r="C15" s="13">
        <f>'#15-MedStar Franklin Square'!$C$7</f>
        <v>3225</v>
      </c>
      <c r="D15" s="13">
        <f>'#15-MedStar Franklin Square'!$F$108</f>
        <v>2576</v>
      </c>
      <c r="E15" s="1331">
        <f>'#15-MedStar Franklin Square'!$F$121</f>
        <v>508539888.41600001</v>
      </c>
      <c r="F15" s="1335">
        <f>'#15-MedStar Franklin Square'!$K$152</f>
        <v>35802002.049999997</v>
      </c>
      <c r="G15" s="123">
        <f t="shared" si="0"/>
        <v>7.0401561146985092E-2</v>
      </c>
      <c r="H15" s="1339">
        <f>'Rate Support-Attachment I'!F15</f>
        <v>18958126.268084083</v>
      </c>
      <c r="I15" s="795">
        <f t="shared" si="1"/>
        <v>16843875.781915914</v>
      </c>
      <c r="J15" s="796">
        <f t="shared" si="2"/>
        <v>3.3122034604564095E-2</v>
      </c>
      <c r="K15" s="1331">
        <f>'#15-MedStar Franklin Square'!$F$111</f>
        <v>5147814.05</v>
      </c>
    </row>
    <row r="16" spans="1:11" x14ac:dyDescent="0.35">
      <c r="A16" s="759">
        <v>16</v>
      </c>
      <c r="B16" s="1321" t="s">
        <v>524</v>
      </c>
      <c r="C16" s="13">
        <f>'#16-Washington Adventist'!$C$7</f>
        <v>1342</v>
      </c>
      <c r="D16" s="13">
        <f>'#16-Washington Adventist'!$F$108</f>
        <v>6946.8857113028289</v>
      </c>
      <c r="E16" s="1331">
        <f>'#16-Washington Adventist'!$F$121</f>
        <v>219120045</v>
      </c>
      <c r="F16" s="1335">
        <f>'#16-Washington Adventist'!$K$152</f>
        <v>35528903.568284094</v>
      </c>
      <c r="G16" s="123">
        <f t="shared" si="0"/>
        <v>0.16214355728287705</v>
      </c>
      <c r="H16" s="1339">
        <f>'Rate Support-Attachment I'!F16</f>
        <v>8944732.8670214321</v>
      </c>
      <c r="I16" s="795">
        <f t="shared" si="1"/>
        <v>26584170.70126266</v>
      </c>
      <c r="J16" s="796">
        <f t="shared" si="2"/>
        <v>0.1213224043526582</v>
      </c>
      <c r="K16" s="1331">
        <f>'#16-Washington Adventist'!$F$111</f>
        <v>7442496.9999999991</v>
      </c>
    </row>
    <row r="17" spans="1:11" x14ac:dyDescent="0.35">
      <c r="A17" s="759">
        <v>17</v>
      </c>
      <c r="B17" s="1320" t="s">
        <v>246</v>
      </c>
      <c r="C17" s="13">
        <f>'#17-Garrett County Memorial'!$C$7</f>
        <v>446</v>
      </c>
      <c r="D17" s="13">
        <f>'#17-Garrett County Memorial'!$F$108</f>
        <v>10</v>
      </c>
      <c r="E17" s="1331">
        <f>'#17-Garrett County Memorial'!$F$121</f>
        <v>46818203</v>
      </c>
      <c r="F17" s="1335">
        <f>'#17-Garrett County Memorial'!$K$152</f>
        <v>4231883.9505199995</v>
      </c>
      <c r="G17" s="123">
        <f t="shared" si="0"/>
        <v>9.0389713388187909E-2</v>
      </c>
      <c r="H17" s="1339">
        <f>'Rate Support-Attachment I'!F17</f>
        <v>1591166.2635383182</v>
      </c>
      <c r="I17" s="795">
        <f t="shared" si="1"/>
        <v>2640717.6869816813</v>
      </c>
      <c r="J17" s="796">
        <f t="shared" si="2"/>
        <v>5.6403653232519009E-2</v>
      </c>
      <c r="K17" s="1331">
        <f>'#17-Garrett County Memorial'!$F$111</f>
        <v>2792419</v>
      </c>
    </row>
    <row r="18" spans="1:11" x14ac:dyDescent="0.35">
      <c r="A18" s="759">
        <v>18</v>
      </c>
      <c r="B18" s="759" t="s">
        <v>247</v>
      </c>
      <c r="C18" s="13">
        <f>'#18-MedStar Montgomery General'!$C$7</f>
        <v>1190</v>
      </c>
      <c r="D18" s="13">
        <f>'#18-MedStar Montgomery General'!$F$108</f>
        <v>30</v>
      </c>
      <c r="E18" s="1331">
        <f>'#18-MedStar Montgomery General'!$F$121</f>
        <v>160725287</v>
      </c>
      <c r="F18" s="1335">
        <f>'#18-MedStar Montgomery General'!$K$152</f>
        <v>7886254</v>
      </c>
      <c r="G18" s="123">
        <f t="shared" si="0"/>
        <v>4.9066666155649794E-2</v>
      </c>
      <c r="H18" s="1339">
        <f>'Rate Support-Attachment I'!F18</f>
        <v>2167246.6859633247</v>
      </c>
      <c r="I18" s="795">
        <f t="shared" si="1"/>
        <v>5719007.3140366748</v>
      </c>
      <c r="J18" s="796">
        <f t="shared" si="2"/>
        <v>3.5582498689435686E-2</v>
      </c>
      <c r="K18" s="1331">
        <f>'#18-MedStar Montgomery General'!$F$111</f>
        <v>1322823</v>
      </c>
    </row>
    <row r="19" spans="1:11" x14ac:dyDescent="0.35">
      <c r="A19" s="759">
        <v>19</v>
      </c>
      <c r="B19" s="759" t="s">
        <v>248</v>
      </c>
      <c r="C19" s="13">
        <f>'#19-Peninsula Regional'!$C$7</f>
        <v>2891</v>
      </c>
      <c r="D19" s="13">
        <f>'#19-Peninsula Regional'!$F$108</f>
        <v>576</v>
      </c>
      <c r="E19" s="1331">
        <f>'#19-Peninsula Regional'!$F$121</f>
        <v>432141737</v>
      </c>
      <c r="F19" s="1335">
        <f>'#19-Peninsula Regional'!$K$152</f>
        <v>44875753.382290006</v>
      </c>
      <c r="G19" s="123">
        <f t="shared" si="0"/>
        <v>0.10384498774366246</v>
      </c>
      <c r="H19" s="1339">
        <f>'Rate Support-Attachment I'!F19</f>
        <v>7043072.2725204509</v>
      </c>
      <c r="I19" s="795">
        <f t="shared" si="1"/>
        <v>37832681.109769553</v>
      </c>
      <c r="J19" s="796">
        <f t="shared" si="2"/>
        <v>8.7546927016145984E-2</v>
      </c>
      <c r="K19" s="1331">
        <f>'#19-Peninsula Regional'!$F$111</f>
        <v>8301400</v>
      </c>
    </row>
    <row r="20" spans="1:11" s="128" customFormat="1" x14ac:dyDescent="0.35">
      <c r="A20" s="1322">
        <v>22</v>
      </c>
      <c r="B20" s="1322" t="s">
        <v>249</v>
      </c>
      <c r="C20" s="129">
        <f>'#22-Suburban'!$C$7</f>
        <v>1786</v>
      </c>
      <c r="D20" s="129">
        <f>'#22-Suburban'!$F$108</f>
        <v>1636</v>
      </c>
      <c r="E20" s="1332">
        <f>'#22-Suburban'!$F$121</f>
        <v>283346000</v>
      </c>
      <c r="F20" s="1336">
        <f>'#22-Suburban'!$K$151</f>
        <v>21607689.385646895</v>
      </c>
      <c r="G20" s="130">
        <f t="shared" si="0"/>
        <v>7.62590238988618E-2</v>
      </c>
      <c r="H20" s="1339">
        <f>'Rate Support-Attachment I'!F20</f>
        <v>4257364.9978447333</v>
      </c>
      <c r="I20" s="795">
        <f t="shared" si="1"/>
        <v>17350324.387802161</v>
      </c>
      <c r="J20" s="796">
        <f t="shared" si="2"/>
        <v>6.1233701509116632E-2</v>
      </c>
      <c r="K20" s="1332">
        <f>'#22-Suburban'!$F$111</f>
        <v>3168000</v>
      </c>
    </row>
    <row r="21" spans="1:11" s="128" customFormat="1" x14ac:dyDescent="0.35">
      <c r="A21" s="1322">
        <v>23</v>
      </c>
      <c r="B21" s="1322" t="s">
        <v>250</v>
      </c>
      <c r="C21" s="129">
        <f>'#23-AAMC'!$C$7</f>
        <v>4746</v>
      </c>
      <c r="D21" s="129">
        <f>'#23-AAMC'!$F$108</f>
        <v>4080</v>
      </c>
      <c r="E21" s="1332">
        <f>'#23-AAMC'!$F$121</f>
        <v>561392000</v>
      </c>
      <c r="F21" s="1336">
        <f>'#23-AAMC'!$K$152</f>
        <v>49726314.639699996</v>
      </c>
      <c r="G21" s="130">
        <f t="shared" si="0"/>
        <v>8.8576813776648042E-2</v>
      </c>
      <c r="H21" s="1339">
        <f>'Rate Support-Attachment I'!F21</f>
        <v>6898891.7152677672</v>
      </c>
      <c r="I21" s="795">
        <f t="shared" si="1"/>
        <v>42827422.924432226</v>
      </c>
      <c r="J21" s="796">
        <f t="shared" si="2"/>
        <v>7.6287910986320123E-2</v>
      </c>
      <c r="K21" s="1332">
        <f>'#23-AAMC'!$F$111</f>
        <v>4450854</v>
      </c>
    </row>
    <row r="22" spans="1:11" x14ac:dyDescent="0.35">
      <c r="A22" s="759">
        <v>24</v>
      </c>
      <c r="B22" s="759" t="s">
        <v>251</v>
      </c>
      <c r="C22" s="13">
        <f>'#24-MedStar Union Memorial'!$C$7</f>
        <v>2369</v>
      </c>
      <c r="D22" s="13">
        <f>'#24-MedStar Union Memorial'!$F$108</f>
        <v>40</v>
      </c>
      <c r="E22" s="1331">
        <f>'#24-MedStar Union Memorial'!$F$121</f>
        <v>443482531.935</v>
      </c>
      <c r="F22" s="1335">
        <f>'#24-MedStar Union Memorial'!$K$152</f>
        <v>29527732.821920916</v>
      </c>
      <c r="G22" s="123">
        <f t="shared" si="0"/>
        <v>6.6581501402289078E-2</v>
      </c>
      <c r="H22" s="1339">
        <f>'Rate Support-Attachment I'!F22</f>
        <v>16943365.295264084</v>
      </c>
      <c r="I22" s="795">
        <f t="shared" si="1"/>
        <v>12584367.526656833</v>
      </c>
      <c r="J22" s="796">
        <f t="shared" si="2"/>
        <v>2.8376241724220354E-2</v>
      </c>
      <c r="K22" s="1331">
        <f>'#24-MedStar Union Memorial'!$F$111</f>
        <v>4426975.97</v>
      </c>
    </row>
    <row r="23" spans="1:11" x14ac:dyDescent="0.35">
      <c r="A23" s="759">
        <v>27</v>
      </c>
      <c r="B23" s="759" t="s">
        <v>252</v>
      </c>
      <c r="C23" s="13">
        <f>'#27-Western Maryland Regional'!$C$7</f>
        <v>1923</v>
      </c>
      <c r="D23" s="13">
        <f>'#27-Western Maryland Regional'!$F$108</f>
        <v>215</v>
      </c>
      <c r="E23" s="1331">
        <f>'#27-Western Maryland Regional'!$F$121</f>
        <v>322835314</v>
      </c>
      <c r="F23" s="1335">
        <f>'#27-Western Maryland Regional'!$K$152</f>
        <v>41568344.118000001</v>
      </c>
      <c r="G23" s="123">
        <f t="shared" si="0"/>
        <v>0.12876021400186721</v>
      </c>
      <c r="H23" s="1339">
        <f>'Rate Support-Attachment I'!F23</f>
        <v>10780057.525142778</v>
      </c>
      <c r="I23" s="795">
        <f t="shared" si="1"/>
        <v>30788286.592857223</v>
      </c>
      <c r="J23" s="796">
        <f t="shared" si="2"/>
        <v>9.5368397624732038E-2</v>
      </c>
      <c r="K23" s="1331">
        <f>'#27-Western Maryland Regional'!$F$111</f>
        <v>10385555</v>
      </c>
    </row>
    <row r="24" spans="1:11" x14ac:dyDescent="0.35">
      <c r="A24" s="759">
        <v>28</v>
      </c>
      <c r="B24" s="759" t="s">
        <v>253</v>
      </c>
      <c r="C24" s="13">
        <f>'#28-MedStar St. Marys'!$C$7</f>
        <v>1200</v>
      </c>
      <c r="D24" s="13">
        <f>'#28-MedStar St. Marys'!$F$108</f>
        <v>4480</v>
      </c>
      <c r="E24" s="1331">
        <f>'#28-MedStar St. Marys'!$F$121</f>
        <v>168757516</v>
      </c>
      <c r="F24" s="1335">
        <f>'#28-MedStar St. Marys'!$K$152</f>
        <v>15653272</v>
      </c>
      <c r="G24" s="123">
        <f t="shared" si="0"/>
        <v>9.275599908687919E-2</v>
      </c>
      <c r="H24" s="1339">
        <f>'Rate Support-Attachment I'!F24</f>
        <v>3849305.3121023811</v>
      </c>
      <c r="I24" s="795">
        <f t="shared" si="1"/>
        <v>11803966.687897619</v>
      </c>
      <c r="J24" s="796">
        <f t="shared" si="2"/>
        <v>6.9946316867437297E-2</v>
      </c>
      <c r="K24" s="1331">
        <f>'#28-MedStar St. Marys'!$F$111</f>
        <v>2458649</v>
      </c>
    </row>
    <row r="25" spans="1:11" s="128" customFormat="1" x14ac:dyDescent="0.35">
      <c r="A25" s="1322">
        <v>29</v>
      </c>
      <c r="B25" s="1322" t="s">
        <v>254</v>
      </c>
      <c r="C25" s="129">
        <f>'#29-JH Bayview'!$C$7</f>
        <v>3449</v>
      </c>
      <c r="D25" s="129">
        <f>'#29-JH Bayview'!$F$108</f>
        <v>4779.5</v>
      </c>
      <c r="E25" s="1332">
        <f>'#29-JH Bayview'!$F$121</f>
        <v>613834000</v>
      </c>
      <c r="F25" s="1336">
        <f>'#29-JH Bayview'!$K$152</f>
        <v>72395922.451688975</v>
      </c>
      <c r="G25" s="130">
        <f t="shared" si="0"/>
        <v>0.11794055469669157</v>
      </c>
      <c r="H25" s="1339">
        <f>'Rate Support-Attachment I'!F25</f>
        <v>50159449.875192642</v>
      </c>
      <c r="I25" s="795">
        <f t="shared" si="1"/>
        <v>22236472.576496333</v>
      </c>
      <c r="J25" s="796">
        <f t="shared" si="2"/>
        <v>3.6225547259513699E-2</v>
      </c>
      <c r="K25" s="1332">
        <f>'#29-JH Bayview'!$F$111</f>
        <v>16951000</v>
      </c>
    </row>
    <row r="26" spans="1:11" x14ac:dyDescent="0.35">
      <c r="A26" s="759">
        <v>30</v>
      </c>
      <c r="B26" s="759" t="s">
        <v>255</v>
      </c>
      <c r="C26" s="13">
        <f>'#30-UM Shore Health Chestertown'!$C$7</f>
        <v>221.1</v>
      </c>
      <c r="D26" s="13">
        <f>'#30-UM Shore Health Chestertown'!$F$108</f>
        <v>1060</v>
      </c>
      <c r="E26" s="1331">
        <f>'#30-UM Shore Health Chestertown'!$F$121</f>
        <v>46048000</v>
      </c>
      <c r="F26" s="1335">
        <f>'#30-UM Shore Health Chestertown'!$K$152</f>
        <v>7921125.2092525084</v>
      </c>
      <c r="G26" s="123">
        <f t="shared" si="0"/>
        <v>0.1720188761564565</v>
      </c>
      <c r="H26" s="1339">
        <f>'Rate Support-Attachment I'!F26</f>
        <v>490550.21436703554</v>
      </c>
      <c r="I26" s="795">
        <f t="shared" si="1"/>
        <v>7430574.9948854726</v>
      </c>
      <c r="J26" s="796">
        <f t="shared" si="2"/>
        <v>0.16136585725515706</v>
      </c>
      <c r="K26" s="1331">
        <f>'#30-UM Shore Health Chestertown'!$F$111</f>
        <v>373000</v>
      </c>
    </row>
    <row r="27" spans="1:11" x14ac:dyDescent="0.35">
      <c r="A27" s="759">
        <v>32</v>
      </c>
      <c r="B27" s="759" t="s">
        <v>256</v>
      </c>
      <c r="C27" s="13">
        <f>'#32-Union Hospital Cecil Co'!$C$7</f>
        <v>1133</v>
      </c>
      <c r="D27" s="13">
        <f>'#32-Union Hospital Cecil Co'!$F$108</f>
        <v>2184</v>
      </c>
      <c r="E27" s="1331">
        <f>'#32-Union Hospital Cecil Co'!$F$121</f>
        <v>157260383</v>
      </c>
      <c r="F27" s="1335">
        <f>'#32-Union Hospital Cecil Co'!$K$152</f>
        <v>7878900.5396184493</v>
      </c>
      <c r="G27" s="123">
        <f t="shared" si="0"/>
        <v>5.0100987860486446E-2</v>
      </c>
      <c r="H27" s="1339">
        <f>'Rate Support-Attachment I'!F27</f>
        <v>1884230.6131240712</v>
      </c>
      <c r="I27" s="795">
        <f t="shared" si="1"/>
        <v>5994669.9264943786</v>
      </c>
      <c r="J27" s="796">
        <f t="shared" si="2"/>
        <v>3.8119390352078557E-2</v>
      </c>
      <c r="K27" s="1331">
        <f>'#32-Union Hospital Cecil Co'!$F$111</f>
        <v>1411673</v>
      </c>
    </row>
    <row r="28" spans="1:11" x14ac:dyDescent="0.35">
      <c r="A28" s="759">
        <v>33</v>
      </c>
      <c r="B28" s="759" t="s">
        <v>257</v>
      </c>
      <c r="C28" s="13">
        <f>'#33-Carroll Hospital Center'!$C$7</f>
        <v>1759</v>
      </c>
      <c r="D28" s="13">
        <f>'#33-Carroll Hospital Center'!$F$108</f>
        <v>2080</v>
      </c>
      <c r="E28" s="1331">
        <f>'#33-Carroll Hospital Center'!$F$121</f>
        <v>197802000</v>
      </c>
      <c r="F28" s="1335">
        <f>'#33-Carroll Hospital Center'!$K$152</f>
        <v>15634747.5</v>
      </c>
      <c r="G28" s="123">
        <f t="shared" si="0"/>
        <v>7.904241362574696E-2</v>
      </c>
      <c r="H28" s="1339">
        <f>'Rate Support-Attachment I'!F28</f>
        <v>1475623.2947425623</v>
      </c>
      <c r="I28" s="795">
        <f t="shared" si="1"/>
        <v>14159124.205257438</v>
      </c>
      <c r="J28" s="796">
        <f t="shared" si="2"/>
        <v>7.1582310620001005E-2</v>
      </c>
      <c r="K28" s="1331">
        <f>'#33-Carroll Hospital Center'!$F$111</f>
        <v>790716</v>
      </c>
    </row>
    <row r="29" spans="1:11" x14ac:dyDescent="0.35">
      <c r="A29" s="759">
        <v>34</v>
      </c>
      <c r="B29" s="759" t="s">
        <v>258</v>
      </c>
      <c r="C29" s="13">
        <f>'#34-MedStar Harbor Hospital'!$C$7</f>
        <v>1139</v>
      </c>
      <c r="D29" s="13">
        <f>'#34-MedStar Harbor Hospital'!$F$108</f>
        <v>1752</v>
      </c>
      <c r="E29" s="1331">
        <f>'#34-MedStar Harbor Hospital'!$F$121</f>
        <v>187002302</v>
      </c>
      <c r="F29" s="1335">
        <f>'#34-MedStar Harbor Hospital'!$K$152</f>
        <v>22633260</v>
      </c>
      <c r="G29" s="123">
        <f t="shared" si="0"/>
        <v>0.12103198601266417</v>
      </c>
      <c r="H29" s="1339">
        <f>'Rate Support-Attachment I'!F29</f>
        <v>8968979.4898628034</v>
      </c>
      <c r="I29" s="795">
        <f t="shared" si="1"/>
        <v>13664280.510137197</v>
      </c>
      <c r="J29" s="796">
        <f t="shared" si="2"/>
        <v>7.3070119265896502E-2</v>
      </c>
      <c r="K29" s="1331">
        <f>'#34-MedStar Harbor Hospital'!$F$111</f>
        <v>2816043</v>
      </c>
    </row>
    <row r="30" spans="1:11" x14ac:dyDescent="0.35">
      <c r="A30" s="759">
        <v>35</v>
      </c>
      <c r="B30" s="759" t="s">
        <v>259</v>
      </c>
      <c r="C30" s="13">
        <f>'#35-UM Charles Regional'!$C$7</f>
        <v>886</v>
      </c>
      <c r="D30" s="13">
        <f>'#35-UM Charles Regional'!$F$108</f>
        <v>1078</v>
      </c>
      <c r="E30" s="1331">
        <f>'#35-UM Charles Regional'!$F$121</f>
        <v>117918178</v>
      </c>
      <c r="F30" s="1335">
        <f>'#35-UM Charles Regional'!$K$152</f>
        <v>11319474</v>
      </c>
      <c r="G30" s="123">
        <f t="shared" si="0"/>
        <v>9.599430886728931E-2</v>
      </c>
      <c r="H30" s="1339">
        <f>'Rate Support-Attachment I'!F30</f>
        <v>1855045.6956248898</v>
      </c>
      <c r="I30" s="795">
        <f t="shared" si="1"/>
        <v>9464428.3043751102</v>
      </c>
      <c r="J30" s="796">
        <f t="shared" si="2"/>
        <v>8.0262674211054291E-2</v>
      </c>
      <c r="K30" s="1331">
        <f>'#35-UM Charles Regional'!$F$111</f>
        <v>1474409</v>
      </c>
    </row>
    <row r="31" spans="1:11" x14ac:dyDescent="0.35">
      <c r="A31" s="759">
        <v>37</v>
      </c>
      <c r="B31" s="759" t="s">
        <v>260</v>
      </c>
      <c r="C31" s="13">
        <f>'#37-UM Shore Health Easton'!$C$7</f>
        <v>1135.4522999999999</v>
      </c>
      <c r="D31" s="13">
        <f>'#37-UM Shore Health Easton'!$F$108</f>
        <v>1200</v>
      </c>
      <c r="E31" s="1331">
        <f>'#37-UM Shore Health Easton'!$F$121</f>
        <v>190646000</v>
      </c>
      <c r="F31" s="1335">
        <f>'#37-UM Shore Health Easton'!$K$151</f>
        <v>26586762.120707162</v>
      </c>
      <c r="G31" s="123">
        <f t="shared" si="0"/>
        <v>0.13945617595285062</v>
      </c>
      <c r="H31" s="1339">
        <f>'Rate Support-Attachment I'!F31</f>
        <v>3927780.1340692933</v>
      </c>
      <c r="I31" s="795">
        <f t="shared" si="1"/>
        <v>22658981.986637868</v>
      </c>
      <c r="J31" s="796">
        <f t="shared" si="2"/>
        <v>0.11885369735865357</v>
      </c>
      <c r="K31" s="1331">
        <f>'#37-UM Shore Health Easton'!$F$111</f>
        <v>2786102</v>
      </c>
    </row>
    <row r="32" spans="1:11" x14ac:dyDescent="0.35">
      <c r="A32" s="759">
        <v>38</v>
      </c>
      <c r="B32" s="759" t="s">
        <v>261</v>
      </c>
      <c r="C32" s="13">
        <f>'#38-UM Midtown'!$C$7</f>
        <v>1361</v>
      </c>
      <c r="D32" s="13">
        <f>'#38-UM Midtown'!$F$108</f>
        <v>832</v>
      </c>
      <c r="E32" s="1331">
        <f>'#38-UM Midtown'!$F$121</f>
        <v>204226000</v>
      </c>
      <c r="F32" s="1335">
        <f>'#38-UM Midtown'!$K$152</f>
        <v>30288565.949994903</v>
      </c>
      <c r="G32" s="123">
        <f t="shared" si="0"/>
        <v>0.14830905932640753</v>
      </c>
      <c r="H32" s="1339">
        <f>'Rate Support-Attachment I'!F32</f>
        <v>9836681.3085777014</v>
      </c>
      <c r="I32" s="795">
        <f t="shared" si="1"/>
        <v>20451884.641417202</v>
      </c>
      <c r="J32" s="796">
        <f t="shared" si="2"/>
        <v>0.10014339330651925</v>
      </c>
      <c r="K32" s="1331">
        <f>'#38-UM Midtown'!$F$111</f>
        <v>5174000</v>
      </c>
    </row>
    <row r="33" spans="1:11" x14ac:dyDescent="0.35">
      <c r="A33" s="759">
        <v>39</v>
      </c>
      <c r="B33" s="759" t="s">
        <v>262</v>
      </c>
      <c r="C33" s="13">
        <f>'#39-Calvert Memorial'!$C$7</f>
        <v>1314</v>
      </c>
      <c r="D33" s="13">
        <f>'#39-Calvert Memorial'!$F$108</f>
        <v>285</v>
      </c>
      <c r="E33" s="1331">
        <f>'#39-Calvert Memorial'!$F$121</f>
        <v>135047535</v>
      </c>
      <c r="F33" s="1335">
        <f>'#39-Calvert Memorial'!$K$152</f>
        <v>17126332.845585</v>
      </c>
      <c r="G33" s="123">
        <f t="shared" si="0"/>
        <v>0.12681707108230447</v>
      </c>
      <c r="H33" s="1339">
        <f>'Rate Support-Attachment I'!F33</f>
        <v>2320500.2293265797</v>
      </c>
      <c r="I33" s="795">
        <f t="shared" si="1"/>
        <v>14805832.61625842</v>
      </c>
      <c r="J33" s="796">
        <f t="shared" si="2"/>
        <v>0.1096342307636968</v>
      </c>
      <c r="K33" s="1331">
        <f>'#39-Calvert Memorial'!$F$111</f>
        <v>2694783</v>
      </c>
    </row>
    <row r="34" spans="1:11" x14ac:dyDescent="0.35">
      <c r="A34" s="759">
        <v>40</v>
      </c>
      <c r="B34" s="759" t="s">
        <v>263</v>
      </c>
      <c r="C34" s="13">
        <f>'#40-Lifebridge Northwest'!$C$7</f>
        <v>1787</v>
      </c>
      <c r="D34" s="13">
        <f>'#40-Lifebridge Northwest'!$F$108</f>
        <v>2117</v>
      </c>
      <c r="E34" s="1331">
        <f>'#40-Lifebridge Northwest'!$F$121</f>
        <v>240547439</v>
      </c>
      <c r="F34" s="1335">
        <f>'#40-Lifebridge Northwest'!$K$152</f>
        <v>14287633.093899999</v>
      </c>
      <c r="G34" s="123">
        <f t="shared" si="0"/>
        <v>5.9396321795386058E-2</v>
      </c>
      <c r="H34" s="1339">
        <f>'Rate Support-Attachment I'!F34</f>
        <v>3849118.8296501487</v>
      </c>
      <c r="I34" s="795">
        <f t="shared" si="1"/>
        <v>10438514.26424985</v>
      </c>
      <c r="J34" s="796">
        <f t="shared" si="2"/>
        <v>4.3394826017041283E-2</v>
      </c>
      <c r="K34" s="1331">
        <f>'#40-Lifebridge Northwest'!$F$111</f>
        <v>2734207</v>
      </c>
    </row>
    <row r="35" spans="1:11" x14ac:dyDescent="0.35">
      <c r="A35" s="759">
        <v>43</v>
      </c>
      <c r="B35" s="759" t="s">
        <v>264</v>
      </c>
      <c r="C35" s="13">
        <f>'#43-UM BWMC'!$C$7</f>
        <v>2200</v>
      </c>
      <c r="D35" s="13">
        <f>'#43-UM BWMC'!$F$108</f>
        <v>3978</v>
      </c>
      <c r="E35" s="1331">
        <f>'#43-UM BWMC'!$F$121</f>
        <v>334210000</v>
      </c>
      <c r="F35" s="1335">
        <f>'#43-UM BWMC'!$K$152</f>
        <v>26067933.397</v>
      </c>
      <c r="G35" s="123">
        <f t="shared" ref="G35:G55" si="3">F35/E35</f>
        <v>7.7998663705454649E-2</v>
      </c>
      <c r="H35" s="1339">
        <f>'Rate Support-Attachment I'!F35</f>
        <v>6920942.0313234059</v>
      </c>
      <c r="I35" s="795">
        <f t="shared" ref="I35:I54" si="4">F35-H35</f>
        <v>19146991.365676593</v>
      </c>
      <c r="J35" s="796">
        <f t="shared" ref="J35:J55" si="5">I35/E35</f>
        <v>5.7290300606434856E-2</v>
      </c>
      <c r="K35" s="1331">
        <f>'#43-UM BWMC'!$F$111</f>
        <v>6703000</v>
      </c>
    </row>
    <row r="36" spans="1:11" x14ac:dyDescent="0.35">
      <c r="A36" s="759">
        <v>44</v>
      </c>
      <c r="B36" s="759" t="s">
        <v>201</v>
      </c>
      <c r="C36" s="13">
        <f>'#44-GBMC'!$C$7</f>
        <v>2395</v>
      </c>
      <c r="D36" s="13">
        <f>'#44-GBMC'!$F$108</f>
        <v>4300</v>
      </c>
      <c r="E36" s="1331">
        <f>'#44-GBMC'!$F$121</f>
        <v>419396862</v>
      </c>
      <c r="F36" s="1335">
        <f>'#44-GBMC'!$K$152</f>
        <v>25758933.944936592</v>
      </c>
      <c r="G36" s="123">
        <f t="shared" si="3"/>
        <v>6.1418995416652862E-2</v>
      </c>
      <c r="H36" s="1339">
        <f>'Rate Support-Attachment I'!F36</f>
        <v>6231746.8708221391</v>
      </c>
      <c r="I36" s="795">
        <f t="shared" si="4"/>
        <v>19527187.074114453</v>
      </c>
      <c r="J36" s="796">
        <f t="shared" si="5"/>
        <v>4.6560164949718805E-2</v>
      </c>
      <c r="K36" s="1331">
        <f>'#44-GBMC'!$F$111</f>
        <v>2085315</v>
      </c>
    </row>
    <row r="37" spans="1:11" x14ac:dyDescent="0.35">
      <c r="A37" s="759">
        <v>45</v>
      </c>
      <c r="B37" s="759" t="s">
        <v>202</v>
      </c>
      <c r="C37" s="13">
        <f>'#45-McCready'!$C$7</f>
        <v>300</v>
      </c>
      <c r="D37" s="13">
        <f>'#45-McCready'!$F$108</f>
        <v>20</v>
      </c>
      <c r="E37" s="1331">
        <f>'#45-McCready'!$F$121</f>
        <v>16564839</v>
      </c>
      <c r="F37" s="1335">
        <f>'#45-McCready'!$K$152</f>
        <v>498110.29425000004</v>
      </c>
      <c r="G37" s="123">
        <f t="shared" si="3"/>
        <v>3.0070337191324348E-2</v>
      </c>
      <c r="H37" s="1339">
        <f>'Rate Support-Attachment I'!F37</f>
        <v>382253.66370960849</v>
      </c>
      <c r="I37" s="795">
        <f t="shared" si="4"/>
        <v>115856.63054039155</v>
      </c>
      <c r="J37" s="796">
        <f t="shared" si="5"/>
        <v>6.9941295861910609E-3</v>
      </c>
      <c r="K37" s="1331">
        <f>'#45-McCready'!$F$111</f>
        <v>307205</v>
      </c>
    </row>
    <row r="38" spans="1:11" x14ac:dyDescent="0.35">
      <c r="A38" s="759">
        <v>48</v>
      </c>
      <c r="B38" s="759" t="s">
        <v>265</v>
      </c>
      <c r="C38" s="13">
        <f>'#48-Howard County'!$C$7</f>
        <v>1828</v>
      </c>
      <c r="D38" s="13">
        <f>'#48-Howard County'!$F$108</f>
        <v>2647</v>
      </c>
      <c r="E38" s="1331">
        <f>'#48-Howard County'!$F$121</f>
        <v>260413000</v>
      </c>
      <c r="F38" s="1335">
        <f>'#48-Howard County'!$K$152</f>
        <v>22449499.904256877</v>
      </c>
      <c r="G38" s="123">
        <f t="shared" si="3"/>
        <v>8.6207293431037918E-2</v>
      </c>
      <c r="H38" s="1339">
        <f>'Rate Support-Attachment I'!F38</f>
        <v>5444832.6507885167</v>
      </c>
      <c r="I38" s="795">
        <f t="shared" si="4"/>
        <v>17004667.253468361</v>
      </c>
      <c r="J38" s="796">
        <f t="shared" si="5"/>
        <v>6.5298841661009091E-2</v>
      </c>
      <c r="K38" s="1331">
        <f>'#48-Howard County'!$F$111</f>
        <v>3368221.85</v>
      </c>
    </row>
    <row r="39" spans="1:11" x14ac:dyDescent="0.35">
      <c r="A39" s="759">
        <v>49</v>
      </c>
      <c r="B39" s="759" t="s">
        <v>266</v>
      </c>
      <c r="C39" s="13">
        <f>'#49-UM Upper Chesapeake Medical'!$C$7</f>
        <v>2185</v>
      </c>
      <c r="D39" s="13">
        <f>'#49-UM Upper Chesapeake Medical'!$F$108</f>
        <v>2148</v>
      </c>
      <c r="E39" s="1331">
        <f>'#49-UM Upper Chesapeake Medical'!$F$121</f>
        <v>284219000</v>
      </c>
      <c r="F39" s="1335">
        <f>'#49-UM Upper Chesapeake Medical'!$K$152</f>
        <v>12890022.898247747</v>
      </c>
      <c r="G39" s="123">
        <f t="shared" si="3"/>
        <v>4.5352432097248062E-2</v>
      </c>
      <c r="H39" s="1339">
        <f>'Rate Support-Attachment I'!F39</f>
        <v>4160141.0652191038</v>
      </c>
      <c r="I39" s="795">
        <f t="shared" si="4"/>
        <v>8729881.8330286425</v>
      </c>
      <c r="J39" s="796">
        <f t="shared" si="5"/>
        <v>3.0715335121961031E-2</v>
      </c>
      <c r="K39" s="1331">
        <f>'#49-UM Upper Chesapeake Medical'!$F$111</f>
        <v>3014000</v>
      </c>
    </row>
    <row r="40" spans="1:11" x14ac:dyDescent="0.35">
      <c r="A40" s="759">
        <v>51</v>
      </c>
      <c r="B40" s="1320" t="s">
        <v>267</v>
      </c>
      <c r="C40" s="13">
        <f>'#51-Doctors Community Hospital'!$C$7</f>
        <v>1629</v>
      </c>
      <c r="D40" s="13">
        <f>'#51-Doctors Community Hospital'!$F$108</f>
        <v>244</v>
      </c>
      <c r="E40" s="1331">
        <f>'#51-Doctors Community Hospital'!$F$121</f>
        <v>193854072</v>
      </c>
      <c r="F40" s="1335">
        <f>'#51-Doctors Community Hospital'!$K$152</f>
        <v>12020650.2454</v>
      </c>
      <c r="G40" s="123">
        <f t="shared" si="3"/>
        <v>6.2008758038366099E-2</v>
      </c>
      <c r="H40" s="1339">
        <f>'Rate Support-Attachment I'!F40</f>
        <v>9694656.9903888032</v>
      </c>
      <c r="I40" s="795">
        <f t="shared" si="4"/>
        <v>2325993.2550111972</v>
      </c>
      <c r="J40" s="796">
        <f t="shared" si="5"/>
        <v>1.1998681436060818E-2</v>
      </c>
      <c r="K40" s="1331">
        <f>'#51-Doctors Community Hospital'!$F$111</f>
        <v>6756740</v>
      </c>
    </row>
    <row r="41" spans="1:11" x14ac:dyDescent="0.35">
      <c r="A41" s="759">
        <v>55</v>
      </c>
      <c r="B41" s="1319" t="s">
        <v>905</v>
      </c>
      <c r="C41" s="13">
        <f>'#55-Laurel Regional'!$C$7</f>
        <v>0</v>
      </c>
      <c r="D41" s="13">
        <f>'#55-Laurel Regional'!$F$108</f>
        <v>1386</v>
      </c>
      <c r="E41" s="1331">
        <f>'#55-Laurel Regional'!$F$121</f>
        <v>93884647</v>
      </c>
      <c r="F41" s="1335">
        <f>'#55-Laurel Regional'!$K$152</f>
        <v>15061246.132891268</v>
      </c>
      <c r="G41" s="123">
        <f t="shared" si="3"/>
        <v>0.16042288717228992</v>
      </c>
      <c r="H41" s="1339">
        <f>'Rate Support-Attachment I'!F41</f>
        <v>2478375.0430248366</v>
      </c>
      <c r="I41" s="795">
        <f t="shared" si="4"/>
        <v>12582871.089866431</v>
      </c>
      <c r="J41" s="796">
        <f t="shared" si="5"/>
        <v>0.13402480056048388</v>
      </c>
      <c r="K41" s="1331">
        <f>'#55-Laurel Regional'!$F$111</f>
        <v>2521365</v>
      </c>
    </row>
    <row r="42" spans="1:11" x14ac:dyDescent="0.35">
      <c r="A42" s="759">
        <v>60</v>
      </c>
      <c r="B42" s="1323" t="s">
        <v>522</v>
      </c>
      <c r="C42" s="13">
        <f>'#60-Fort Washington'!$C$7</f>
        <v>424</v>
      </c>
      <c r="D42" s="13">
        <f>'#60-Fort Washington'!$F$108</f>
        <v>0</v>
      </c>
      <c r="E42" s="1331">
        <f>'#60-Fort Washington'!$F$121</f>
        <v>42883433</v>
      </c>
      <c r="F42" s="1335">
        <f>'#60-Fort Washington'!$K$152</f>
        <v>1907768.0825602363</v>
      </c>
      <c r="G42" s="123">
        <f t="shared" si="3"/>
        <v>4.4487298453000167E-2</v>
      </c>
      <c r="H42" s="1339">
        <f>'Rate Support-Attachment I'!F42</f>
        <v>816833.00408304844</v>
      </c>
      <c r="I42" s="795">
        <f t="shared" si="4"/>
        <v>1090935.078477188</v>
      </c>
      <c r="J42" s="796">
        <f t="shared" si="5"/>
        <v>2.5439546280662466E-2</v>
      </c>
      <c r="K42" s="1331">
        <f>'#60-Fort Washington'!$F$111</f>
        <v>928769</v>
      </c>
    </row>
    <row r="43" spans="1:11" x14ac:dyDescent="0.35">
      <c r="A43" s="759">
        <v>61</v>
      </c>
      <c r="B43" s="1324" t="s">
        <v>203</v>
      </c>
      <c r="C43" s="13">
        <f>'#61-Atlantic General'!$C$7</f>
        <v>930</v>
      </c>
      <c r="D43" s="13">
        <f>'#61-Atlantic General'!$F$108</f>
        <v>110</v>
      </c>
      <c r="E43" s="1331">
        <f>'#61-Atlantic General'!$F$121</f>
        <v>117342233</v>
      </c>
      <c r="F43" s="1335">
        <f>'#61-Atlantic General'!$K$152</f>
        <v>14427139.648730785</v>
      </c>
      <c r="G43" s="123">
        <f t="shared" si="3"/>
        <v>0.12294925092085801</v>
      </c>
      <c r="H43" s="1339">
        <f>'Rate Support-Attachment I'!F43</f>
        <v>2418729.6923045204</v>
      </c>
      <c r="I43" s="795">
        <f t="shared" si="4"/>
        <v>12008409.956426265</v>
      </c>
      <c r="J43" s="796">
        <f t="shared" si="5"/>
        <v>0.10233664086166031</v>
      </c>
      <c r="K43" s="1331">
        <f>'#61-Atlantic General'!$F$111</f>
        <v>2569517</v>
      </c>
    </row>
    <row r="44" spans="1:11" x14ac:dyDescent="0.35">
      <c r="A44" s="759">
        <v>62</v>
      </c>
      <c r="B44" s="1324" t="s">
        <v>270</v>
      </c>
      <c r="C44" s="13">
        <f>'#62-MedStar Southern Maryland'!$C$7</f>
        <v>1347</v>
      </c>
      <c r="D44" s="13">
        <f>'#62-MedStar Southern Maryland'!$F$108</f>
        <v>10909</v>
      </c>
      <c r="E44" s="1331">
        <f>'#62-MedStar Southern Maryland'!$F$121</f>
        <v>243629886</v>
      </c>
      <c r="F44" s="1335">
        <f>'#62-MedStar Southern Maryland'!$K$152</f>
        <v>15693910</v>
      </c>
      <c r="G44" s="123">
        <f t="shared" si="3"/>
        <v>6.44170149141719E-2</v>
      </c>
      <c r="H44" s="1339">
        <f>'Rate Support-Attachment I'!F44</f>
        <v>4284856.4521267507</v>
      </c>
      <c r="I44" s="795">
        <f t="shared" si="4"/>
        <v>11409053.547873249</v>
      </c>
      <c r="J44" s="796">
        <f t="shared" si="5"/>
        <v>4.6829449929936956E-2</v>
      </c>
      <c r="K44" s="1331">
        <f>'#62-MedStar Southern Maryland'!$F$111</f>
        <v>3014042</v>
      </c>
    </row>
    <row r="45" spans="1:11" s="128" customFormat="1" x14ac:dyDescent="0.35">
      <c r="A45" s="759">
        <v>63</v>
      </c>
      <c r="B45" s="1324" t="s">
        <v>271</v>
      </c>
      <c r="C45" s="129">
        <f>'#63-UM St Joseph'!$C$7</f>
        <v>2434</v>
      </c>
      <c r="D45" s="129">
        <f>'#63-UM St Joseph'!$F$108</f>
        <v>0</v>
      </c>
      <c r="E45" s="1332">
        <f>'#63-UM St Joseph'!$F$121</f>
        <v>341335000</v>
      </c>
      <c r="F45" s="1336">
        <f>'#63-UM St Joseph'!$K$152</f>
        <v>36904630.910741799</v>
      </c>
      <c r="G45" s="130">
        <f t="shared" si="3"/>
        <v>0.10811850794891177</v>
      </c>
      <c r="H45" s="1339">
        <f>'Rate Support-Attachment I'!F45</f>
        <v>6565576.6150373137</v>
      </c>
      <c r="I45" s="795">
        <f t="shared" si="4"/>
        <v>30339054.295704484</v>
      </c>
      <c r="J45" s="796">
        <f t="shared" si="5"/>
        <v>8.8883514130412886E-2</v>
      </c>
      <c r="K45" s="1332">
        <f>'#63-UM St Joseph'!$F$111</f>
        <v>6105000</v>
      </c>
    </row>
    <row r="46" spans="1:11" s="7" customFormat="1" x14ac:dyDescent="0.35">
      <c r="A46" s="759">
        <v>64</v>
      </c>
      <c r="B46" s="1324" t="s">
        <v>207</v>
      </c>
      <c r="C46" s="134">
        <f>'#64-Levindale'!$C$7</f>
        <v>897</v>
      </c>
      <c r="D46" s="134">
        <f>'#64-Levindale'!$F$108</f>
        <v>368</v>
      </c>
      <c r="E46" s="1333">
        <f>'#64-Levindale'!$F$121</f>
        <v>73760005</v>
      </c>
      <c r="F46" s="1337">
        <f>'#64-Levindale'!$K$152</f>
        <v>3539218.2134000002</v>
      </c>
      <c r="G46" s="135">
        <f t="shared" si="3"/>
        <v>4.7982890096062228E-2</v>
      </c>
      <c r="H46" s="1339">
        <f>'Rate Support-Attachment I'!F46</f>
        <v>59785.478999999999</v>
      </c>
      <c r="I46" s="795">
        <f t="shared" si="4"/>
        <v>3479432.7344000004</v>
      </c>
      <c r="J46" s="796">
        <f t="shared" si="5"/>
        <v>4.7172349492112971E-2</v>
      </c>
      <c r="K46" s="1333">
        <f>'#64-Levindale'!$F$111</f>
        <v>1341932</v>
      </c>
    </row>
    <row r="47" spans="1:11" s="7" customFormat="1" x14ac:dyDescent="0.35">
      <c r="A47" s="1320">
        <v>65</v>
      </c>
      <c r="B47" s="1325" t="s">
        <v>583</v>
      </c>
      <c r="C47" s="134">
        <f>'#65-Holy Cross Germantown'!$C$7</f>
        <v>711</v>
      </c>
      <c r="D47" s="134">
        <f>'#65-Holy Cross Germantown'!$F$108</f>
        <v>486</v>
      </c>
      <c r="E47" s="1333">
        <f>'#65-Holy Cross Germantown'!$F$121</f>
        <v>97124985</v>
      </c>
      <c r="F47" s="1337">
        <f>'#65-Holy Cross Germantown'!$K$152</f>
        <v>6769618</v>
      </c>
      <c r="G47" s="135">
        <f t="shared" si="3"/>
        <v>6.9700067392545806E-2</v>
      </c>
      <c r="H47" s="1339">
        <f>'Rate Support-Attachment I'!F47</f>
        <v>3092349.2001632857</v>
      </c>
      <c r="I47" s="795">
        <f t="shared" si="4"/>
        <v>3677268.7998367143</v>
      </c>
      <c r="J47" s="796">
        <f t="shared" si="5"/>
        <v>3.7861203271606317E-2</v>
      </c>
      <c r="K47" s="1333">
        <f>'#65-Holy Cross Germantown'!$F$111</f>
        <v>2819650</v>
      </c>
    </row>
    <row r="48" spans="1:11" x14ac:dyDescent="0.35">
      <c r="A48" s="759">
        <v>2001</v>
      </c>
      <c r="B48" s="759" t="s">
        <v>273</v>
      </c>
      <c r="C48" s="13">
        <f>'#2001-UM ROI'!$C$7</f>
        <v>698</v>
      </c>
      <c r="D48" s="13">
        <f>'#2001-UM ROI'!$F$108</f>
        <v>509</v>
      </c>
      <c r="E48" s="1331">
        <f>'#2001-UM ROI'!$F$121</f>
        <v>107006000</v>
      </c>
      <c r="F48" s="1335">
        <f>'#2001-UM ROI'!$K$152</f>
        <v>10317122.162570991</v>
      </c>
      <c r="G48" s="123">
        <f t="shared" si="3"/>
        <v>9.6416295932667234E-2</v>
      </c>
      <c r="H48" s="1339">
        <f>'Rate Support-Attachment I'!F48</f>
        <v>4021538.8492000005</v>
      </c>
      <c r="I48" s="795">
        <f t="shared" si="4"/>
        <v>6295583.3133709896</v>
      </c>
      <c r="J48" s="796">
        <f t="shared" si="5"/>
        <v>5.8833928128992671E-2</v>
      </c>
      <c r="K48" s="1331">
        <f>'#2001-UM ROI'!$F$111</f>
        <v>2271000</v>
      </c>
    </row>
    <row r="49" spans="1:48" x14ac:dyDescent="0.35">
      <c r="A49" s="759">
        <v>2004</v>
      </c>
      <c r="B49" s="1320" t="s">
        <v>274</v>
      </c>
      <c r="C49" s="13">
        <f>'#2004-MedStar Good Samaritan'!$C$7</f>
        <v>2018</v>
      </c>
      <c r="D49" s="13">
        <f>'#2004-MedStar Good Samaritan'!$F$108</f>
        <v>916</v>
      </c>
      <c r="E49" s="1331">
        <f>'#2004-MedStar Good Samaritan'!$F$121</f>
        <v>282735786</v>
      </c>
      <c r="F49" s="1335">
        <f>'#2004-MedStar Good Samaritan'!$K$152</f>
        <v>20079606</v>
      </c>
      <c r="G49" s="123">
        <f t="shared" si="3"/>
        <v>7.1018975999026873E-2</v>
      </c>
      <c r="H49" s="1339">
        <f>'Rate Support-Attachment I'!F49</f>
        <v>9671231.4717369881</v>
      </c>
      <c r="I49" s="795">
        <f t="shared" si="4"/>
        <v>10408374.528263012</v>
      </c>
      <c r="J49" s="796">
        <f t="shared" si="5"/>
        <v>3.6813077946429504E-2</v>
      </c>
      <c r="K49" s="1331">
        <f>'#2004-MedStar Good Samaritan'!$F$111</f>
        <v>4078427</v>
      </c>
    </row>
    <row r="50" spans="1:48" s="124" customFormat="1" x14ac:dyDescent="0.35">
      <c r="A50" s="1326">
        <v>3029</v>
      </c>
      <c r="B50" s="1327" t="s">
        <v>526</v>
      </c>
      <c r="C50" s="126">
        <f>'#3029-Adventist Rehab'!$C$7</f>
        <v>499</v>
      </c>
      <c r="D50" s="126">
        <f>'#3029-Adventist Rehab'!$F$108</f>
        <v>931.03137626561147</v>
      </c>
      <c r="E50" s="1334">
        <f>'#3029-Adventist Rehab'!$F$121</f>
        <v>43589181</v>
      </c>
      <c r="F50" s="1338">
        <f>'#3029-Adventist Rehab'!$K$152</f>
        <v>2613228.1754480158</v>
      </c>
      <c r="G50" s="123">
        <f t="shared" si="3"/>
        <v>5.9951302490588568E-2</v>
      </c>
      <c r="H50" s="1339">
        <f>'Rate Support-Attachment I'!F50</f>
        <v>68932.729000000007</v>
      </c>
      <c r="I50" s="795">
        <f t="shared" si="4"/>
        <v>2544295.446448016</v>
      </c>
      <c r="J50" s="796">
        <f t="shared" si="5"/>
        <v>5.8369884179471414E-2</v>
      </c>
      <c r="K50" s="1334">
        <f>'#3029-Adventist Rehab'!$F$111</f>
        <v>502712</v>
      </c>
    </row>
    <row r="51" spans="1:48" s="124" customFormat="1" x14ac:dyDescent="0.35">
      <c r="A51" s="1326">
        <v>4000</v>
      </c>
      <c r="B51" s="1328" t="s">
        <v>208</v>
      </c>
      <c r="C51" s="126">
        <f>'#4000-Sheppard Pratt'!$C$7</f>
        <v>2756</v>
      </c>
      <c r="D51" s="126">
        <f>'#4000-Sheppard Pratt'!$F$108</f>
        <v>378</v>
      </c>
      <c r="E51" s="1334">
        <f>'#4000-Sheppard Pratt'!$F$121</f>
        <v>221570405</v>
      </c>
      <c r="F51" s="1338">
        <f>'#4000-Sheppard Pratt'!$K$152</f>
        <v>19905390.390361998</v>
      </c>
      <c r="G51" s="123">
        <f t="shared" si="3"/>
        <v>8.9837766873071337E-2</v>
      </c>
      <c r="H51" s="1339">
        <f>'Rate Support-Attachment I'!F51</f>
        <v>2512630.48</v>
      </c>
      <c r="I51" s="795">
        <f t="shared" si="4"/>
        <v>17392759.910361998</v>
      </c>
      <c r="J51" s="796">
        <f t="shared" si="5"/>
        <v>7.8497667187826817E-2</v>
      </c>
      <c r="K51" s="1334">
        <f>'#4000-Sheppard Pratt'!$F$111</f>
        <v>5473873</v>
      </c>
      <c r="Q51" s="1248"/>
    </row>
    <row r="52" spans="1:48" s="125" customFormat="1" x14ac:dyDescent="0.35">
      <c r="A52" s="1326">
        <v>4013</v>
      </c>
      <c r="B52" s="1328" t="s">
        <v>527</v>
      </c>
      <c r="C52" s="126">
        <f>'#4013-ABH-Rockville'!$C$7</f>
        <v>397</v>
      </c>
      <c r="D52" s="126">
        <f>'#4013-ABH-Rockville'!$F$108</f>
        <v>850.22361310848191</v>
      </c>
      <c r="E52" s="1334">
        <f>'#4013-ABH-Rockville'!$F$121</f>
        <v>40204927</v>
      </c>
      <c r="F52" s="1338">
        <f>'#4013-ABH-Rockville'!$K$152</f>
        <v>6434206.8214494241</v>
      </c>
      <c r="G52" s="123">
        <f t="shared" si="3"/>
        <v>0.1600352817814947</v>
      </c>
      <c r="H52" s="1339">
        <f>'Rate Support-Attachment I'!F52</f>
        <v>0</v>
      </c>
      <c r="I52" s="795">
        <f t="shared" si="4"/>
        <v>6434206.8214494241</v>
      </c>
      <c r="J52" s="796">
        <f t="shared" si="5"/>
        <v>0.1600352817814947</v>
      </c>
      <c r="K52" s="1334">
        <f>'#4013-ABH-Rockville'!$F$111</f>
        <v>1451432</v>
      </c>
      <c r="Q52" s="1249"/>
    </row>
    <row r="53" spans="1:48" s="127" customFormat="1" x14ac:dyDescent="0.35">
      <c r="A53" s="1326">
        <v>5034</v>
      </c>
      <c r="B53" s="1329" t="s">
        <v>277</v>
      </c>
      <c r="C53" s="126">
        <f>'#5034-Mt Washington Pediatric'!$C$7</f>
        <v>784</v>
      </c>
      <c r="D53" s="126">
        <f>'#5034-Mt Washington Pediatric'!$F$108</f>
        <v>1596</v>
      </c>
      <c r="E53" s="1334">
        <f>'#5034-Mt Washington Pediatric'!$F$121</f>
        <v>55412291</v>
      </c>
      <c r="F53" s="1338">
        <f>'#5034-Mt Washington Pediatric'!$K$152</f>
        <v>1985899.2966346156</v>
      </c>
      <c r="G53" s="123">
        <f t="shared" si="3"/>
        <v>3.5838606576194726E-2</v>
      </c>
      <c r="H53" s="1339">
        <f>'Rate Support-Attachment I'!F53</f>
        <v>60264.802930000013</v>
      </c>
      <c r="I53" s="795">
        <f t="shared" si="4"/>
        <v>1925634.4937046156</v>
      </c>
      <c r="J53" s="796">
        <f t="shared" si="5"/>
        <v>3.4751035536585477E-2</v>
      </c>
      <c r="K53" s="1334">
        <f>'#5034-Mt Washington Pediatric'!$F$111</f>
        <v>382465</v>
      </c>
    </row>
    <row r="54" spans="1:48" s="6" customFormat="1" x14ac:dyDescent="0.35">
      <c r="A54" s="759">
        <v>5050</v>
      </c>
      <c r="B54" s="1330" t="s">
        <v>525</v>
      </c>
      <c r="C54" s="13">
        <f>'#5050-Shady Grove Adventist'!$C$7</f>
        <v>1994</v>
      </c>
      <c r="D54" s="13">
        <f>'#5050-Shady Grove Adventist'!$F$108</f>
        <v>10979.248299323077</v>
      </c>
      <c r="E54" s="1331">
        <f>'#5050-Shady Grove Adventist'!$F$121</f>
        <v>323661835</v>
      </c>
      <c r="F54" s="1335">
        <f>'#5050-Shady Grove Adventist'!$K$152</f>
        <v>28114540.13403587</v>
      </c>
      <c r="G54" s="123">
        <f t="shared" si="3"/>
        <v>8.6863933568305546E-2</v>
      </c>
      <c r="H54" s="1339">
        <f>'Rate Support-Attachment I'!F54</f>
        <v>5187455.5124583114</v>
      </c>
      <c r="I54" s="795">
        <f t="shared" si="4"/>
        <v>22927084.621577561</v>
      </c>
      <c r="J54" s="796">
        <f t="shared" si="5"/>
        <v>7.083654030935578E-2</v>
      </c>
      <c r="K54" s="1331">
        <f>'#5050-Shady Grove Adventist'!$F$111</f>
        <v>3646550.9999999991</v>
      </c>
    </row>
    <row r="55" spans="1:48" x14ac:dyDescent="0.35">
      <c r="A55" s="12"/>
      <c r="B55" s="142" t="s">
        <v>586</v>
      </c>
      <c r="C55" s="14">
        <f t="shared" ref="C55:F55" si="6">SUM(C3:C54)</f>
        <v>86493.4</v>
      </c>
      <c r="D55" s="15">
        <f t="shared" si="6"/>
        <v>128480.08125</v>
      </c>
      <c r="E55" s="16">
        <f t="shared" si="6"/>
        <v>15834408260.351</v>
      </c>
      <c r="F55" s="16">
        <f t="shared" si="6"/>
        <v>1562515212.54511</v>
      </c>
      <c r="G55" s="17">
        <f t="shared" si="3"/>
        <v>9.8678472024598021E-2</v>
      </c>
      <c r="H55" s="794">
        <f>SUM(H3:H54)</f>
        <v>666566749.27990162</v>
      </c>
      <c r="I55" s="797">
        <f>SUM(I3:I54)</f>
        <v>895948463.26520801</v>
      </c>
      <c r="J55" s="798">
        <f t="shared" si="5"/>
        <v>5.6582377347730937E-2</v>
      </c>
      <c r="K55" s="16">
        <f>SUM(K3:K54)</f>
        <v>287451403.46000004</v>
      </c>
    </row>
    <row r="56" spans="1:48" x14ac:dyDescent="0.35">
      <c r="A56" s="5"/>
      <c r="B56" s="5"/>
      <c r="C56" s="14"/>
      <c r="D56" s="15"/>
      <c r="E56" s="16"/>
      <c r="F56" s="16"/>
      <c r="G56" s="16"/>
      <c r="H56" s="797"/>
      <c r="I56" s="798"/>
      <c r="J56" s="794"/>
      <c r="K56" s="759"/>
    </row>
    <row r="57" spans="1:48" x14ac:dyDescent="0.35">
      <c r="C57" s="14">
        <f>AVERAGE(C3:C54)</f>
        <v>1729.8679999999999</v>
      </c>
      <c r="D57" s="14">
        <f>AVERAGE(D3:D54)</f>
        <v>2470.770793269231</v>
      </c>
      <c r="E57" s="758">
        <f>AVERAGE(E3:E54)</f>
        <v>304507851.16059613</v>
      </c>
      <c r="F57" s="758">
        <f>AVERAGE(F3:F54)</f>
        <v>30048369.472021345</v>
      </c>
      <c r="G57" s="143">
        <f>AVERAGE(G3:G54)</f>
        <v>9.6322548246727133E-2</v>
      </c>
      <c r="H57" s="797"/>
      <c r="I57" s="798">
        <f>AVERAGE(J3:J54)</f>
        <v>6.8062340969532578E-2</v>
      </c>
      <c r="J57" s="794"/>
      <c r="K57" s="758">
        <f>AVERAGE(K3:K54)</f>
        <v>5527911.6050000004</v>
      </c>
    </row>
    <row r="58" spans="1:48" ht="96.75" customHeight="1" x14ac:dyDescent="0.35">
      <c r="A58" s="24"/>
      <c r="B58" s="1343" t="s">
        <v>908</v>
      </c>
      <c r="C58" s="1344"/>
      <c r="D58" s="1344"/>
      <c r="E58" s="1344"/>
      <c r="F58" s="137"/>
      <c r="G58" s="140"/>
      <c r="H58" s="141"/>
      <c r="I58" s="824"/>
      <c r="J58" s="139"/>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row>
    <row r="59" spans="1:48" x14ac:dyDescent="0.35">
      <c r="A59" s="5"/>
      <c r="B59" s="5"/>
      <c r="C59" s="94"/>
      <c r="D59" s="826"/>
      <c r="E59" s="95"/>
      <c r="F59" s="95"/>
      <c r="G59" s="96"/>
      <c r="H59" s="1275"/>
      <c r="I59" s="97"/>
      <c r="J59" s="95"/>
    </row>
    <row r="60" spans="1:48" x14ac:dyDescent="0.35">
      <c r="C60" s="1342"/>
      <c r="D60" s="1342"/>
      <c r="E60" s="1342"/>
      <c r="F60" s="1342"/>
      <c r="G60" s="1342"/>
      <c r="H60" s="1342"/>
      <c r="I60" s="1342"/>
    </row>
    <row r="61" spans="1:48" x14ac:dyDescent="0.35">
      <c r="C61" s="19"/>
      <c r="D61" s="20">
        <f>COUNTIF(D3:D54,0)</f>
        <v>3</v>
      </c>
      <c r="E61" s="21"/>
      <c r="F61" s="21"/>
      <c r="G61" s="10"/>
      <c r="H61" s="23"/>
      <c r="I61" s="22"/>
    </row>
    <row r="64" spans="1:48" x14ac:dyDescent="0.35">
      <c r="D64" s="25"/>
    </row>
  </sheetData>
  <sheetProtection sheet="1" objects="1" scenarios="1"/>
  <sortState ref="A3:K54">
    <sortCondition ref="A3:A54"/>
  </sortState>
  <dataConsolidate/>
  <mergeCells count="3">
    <mergeCell ref="A1:C1"/>
    <mergeCell ref="C60:I60"/>
    <mergeCell ref="B58:E58"/>
  </mergeCells>
  <pageMargins left="0.51" right="0.11" top="0.48" bottom="0.28000000000000003" header="0.3" footer="0.3"/>
  <pageSetup paperSize="5" scale="61" orientation="landscape" r:id="rId1"/>
  <headerFooter>
    <oddHeader xml:space="preserve">&amp;L&amp;12ATTACHMENT II
&amp;C&amp;12FY2015 Analysis - Acute Hospitals&amp;10
&amp;R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pageSetUpPr fitToPage="1"/>
  </sheetPr>
  <dimension ref="A1:O127"/>
  <sheetViews>
    <sheetView zoomScaleNormal="100" zoomScaleSheetLayoutView="85" workbookViewId="0">
      <selection activeCell="G11" sqref="G11"/>
    </sheetView>
  </sheetViews>
  <sheetFormatPr defaultRowHeight="12.5" x14ac:dyDescent="0.25"/>
  <cols>
    <col min="1" max="1" width="6.26953125" style="36" customWidth="1"/>
    <col min="2" max="2" width="4.453125" style="36" customWidth="1"/>
    <col min="3" max="3" width="56" style="36" customWidth="1"/>
    <col min="4" max="4" width="0.7265625" style="36" hidden="1" customWidth="1"/>
    <col min="5" max="5" width="5.26953125" style="36" hidden="1" customWidth="1"/>
    <col min="6" max="6" width="11.453125" style="36" customWidth="1"/>
    <col min="7" max="7" width="28.26953125" style="36" customWidth="1"/>
    <col min="8" max="8" width="19.26953125" style="36" bestFit="1" customWidth="1"/>
    <col min="9" max="9" width="17.7265625" style="36" bestFit="1" customWidth="1"/>
    <col min="10" max="10" width="16.7265625" style="36" bestFit="1" customWidth="1"/>
    <col min="11" max="11" width="17" style="36" bestFit="1" customWidth="1"/>
    <col min="12" max="12" width="20.7265625" style="36" bestFit="1" customWidth="1"/>
    <col min="13" max="13" width="23.1796875" style="36" bestFit="1" customWidth="1"/>
    <col min="14" max="14" width="14.7265625" style="36" bestFit="1" customWidth="1"/>
    <col min="15" max="15" width="16" style="36" bestFit="1" customWidth="1"/>
    <col min="16" max="16" width="14.7265625" style="36" bestFit="1" customWidth="1"/>
    <col min="17" max="17" width="16" style="36" bestFit="1" customWidth="1"/>
    <col min="18" max="18" width="12.7265625" style="36" bestFit="1" customWidth="1"/>
    <col min="19" max="19" width="14.7265625" style="36" bestFit="1" customWidth="1"/>
    <col min="20" max="257" width="9.26953125" style="36"/>
    <col min="258" max="258" width="6.26953125" style="36" customWidth="1"/>
    <col min="259" max="259" width="4.453125" style="36" customWidth="1"/>
    <col min="260" max="260" width="38.453125" style="36" customWidth="1"/>
    <col min="261" max="262" width="0" style="36" hidden="1" customWidth="1"/>
    <col min="263" max="263" width="28.26953125" style="36" customWidth="1"/>
    <col min="264" max="264" width="19.26953125" style="36" bestFit="1" customWidth="1"/>
    <col min="265" max="265" width="18" style="36" bestFit="1" customWidth="1"/>
    <col min="266" max="266" width="16.26953125" style="36" bestFit="1" customWidth="1"/>
    <col min="267" max="267" width="16.54296875" style="36" bestFit="1" customWidth="1"/>
    <col min="268" max="268" width="16.453125" style="36" bestFit="1" customWidth="1"/>
    <col min="269" max="269" width="15.54296875" style="36" bestFit="1" customWidth="1"/>
    <col min="270" max="270" width="14.7265625" style="36" bestFit="1" customWidth="1"/>
    <col min="271" max="271" width="16" style="36" bestFit="1" customWidth="1"/>
    <col min="272" max="272" width="14.7265625" style="36" bestFit="1" customWidth="1"/>
    <col min="273" max="273" width="16" style="36" bestFit="1" customWidth="1"/>
    <col min="274" max="274" width="12.7265625" style="36" bestFit="1" customWidth="1"/>
    <col min="275" max="275" width="14.7265625" style="36" bestFit="1" customWidth="1"/>
    <col min="276" max="513" width="9.26953125" style="36"/>
    <col min="514" max="514" width="6.26953125" style="36" customWidth="1"/>
    <col min="515" max="515" width="4.453125" style="36" customWidth="1"/>
    <col min="516" max="516" width="38.453125" style="36" customWidth="1"/>
    <col min="517" max="518" width="0" style="36" hidden="1" customWidth="1"/>
    <col min="519" max="519" width="28.26953125" style="36" customWidth="1"/>
    <col min="520" max="520" width="19.26953125" style="36" bestFit="1" customWidth="1"/>
    <col min="521" max="521" width="18" style="36" bestFit="1" customWidth="1"/>
    <col min="522" max="522" width="16.26953125" style="36" bestFit="1" customWidth="1"/>
    <col min="523" max="523" width="16.54296875" style="36" bestFit="1" customWidth="1"/>
    <col min="524" max="524" width="16.453125" style="36" bestFit="1" customWidth="1"/>
    <col min="525" max="525" width="15.54296875" style="36" bestFit="1" customWidth="1"/>
    <col min="526" max="526" width="14.7265625" style="36" bestFit="1" customWidth="1"/>
    <col min="527" max="527" width="16" style="36" bestFit="1" customWidth="1"/>
    <col min="528" max="528" width="14.7265625" style="36" bestFit="1" customWidth="1"/>
    <col min="529" max="529" width="16" style="36" bestFit="1" customWidth="1"/>
    <col min="530" max="530" width="12.7265625" style="36" bestFit="1" customWidth="1"/>
    <col min="531" max="531" width="14.7265625" style="36" bestFit="1" customWidth="1"/>
    <col min="532" max="769" width="9.26953125" style="36"/>
    <col min="770" max="770" width="6.26953125" style="36" customWidth="1"/>
    <col min="771" max="771" width="4.453125" style="36" customWidth="1"/>
    <col min="772" max="772" width="38.453125" style="36" customWidth="1"/>
    <col min="773" max="774" width="0" style="36" hidden="1" customWidth="1"/>
    <col min="775" max="775" width="28.26953125" style="36" customWidth="1"/>
    <col min="776" max="776" width="19.26953125" style="36" bestFit="1" customWidth="1"/>
    <col min="777" max="777" width="18" style="36" bestFit="1" customWidth="1"/>
    <col min="778" max="778" width="16.26953125" style="36" bestFit="1" customWidth="1"/>
    <col min="779" max="779" width="16.54296875" style="36" bestFit="1" customWidth="1"/>
    <col min="780" max="780" width="16.453125" style="36" bestFit="1" customWidth="1"/>
    <col min="781" max="781" width="15.54296875" style="36" bestFit="1" customWidth="1"/>
    <col min="782" max="782" width="14.7265625" style="36" bestFit="1" customWidth="1"/>
    <col min="783" max="783" width="16" style="36" bestFit="1" customWidth="1"/>
    <col min="784" max="784" width="14.7265625" style="36" bestFit="1" customWidth="1"/>
    <col min="785" max="785" width="16" style="36" bestFit="1" customWidth="1"/>
    <col min="786" max="786" width="12.7265625" style="36" bestFit="1" customWidth="1"/>
    <col min="787" max="787" width="14.7265625" style="36" bestFit="1" customWidth="1"/>
    <col min="788" max="1025" width="9.26953125" style="36"/>
    <col min="1026" max="1026" width="6.26953125" style="36" customWidth="1"/>
    <col min="1027" max="1027" width="4.453125" style="36" customWidth="1"/>
    <col min="1028" max="1028" width="38.453125" style="36" customWidth="1"/>
    <col min="1029" max="1030" width="0" style="36" hidden="1" customWidth="1"/>
    <col min="1031" max="1031" width="28.26953125" style="36" customWidth="1"/>
    <col min="1032" max="1032" width="19.26953125" style="36" bestFit="1" customWidth="1"/>
    <col min="1033" max="1033" width="18" style="36" bestFit="1" customWidth="1"/>
    <col min="1034" max="1034" width="16.26953125" style="36" bestFit="1" customWidth="1"/>
    <col min="1035" max="1035" width="16.54296875" style="36" bestFit="1" customWidth="1"/>
    <col min="1036" max="1036" width="16.453125" style="36" bestFit="1" customWidth="1"/>
    <col min="1037" max="1037" width="15.54296875" style="36" bestFit="1" customWidth="1"/>
    <col min="1038" max="1038" width="14.7265625" style="36" bestFit="1" customWidth="1"/>
    <col min="1039" max="1039" width="16" style="36" bestFit="1" customWidth="1"/>
    <col min="1040" max="1040" width="14.7265625" style="36" bestFit="1" customWidth="1"/>
    <col min="1041" max="1041" width="16" style="36" bestFit="1" customWidth="1"/>
    <col min="1042" max="1042" width="12.7265625" style="36" bestFit="1" customWidth="1"/>
    <col min="1043" max="1043" width="14.7265625" style="36" bestFit="1" customWidth="1"/>
    <col min="1044" max="1281" width="9.26953125" style="36"/>
    <col min="1282" max="1282" width="6.26953125" style="36" customWidth="1"/>
    <col min="1283" max="1283" width="4.453125" style="36" customWidth="1"/>
    <col min="1284" max="1284" width="38.453125" style="36" customWidth="1"/>
    <col min="1285" max="1286" width="0" style="36" hidden="1" customWidth="1"/>
    <col min="1287" max="1287" width="28.26953125" style="36" customWidth="1"/>
    <col min="1288" max="1288" width="19.26953125" style="36" bestFit="1" customWidth="1"/>
    <col min="1289" max="1289" width="18" style="36" bestFit="1" customWidth="1"/>
    <col min="1290" max="1290" width="16.26953125" style="36" bestFit="1" customWidth="1"/>
    <col min="1291" max="1291" width="16.54296875" style="36" bestFit="1" customWidth="1"/>
    <col min="1292" max="1292" width="16.453125" style="36" bestFit="1" customWidth="1"/>
    <col min="1293" max="1293" width="15.54296875" style="36" bestFit="1" customWidth="1"/>
    <col min="1294" max="1294" width="14.7265625" style="36" bestFit="1" customWidth="1"/>
    <col min="1295" max="1295" width="16" style="36" bestFit="1" customWidth="1"/>
    <col min="1296" max="1296" width="14.7265625" style="36" bestFit="1" customWidth="1"/>
    <col min="1297" max="1297" width="16" style="36" bestFit="1" customWidth="1"/>
    <col min="1298" max="1298" width="12.7265625" style="36" bestFit="1" customWidth="1"/>
    <col min="1299" max="1299" width="14.7265625" style="36" bestFit="1" customWidth="1"/>
    <col min="1300" max="1537" width="9.26953125" style="36"/>
    <col min="1538" max="1538" width="6.26953125" style="36" customWidth="1"/>
    <col min="1539" max="1539" width="4.453125" style="36" customWidth="1"/>
    <col min="1540" max="1540" width="38.453125" style="36" customWidth="1"/>
    <col min="1541" max="1542" width="0" style="36" hidden="1" customWidth="1"/>
    <col min="1543" max="1543" width="28.26953125" style="36" customWidth="1"/>
    <col min="1544" max="1544" width="19.26953125" style="36" bestFit="1" customWidth="1"/>
    <col min="1545" max="1545" width="18" style="36" bestFit="1" customWidth="1"/>
    <col min="1546" max="1546" width="16.26953125" style="36" bestFit="1" customWidth="1"/>
    <col min="1547" max="1547" width="16.54296875" style="36" bestFit="1" customWidth="1"/>
    <col min="1548" max="1548" width="16.453125" style="36" bestFit="1" customWidth="1"/>
    <col min="1549" max="1549" width="15.54296875" style="36" bestFit="1" customWidth="1"/>
    <col min="1550" max="1550" width="14.7265625" style="36" bestFit="1" customWidth="1"/>
    <col min="1551" max="1551" width="16" style="36" bestFit="1" customWidth="1"/>
    <col min="1552" max="1552" width="14.7265625" style="36" bestFit="1" customWidth="1"/>
    <col min="1553" max="1553" width="16" style="36" bestFit="1" customWidth="1"/>
    <col min="1554" max="1554" width="12.7265625" style="36" bestFit="1" customWidth="1"/>
    <col min="1555" max="1555" width="14.7265625" style="36" bestFit="1" customWidth="1"/>
    <col min="1556" max="1793" width="9.26953125" style="36"/>
    <col min="1794" max="1794" width="6.26953125" style="36" customWidth="1"/>
    <col min="1795" max="1795" width="4.453125" style="36" customWidth="1"/>
    <col min="1796" max="1796" width="38.453125" style="36" customWidth="1"/>
    <col min="1797" max="1798" width="0" style="36" hidden="1" customWidth="1"/>
    <col min="1799" max="1799" width="28.26953125" style="36" customWidth="1"/>
    <col min="1800" max="1800" width="19.26953125" style="36" bestFit="1" customWidth="1"/>
    <col min="1801" max="1801" width="18" style="36" bestFit="1" customWidth="1"/>
    <col min="1802" max="1802" width="16.26953125" style="36" bestFit="1" customWidth="1"/>
    <col min="1803" max="1803" width="16.54296875" style="36" bestFit="1" customWidth="1"/>
    <col min="1804" max="1804" width="16.453125" style="36" bestFit="1" customWidth="1"/>
    <col min="1805" max="1805" width="15.54296875" style="36" bestFit="1" customWidth="1"/>
    <col min="1806" max="1806" width="14.7265625" style="36" bestFit="1" customWidth="1"/>
    <col min="1807" max="1807" width="16" style="36" bestFit="1" customWidth="1"/>
    <col min="1808" max="1808" width="14.7265625" style="36" bestFit="1" customWidth="1"/>
    <col min="1809" max="1809" width="16" style="36" bestFit="1" customWidth="1"/>
    <col min="1810" max="1810" width="12.7265625" style="36" bestFit="1" customWidth="1"/>
    <col min="1811" max="1811" width="14.7265625" style="36" bestFit="1" customWidth="1"/>
    <col min="1812" max="2049" width="9.26953125" style="36"/>
    <col min="2050" max="2050" width="6.26953125" style="36" customWidth="1"/>
    <col min="2051" max="2051" width="4.453125" style="36" customWidth="1"/>
    <col min="2052" max="2052" width="38.453125" style="36" customWidth="1"/>
    <col min="2053" max="2054" width="0" style="36" hidden="1" customWidth="1"/>
    <col min="2055" max="2055" width="28.26953125" style="36" customWidth="1"/>
    <col min="2056" max="2056" width="19.26953125" style="36" bestFit="1" customWidth="1"/>
    <col min="2057" max="2057" width="18" style="36" bestFit="1" customWidth="1"/>
    <col min="2058" max="2058" width="16.26953125" style="36" bestFit="1" customWidth="1"/>
    <col min="2059" max="2059" width="16.54296875" style="36" bestFit="1" customWidth="1"/>
    <col min="2060" max="2060" width="16.453125" style="36" bestFit="1" customWidth="1"/>
    <col min="2061" max="2061" width="15.54296875" style="36" bestFit="1" customWidth="1"/>
    <col min="2062" max="2062" width="14.7265625" style="36" bestFit="1" customWidth="1"/>
    <col min="2063" max="2063" width="16" style="36" bestFit="1" customWidth="1"/>
    <col min="2064" max="2064" width="14.7265625" style="36" bestFit="1" customWidth="1"/>
    <col min="2065" max="2065" width="16" style="36" bestFit="1" customWidth="1"/>
    <col min="2066" max="2066" width="12.7265625" style="36" bestFit="1" customWidth="1"/>
    <col min="2067" max="2067" width="14.7265625" style="36" bestFit="1" customWidth="1"/>
    <col min="2068" max="2305" width="9.26953125" style="36"/>
    <col min="2306" max="2306" width="6.26953125" style="36" customWidth="1"/>
    <col min="2307" max="2307" width="4.453125" style="36" customWidth="1"/>
    <col min="2308" max="2308" width="38.453125" style="36" customWidth="1"/>
    <col min="2309" max="2310" width="0" style="36" hidden="1" customWidth="1"/>
    <col min="2311" max="2311" width="28.26953125" style="36" customWidth="1"/>
    <col min="2312" max="2312" width="19.26953125" style="36" bestFit="1" customWidth="1"/>
    <col min="2313" max="2313" width="18" style="36" bestFit="1" customWidth="1"/>
    <col min="2314" max="2314" width="16.26953125" style="36" bestFit="1" customWidth="1"/>
    <col min="2315" max="2315" width="16.54296875" style="36" bestFit="1" customWidth="1"/>
    <col min="2316" max="2316" width="16.453125" style="36" bestFit="1" customWidth="1"/>
    <col min="2317" max="2317" width="15.54296875" style="36" bestFit="1" customWidth="1"/>
    <col min="2318" max="2318" width="14.7265625" style="36" bestFit="1" customWidth="1"/>
    <col min="2319" max="2319" width="16" style="36" bestFit="1" customWidth="1"/>
    <col min="2320" max="2320" width="14.7265625" style="36" bestFit="1" customWidth="1"/>
    <col min="2321" max="2321" width="16" style="36" bestFit="1" customWidth="1"/>
    <col min="2322" max="2322" width="12.7265625" style="36" bestFit="1" customWidth="1"/>
    <col min="2323" max="2323" width="14.7265625" style="36" bestFit="1" customWidth="1"/>
    <col min="2324" max="2561" width="9.26953125" style="36"/>
    <col min="2562" max="2562" width="6.26953125" style="36" customWidth="1"/>
    <col min="2563" max="2563" width="4.453125" style="36" customWidth="1"/>
    <col min="2564" max="2564" width="38.453125" style="36" customWidth="1"/>
    <col min="2565" max="2566" width="0" style="36" hidden="1" customWidth="1"/>
    <col min="2567" max="2567" width="28.26953125" style="36" customWidth="1"/>
    <col min="2568" max="2568" width="19.26953125" style="36" bestFit="1" customWidth="1"/>
    <col min="2569" max="2569" width="18" style="36" bestFit="1" customWidth="1"/>
    <col min="2570" max="2570" width="16.26953125" style="36" bestFit="1" customWidth="1"/>
    <col min="2571" max="2571" width="16.54296875" style="36" bestFit="1" customWidth="1"/>
    <col min="2572" max="2572" width="16.453125" style="36" bestFit="1" customWidth="1"/>
    <col min="2573" max="2573" width="15.54296875" style="36" bestFit="1" customWidth="1"/>
    <col min="2574" max="2574" width="14.7265625" style="36" bestFit="1" customWidth="1"/>
    <col min="2575" max="2575" width="16" style="36" bestFit="1" customWidth="1"/>
    <col min="2576" max="2576" width="14.7265625" style="36" bestFit="1" customWidth="1"/>
    <col min="2577" max="2577" width="16" style="36" bestFit="1" customWidth="1"/>
    <col min="2578" max="2578" width="12.7265625" style="36" bestFit="1" customWidth="1"/>
    <col min="2579" max="2579" width="14.7265625" style="36" bestFit="1" customWidth="1"/>
    <col min="2580" max="2817" width="9.26953125" style="36"/>
    <col min="2818" max="2818" width="6.26953125" style="36" customWidth="1"/>
    <col min="2819" max="2819" width="4.453125" style="36" customWidth="1"/>
    <col min="2820" max="2820" width="38.453125" style="36" customWidth="1"/>
    <col min="2821" max="2822" width="0" style="36" hidden="1" customWidth="1"/>
    <col min="2823" max="2823" width="28.26953125" style="36" customWidth="1"/>
    <col min="2824" max="2824" width="19.26953125" style="36" bestFit="1" customWidth="1"/>
    <col min="2825" max="2825" width="18" style="36" bestFit="1" customWidth="1"/>
    <col min="2826" max="2826" width="16.26953125" style="36" bestFit="1" customWidth="1"/>
    <col min="2827" max="2827" width="16.54296875" style="36" bestFit="1" customWidth="1"/>
    <col min="2828" max="2828" width="16.453125" style="36" bestFit="1" customWidth="1"/>
    <col min="2829" max="2829" width="15.54296875" style="36" bestFit="1" customWidth="1"/>
    <col min="2830" max="2830" width="14.7265625" style="36" bestFit="1" customWidth="1"/>
    <col min="2831" max="2831" width="16" style="36" bestFit="1" customWidth="1"/>
    <col min="2832" max="2832" width="14.7265625" style="36" bestFit="1" customWidth="1"/>
    <col min="2833" max="2833" width="16" style="36" bestFit="1" customWidth="1"/>
    <col min="2834" max="2834" width="12.7265625" style="36" bestFit="1" customWidth="1"/>
    <col min="2835" max="2835" width="14.7265625" style="36" bestFit="1" customWidth="1"/>
    <col min="2836" max="3073" width="9.26953125" style="36"/>
    <col min="3074" max="3074" width="6.26953125" style="36" customWidth="1"/>
    <col min="3075" max="3075" width="4.453125" style="36" customWidth="1"/>
    <col min="3076" max="3076" width="38.453125" style="36" customWidth="1"/>
    <col min="3077" max="3078" width="0" style="36" hidden="1" customWidth="1"/>
    <col min="3079" max="3079" width="28.26953125" style="36" customWidth="1"/>
    <col min="3080" max="3080" width="19.26953125" style="36" bestFit="1" customWidth="1"/>
    <col min="3081" max="3081" width="18" style="36" bestFit="1" customWidth="1"/>
    <col min="3082" max="3082" width="16.26953125" style="36" bestFit="1" customWidth="1"/>
    <col min="3083" max="3083" width="16.54296875" style="36" bestFit="1" customWidth="1"/>
    <col min="3084" max="3084" width="16.453125" style="36" bestFit="1" customWidth="1"/>
    <col min="3085" max="3085" width="15.54296875" style="36" bestFit="1" customWidth="1"/>
    <col min="3086" max="3086" width="14.7265625" style="36" bestFit="1" customWidth="1"/>
    <col min="3087" max="3087" width="16" style="36" bestFit="1" customWidth="1"/>
    <col min="3088" max="3088" width="14.7265625" style="36" bestFit="1" customWidth="1"/>
    <col min="3089" max="3089" width="16" style="36" bestFit="1" customWidth="1"/>
    <col min="3090" max="3090" width="12.7265625" style="36" bestFit="1" customWidth="1"/>
    <col min="3091" max="3091" width="14.7265625" style="36" bestFit="1" customWidth="1"/>
    <col min="3092" max="3329" width="9.26953125" style="36"/>
    <col min="3330" max="3330" width="6.26953125" style="36" customWidth="1"/>
    <col min="3331" max="3331" width="4.453125" style="36" customWidth="1"/>
    <col min="3332" max="3332" width="38.453125" style="36" customWidth="1"/>
    <col min="3333" max="3334" width="0" style="36" hidden="1" customWidth="1"/>
    <col min="3335" max="3335" width="28.26953125" style="36" customWidth="1"/>
    <col min="3336" max="3336" width="19.26953125" style="36" bestFit="1" customWidth="1"/>
    <col min="3337" max="3337" width="18" style="36" bestFit="1" customWidth="1"/>
    <col min="3338" max="3338" width="16.26953125" style="36" bestFit="1" customWidth="1"/>
    <col min="3339" max="3339" width="16.54296875" style="36" bestFit="1" customWidth="1"/>
    <col min="3340" max="3340" width="16.453125" style="36" bestFit="1" customWidth="1"/>
    <col min="3341" max="3341" width="15.54296875" style="36" bestFit="1" customWidth="1"/>
    <col min="3342" max="3342" width="14.7265625" style="36" bestFit="1" customWidth="1"/>
    <col min="3343" max="3343" width="16" style="36" bestFit="1" customWidth="1"/>
    <col min="3344" max="3344" width="14.7265625" style="36" bestFit="1" customWidth="1"/>
    <col min="3345" max="3345" width="16" style="36" bestFit="1" customWidth="1"/>
    <col min="3346" max="3346" width="12.7265625" style="36" bestFit="1" customWidth="1"/>
    <col min="3347" max="3347" width="14.7265625" style="36" bestFit="1" customWidth="1"/>
    <col min="3348" max="3585" width="9.26953125" style="36"/>
    <col min="3586" max="3586" width="6.26953125" style="36" customWidth="1"/>
    <col min="3587" max="3587" width="4.453125" style="36" customWidth="1"/>
    <col min="3588" max="3588" width="38.453125" style="36" customWidth="1"/>
    <col min="3589" max="3590" width="0" style="36" hidden="1" customWidth="1"/>
    <col min="3591" max="3591" width="28.26953125" style="36" customWidth="1"/>
    <col min="3592" max="3592" width="19.26953125" style="36" bestFit="1" customWidth="1"/>
    <col min="3593" max="3593" width="18" style="36" bestFit="1" customWidth="1"/>
    <col min="3594" max="3594" width="16.26953125" style="36" bestFit="1" customWidth="1"/>
    <col min="3595" max="3595" width="16.54296875" style="36" bestFit="1" customWidth="1"/>
    <col min="3596" max="3596" width="16.453125" style="36" bestFit="1" customWidth="1"/>
    <col min="3597" max="3597" width="15.54296875" style="36" bestFit="1" customWidth="1"/>
    <col min="3598" max="3598" width="14.7265625" style="36" bestFit="1" customWidth="1"/>
    <col min="3599" max="3599" width="16" style="36" bestFit="1" customWidth="1"/>
    <col min="3600" max="3600" width="14.7265625" style="36" bestFit="1" customWidth="1"/>
    <col min="3601" max="3601" width="16" style="36" bestFit="1" customWidth="1"/>
    <col min="3602" max="3602" width="12.7265625" style="36" bestFit="1" customWidth="1"/>
    <col min="3603" max="3603" width="14.7265625" style="36" bestFit="1" customWidth="1"/>
    <col min="3604" max="3841" width="9.26953125" style="36"/>
    <col min="3842" max="3842" width="6.26953125" style="36" customWidth="1"/>
    <col min="3843" max="3843" width="4.453125" style="36" customWidth="1"/>
    <col min="3844" max="3844" width="38.453125" style="36" customWidth="1"/>
    <col min="3845" max="3846" width="0" style="36" hidden="1" customWidth="1"/>
    <col min="3847" max="3847" width="28.26953125" style="36" customWidth="1"/>
    <col min="3848" max="3848" width="19.26953125" style="36" bestFit="1" customWidth="1"/>
    <col min="3849" max="3849" width="18" style="36" bestFit="1" customWidth="1"/>
    <col min="3850" max="3850" width="16.26953125" style="36" bestFit="1" customWidth="1"/>
    <col min="3851" max="3851" width="16.54296875" style="36" bestFit="1" customWidth="1"/>
    <col min="3852" max="3852" width="16.453125" style="36" bestFit="1" customWidth="1"/>
    <col min="3853" max="3853" width="15.54296875" style="36" bestFit="1" customWidth="1"/>
    <col min="3854" max="3854" width="14.7265625" style="36" bestFit="1" customWidth="1"/>
    <col min="3855" max="3855" width="16" style="36" bestFit="1" customWidth="1"/>
    <col min="3856" max="3856" width="14.7265625" style="36" bestFit="1" customWidth="1"/>
    <col min="3857" max="3857" width="16" style="36" bestFit="1" customWidth="1"/>
    <col min="3858" max="3858" width="12.7265625" style="36" bestFit="1" customWidth="1"/>
    <col min="3859" max="3859" width="14.7265625" style="36" bestFit="1" customWidth="1"/>
    <col min="3860" max="4097" width="9.26953125" style="36"/>
    <col min="4098" max="4098" width="6.26953125" style="36" customWidth="1"/>
    <col min="4099" max="4099" width="4.453125" style="36" customWidth="1"/>
    <col min="4100" max="4100" width="38.453125" style="36" customWidth="1"/>
    <col min="4101" max="4102" width="0" style="36" hidden="1" customWidth="1"/>
    <col min="4103" max="4103" width="28.26953125" style="36" customWidth="1"/>
    <col min="4104" max="4104" width="19.26953125" style="36" bestFit="1" customWidth="1"/>
    <col min="4105" max="4105" width="18" style="36" bestFit="1" customWidth="1"/>
    <col min="4106" max="4106" width="16.26953125" style="36" bestFit="1" customWidth="1"/>
    <col min="4107" max="4107" width="16.54296875" style="36" bestFit="1" customWidth="1"/>
    <col min="4108" max="4108" width="16.453125" style="36" bestFit="1" customWidth="1"/>
    <col min="4109" max="4109" width="15.54296875" style="36" bestFit="1" customWidth="1"/>
    <col min="4110" max="4110" width="14.7265625" style="36" bestFit="1" customWidth="1"/>
    <col min="4111" max="4111" width="16" style="36" bestFit="1" customWidth="1"/>
    <col min="4112" max="4112" width="14.7265625" style="36" bestFit="1" customWidth="1"/>
    <col min="4113" max="4113" width="16" style="36" bestFit="1" customWidth="1"/>
    <col min="4114" max="4114" width="12.7265625" style="36" bestFit="1" customWidth="1"/>
    <col min="4115" max="4115" width="14.7265625" style="36" bestFit="1" customWidth="1"/>
    <col min="4116" max="4353" width="9.26953125" style="36"/>
    <col min="4354" max="4354" width="6.26953125" style="36" customWidth="1"/>
    <col min="4355" max="4355" width="4.453125" style="36" customWidth="1"/>
    <col min="4356" max="4356" width="38.453125" style="36" customWidth="1"/>
    <col min="4357" max="4358" width="0" style="36" hidden="1" customWidth="1"/>
    <col min="4359" max="4359" width="28.26953125" style="36" customWidth="1"/>
    <col min="4360" max="4360" width="19.26953125" style="36" bestFit="1" customWidth="1"/>
    <col min="4361" max="4361" width="18" style="36" bestFit="1" customWidth="1"/>
    <col min="4362" max="4362" width="16.26953125" style="36" bestFit="1" customWidth="1"/>
    <col min="4363" max="4363" width="16.54296875" style="36" bestFit="1" customWidth="1"/>
    <col min="4364" max="4364" width="16.453125" style="36" bestFit="1" customWidth="1"/>
    <col min="4365" max="4365" width="15.54296875" style="36" bestFit="1" customWidth="1"/>
    <col min="4366" max="4366" width="14.7265625" style="36" bestFit="1" customWidth="1"/>
    <col min="4367" max="4367" width="16" style="36" bestFit="1" customWidth="1"/>
    <col min="4368" max="4368" width="14.7265625" style="36" bestFit="1" customWidth="1"/>
    <col min="4369" max="4369" width="16" style="36" bestFit="1" customWidth="1"/>
    <col min="4370" max="4370" width="12.7265625" style="36" bestFit="1" customWidth="1"/>
    <col min="4371" max="4371" width="14.7265625" style="36" bestFit="1" customWidth="1"/>
    <col min="4372" max="4609" width="9.26953125" style="36"/>
    <col min="4610" max="4610" width="6.26953125" style="36" customWidth="1"/>
    <col min="4611" max="4611" width="4.453125" style="36" customWidth="1"/>
    <col min="4612" max="4612" width="38.453125" style="36" customWidth="1"/>
    <col min="4613" max="4614" width="0" style="36" hidden="1" customWidth="1"/>
    <col min="4615" max="4615" width="28.26953125" style="36" customWidth="1"/>
    <col min="4616" max="4616" width="19.26953125" style="36" bestFit="1" customWidth="1"/>
    <col min="4617" max="4617" width="18" style="36" bestFit="1" customWidth="1"/>
    <col min="4618" max="4618" width="16.26953125" style="36" bestFit="1" customWidth="1"/>
    <col min="4619" max="4619" width="16.54296875" style="36" bestFit="1" customWidth="1"/>
    <col min="4620" max="4620" width="16.453125" style="36" bestFit="1" customWidth="1"/>
    <col min="4621" max="4621" width="15.54296875" style="36" bestFit="1" customWidth="1"/>
    <col min="4622" max="4622" width="14.7265625" style="36" bestFit="1" customWidth="1"/>
    <col min="4623" max="4623" width="16" style="36" bestFit="1" customWidth="1"/>
    <col min="4624" max="4624" width="14.7265625" style="36" bestFit="1" customWidth="1"/>
    <col min="4625" max="4625" width="16" style="36" bestFit="1" customWidth="1"/>
    <col min="4626" max="4626" width="12.7265625" style="36" bestFit="1" customWidth="1"/>
    <col min="4627" max="4627" width="14.7265625" style="36" bestFit="1" customWidth="1"/>
    <col min="4628" max="4865" width="9.26953125" style="36"/>
    <col min="4866" max="4866" width="6.26953125" style="36" customWidth="1"/>
    <col min="4867" max="4867" width="4.453125" style="36" customWidth="1"/>
    <col min="4868" max="4868" width="38.453125" style="36" customWidth="1"/>
    <col min="4869" max="4870" width="0" style="36" hidden="1" customWidth="1"/>
    <col min="4871" max="4871" width="28.26953125" style="36" customWidth="1"/>
    <col min="4872" max="4872" width="19.26953125" style="36" bestFit="1" customWidth="1"/>
    <col min="4873" max="4873" width="18" style="36" bestFit="1" customWidth="1"/>
    <col min="4874" max="4874" width="16.26953125" style="36" bestFit="1" customWidth="1"/>
    <col min="4875" max="4875" width="16.54296875" style="36" bestFit="1" customWidth="1"/>
    <col min="4876" max="4876" width="16.453125" style="36" bestFit="1" customWidth="1"/>
    <col min="4877" max="4877" width="15.54296875" style="36" bestFit="1" customWidth="1"/>
    <col min="4878" max="4878" width="14.7265625" style="36" bestFit="1" customWidth="1"/>
    <col min="4879" max="4879" width="16" style="36" bestFit="1" customWidth="1"/>
    <col min="4880" max="4880" width="14.7265625" style="36" bestFit="1" customWidth="1"/>
    <col min="4881" max="4881" width="16" style="36" bestFit="1" customWidth="1"/>
    <col min="4882" max="4882" width="12.7265625" style="36" bestFit="1" customWidth="1"/>
    <col min="4883" max="4883" width="14.7265625" style="36" bestFit="1" customWidth="1"/>
    <col min="4884" max="5121" width="9.26953125" style="36"/>
    <col min="5122" max="5122" width="6.26953125" style="36" customWidth="1"/>
    <col min="5123" max="5123" width="4.453125" style="36" customWidth="1"/>
    <col min="5124" max="5124" width="38.453125" style="36" customWidth="1"/>
    <col min="5125" max="5126" width="0" style="36" hidden="1" customWidth="1"/>
    <col min="5127" max="5127" width="28.26953125" style="36" customWidth="1"/>
    <col min="5128" max="5128" width="19.26953125" style="36" bestFit="1" customWidth="1"/>
    <col min="5129" max="5129" width="18" style="36" bestFit="1" customWidth="1"/>
    <col min="5130" max="5130" width="16.26953125" style="36" bestFit="1" customWidth="1"/>
    <col min="5131" max="5131" width="16.54296875" style="36" bestFit="1" customWidth="1"/>
    <col min="5132" max="5132" width="16.453125" style="36" bestFit="1" customWidth="1"/>
    <col min="5133" max="5133" width="15.54296875" style="36" bestFit="1" customWidth="1"/>
    <col min="5134" max="5134" width="14.7265625" style="36" bestFit="1" customWidth="1"/>
    <col min="5135" max="5135" width="16" style="36" bestFit="1" customWidth="1"/>
    <col min="5136" max="5136" width="14.7265625" style="36" bestFit="1" customWidth="1"/>
    <col min="5137" max="5137" width="16" style="36" bestFit="1" customWidth="1"/>
    <col min="5138" max="5138" width="12.7265625" style="36" bestFit="1" customWidth="1"/>
    <col min="5139" max="5139" width="14.7265625" style="36" bestFit="1" customWidth="1"/>
    <col min="5140" max="5377" width="9.26953125" style="36"/>
    <col min="5378" max="5378" width="6.26953125" style="36" customWidth="1"/>
    <col min="5379" max="5379" width="4.453125" style="36" customWidth="1"/>
    <col min="5380" max="5380" width="38.453125" style="36" customWidth="1"/>
    <col min="5381" max="5382" width="0" style="36" hidden="1" customWidth="1"/>
    <col min="5383" max="5383" width="28.26953125" style="36" customWidth="1"/>
    <col min="5384" max="5384" width="19.26953125" style="36" bestFit="1" customWidth="1"/>
    <col min="5385" max="5385" width="18" style="36" bestFit="1" customWidth="1"/>
    <col min="5386" max="5386" width="16.26953125" style="36" bestFit="1" customWidth="1"/>
    <col min="5387" max="5387" width="16.54296875" style="36" bestFit="1" customWidth="1"/>
    <col min="5388" max="5388" width="16.453125" style="36" bestFit="1" customWidth="1"/>
    <col min="5389" max="5389" width="15.54296875" style="36" bestFit="1" customWidth="1"/>
    <col min="5390" max="5390" width="14.7265625" style="36" bestFit="1" customWidth="1"/>
    <col min="5391" max="5391" width="16" style="36" bestFit="1" customWidth="1"/>
    <col min="5392" max="5392" width="14.7265625" style="36" bestFit="1" customWidth="1"/>
    <col min="5393" max="5393" width="16" style="36" bestFit="1" customWidth="1"/>
    <col min="5394" max="5394" width="12.7265625" style="36" bestFit="1" customWidth="1"/>
    <col min="5395" max="5395" width="14.7265625" style="36" bestFit="1" customWidth="1"/>
    <col min="5396" max="5633" width="9.26953125" style="36"/>
    <col min="5634" max="5634" width="6.26953125" style="36" customWidth="1"/>
    <col min="5635" max="5635" width="4.453125" style="36" customWidth="1"/>
    <col min="5636" max="5636" width="38.453125" style="36" customWidth="1"/>
    <col min="5637" max="5638" width="0" style="36" hidden="1" customWidth="1"/>
    <col min="5639" max="5639" width="28.26953125" style="36" customWidth="1"/>
    <col min="5640" max="5640" width="19.26953125" style="36" bestFit="1" customWidth="1"/>
    <col min="5641" max="5641" width="18" style="36" bestFit="1" customWidth="1"/>
    <col min="5642" max="5642" width="16.26953125" style="36" bestFit="1" customWidth="1"/>
    <col min="5643" max="5643" width="16.54296875" style="36" bestFit="1" customWidth="1"/>
    <col min="5644" max="5644" width="16.453125" style="36" bestFit="1" customWidth="1"/>
    <col min="5645" max="5645" width="15.54296875" style="36" bestFit="1" customWidth="1"/>
    <col min="5646" max="5646" width="14.7265625" style="36" bestFit="1" customWidth="1"/>
    <col min="5647" max="5647" width="16" style="36" bestFit="1" customWidth="1"/>
    <col min="5648" max="5648" width="14.7265625" style="36" bestFit="1" customWidth="1"/>
    <col min="5649" max="5649" width="16" style="36" bestFit="1" customWidth="1"/>
    <col min="5650" max="5650" width="12.7265625" style="36" bestFit="1" customWidth="1"/>
    <col min="5651" max="5651" width="14.7265625" style="36" bestFit="1" customWidth="1"/>
    <col min="5652" max="5889" width="9.26953125" style="36"/>
    <col min="5890" max="5890" width="6.26953125" style="36" customWidth="1"/>
    <col min="5891" max="5891" width="4.453125" style="36" customWidth="1"/>
    <col min="5892" max="5892" width="38.453125" style="36" customWidth="1"/>
    <col min="5893" max="5894" width="0" style="36" hidden="1" customWidth="1"/>
    <col min="5895" max="5895" width="28.26953125" style="36" customWidth="1"/>
    <col min="5896" max="5896" width="19.26953125" style="36" bestFit="1" customWidth="1"/>
    <col min="5897" max="5897" width="18" style="36" bestFit="1" customWidth="1"/>
    <col min="5898" max="5898" width="16.26953125" style="36" bestFit="1" customWidth="1"/>
    <col min="5899" max="5899" width="16.54296875" style="36" bestFit="1" customWidth="1"/>
    <col min="5900" max="5900" width="16.453125" style="36" bestFit="1" customWidth="1"/>
    <col min="5901" max="5901" width="15.54296875" style="36" bestFit="1" customWidth="1"/>
    <col min="5902" max="5902" width="14.7265625" style="36" bestFit="1" customWidth="1"/>
    <col min="5903" max="5903" width="16" style="36" bestFit="1" customWidth="1"/>
    <col min="5904" max="5904" width="14.7265625" style="36" bestFit="1" customWidth="1"/>
    <col min="5905" max="5905" width="16" style="36" bestFit="1" customWidth="1"/>
    <col min="5906" max="5906" width="12.7265625" style="36" bestFit="1" customWidth="1"/>
    <col min="5907" max="5907" width="14.7265625" style="36" bestFit="1" customWidth="1"/>
    <col min="5908" max="6145" width="9.26953125" style="36"/>
    <col min="6146" max="6146" width="6.26953125" style="36" customWidth="1"/>
    <col min="6147" max="6147" width="4.453125" style="36" customWidth="1"/>
    <col min="6148" max="6148" width="38.453125" style="36" customWidth="1"/>
    <col min="6149" max="6150" width="0" style="36" hidden="1" customWidth="1"/>
    <col min="6151" max="6151" width="28.26953125" style="36" customWidth="1"/>
    <col min="6152" max="6152" width="19.26953125" style="36" bestFit="1" customWidth="1"/>
    <col min="6153" max="6153" width="18" style="36" bestFit="1" customWidth="1"/>
    <col min="6154" max="6154" width="16.26953125" style="36" bestFit="1" customWidth="1"/>
    <col min="6155" max="6155" width="16.54296875" style="36" bestFit="1" customWidth="1"/>
    <col min="6156" max="6156" width="16.453125" style="36" bestFit="1" customWidth="1"/>
    <col min="6157" max="6157" width="15.54296875" style="36" bestFit="1" customWidth="1"/>
    <col min="6158" max="6158" width="14.7265625" style="36" bestFit="1" customWidth="1"/>
    <col min="6159" max="6159" width="16" style="36" bestFit="1" customWidth="1"/>
    <col min="6160" max="6160" width="14.7265625" style="36" bestFit="1" customWidth="1"/>
    <col min="6161" max="6161" width="16" style="36" bestFit="1" customWidth="1"/>
    <col min="6162" max="6162" width="12.7265625" style="36" bestFit="1" customWidth="1"/>
    <col min="6163" max="6163" width="14.7265625" style="36" bestFit="1" customWidth="1"/>
    <col min="6164" max="6401" width="9.26953125" style="36"/>
    <col min="6402" max="6402" width="6.26953125" style="36" customWidth="1"/>
    <col min="6403" max="6403" width="4.453125" style="36" customWidth="1"/>
    <col min="6404" max="6404" width="38.453125" style="36" customWidth="1"/>
    <col min="6405" max="6406" width="0" style="36" hidden="1" customWidth="1"/>
    <col min="6407" max="6407" width="28.26953125" style="36" customWidth="1"/>
    <col min="6408" max="6408" width="19.26953125" style="36" bestFit="1" customWidth="1"/>
    <col min="6409" max="6409" width="18" style="36" bestFit="1" customWidth="1"/>
    <col min="6410" max="6410" width="16.26953125" style="36" bestFit="1" customWidth="1"/>
    <col min="6411" max="6411" width="16.54296875" style="36" bestFit="1" customWidth="1"/>
    <col min="6412" max="6412" width="16.453125" style="36" bestFit="1" customWidth="1"/>
    <col min="6413" max="6413" width="15.54296875" style="36" bestFit="1" customWidth="1"/>
    <col min="6414" max="6414" width="14.7265625" style="36" bestFit="1" customWidth="1"/>
    <col min="6415" max="6415" width="16" style="36" bestFit="1" customWidth="1"/>
    <col min="6416" max="6416" width="14.7265625" style="36" bestFit="1" customWidth="1"/>
    <col min="6417" max="6417" width="16" style="36" bestFit="1" customWidth="1"/>
    <col min="6418" max="6418" width="12.7265625" style="36" bestFit="1" customWidth="1"/>
    <col min="6419" max="6419" width="14.7265625" style="36" bestFit="1" customWidth="1"/>
    <col min="6420" max="6657" width="9.26953125" style="36"/>
    <col min="6658" max="6658" width="6.26953125" style="36" customWidth="1"/>
    <col min="6659" max="6659" width="4.453125" style="36" customWidth="1"/>
    <col min="6660" max="6660" width="38.453125" style="36" customWidth="1"/>
    <col min="6661" max="6662" width="0" style="36" hidden="1" customWidth="1"/>
    <col min="6663" max="6663" width="28.26953125" style="36" customWidth="1"/>
    <col min="6664" max="6664" width="19.26953125" style="36" bestFit="1" customWidth="1"/>
    <col min="6665" max="6665" width="18" style="36" bestFit="1" customWidth="1"/>
    <col min="6666" max="6666" width="16.26953125" style="36" bestFit="1" customWidth="1"/>
    <col min="6667" max="6667" width="16.54296875" style="36" bestFit="1" customWidth="1"/>
    <col min="6668" max="6668" width="16.453125" style="36" bestFit="1" customWidth="1"/>
    <col min="6669" max="6669" width="15.54296875" style="36" bestFit="1" customWidth="1"/>
    <col min="6670" max="6670" width="14.7265625" style="36" bestFit="1" customWidth="1"/>
    <col min="6671" max="6671" width="16" style="36" bestFit="1" customWidth="1"/>
    <col min="6672" max="6672" width="14.7265625" style="36" bestFit="1" customWidth="1"/>
    <col min="6673" max="6673" width="16" style="36" bestFit="1" customWidth="1"/>
    <col min="6674" max="6674" width="12.7265625" style="36" bestFit="1" customWidth="1"/>
    <col min="6675" max="6675" width="14.7265625" style="36" bestFit="1" customWidth="1"/>
    <col min="6676" max="6913" width="9.26953125" style="36"/>
    <col min="6914" max="6914" width="6.26953125" style="36" customWidth="1"/>
    <col min="6915" max="6915" width="4.453125" style="36" customWidth="1"/>
    <col min="6916" max="6916" width="38.453125" style="36" customWidth="1"/>
    <col min="6917" max="6918" width="0" style="36" hidden="1" customWidth="1"/>
    <col min="6919" max="6919" width="28.26953125" style="36" customWidth="1"/>
    <col min="6920" max="6920" width="19.26953125" style="36" bestFit="1" customWidth="1"/>
    <col min="6921" max="6921" width="18" style="36" bestFit="1" customWidth="1"/>
    <col min="6922" max="6922" width="16.26953125" style="36" bestFit="1" customWidth="1"/>
    <col min="6923" max="6923" width="16.54296875" style="36" bestFit="1" customWidth="1"/>
    <col min="6924" max="6924" width="16.453125" style="36" bestFit="1" customWidth="1"/>
    <col min="6925" max="6925" width="15.54296875" style="36" bestFit="1" customWidth="1"/>
    <col min="6926" max="6926" width="14.7265625" style="36" bestFit="1" customWidth="1"/>
    <col min="6927" max="6927" width="16" style="36" bestFit="1" customWidth="1"/>
    <col min="6928" max="6928" width="14.7265625" style="36" bestFit="1" customWidth="1"/>
    <col min="6929" max="6929" width="16" style="36" bestFit="1" customWidth="1"/>
    <col min="6930" max="6930" width="12.7265625" style="36" bestFit="1" customWidth="1"/>
    <col min="6931" max="6931" width="14.7265625" style="36" bestFit="1" customWidth="1"/>
    <col min="6932" max="7169" width="9.26953125" style="36"/>
    <col min="7170" max="7170" width="6.26953125" style="36" customWidth="1"/>
    <col min="7171" max="7171" width="4.453125" style="36" customWidth="1"/>
    <col min="7172" max="7172" width="38.453125" style="36" customWidth="1"/>
    <col min="7173" max="7174" width="0" style="36" hidden="1" customWidth="1"/>
    <col min="7175" max="7175" width="28.26953125" style="36" customWidth="1"/>
    <col min="7176" max="7176" width="19.26953125" style="36" bestFit="1" customWidth="1"/>
    <col min="7177" max="7177" width="18" style="36" bestFit="1" customWidth="1"/>
    <col min="7178" max="7178" width="16.26953125" style="36" bestFit="1" customWidth="1"/>
    <col min="7179" max="7179" width="16.54296875" style="36" bestFit="1" customWidth="1"/>
    <col min="7180" max="7180" width="16.453125" style="36" bestFit="1" customWidth="1"/>
    <col min="7181" max="7181" width="15.54296875" style="36" bestFit="1" customWidth="1"/>
    <col min="7182" max="7182" width="14.7265625" style="36" bestFit="1" customWidth="1"/>
    <col min="7183" max="7183" width="16" style="36" bestFit="1" customWidth="1"/>
    <col min="7184" max="7184" width="14.7265625" style="36" bestFit="1" customWidth="1"/>
    <col min="7185" max="7185" width="16" style="36" bestFit="1" customWidth="1"/>
    <col min="7186" max="7186" width="12.7265625" style="36" bestFit="1" customWidth="1"/>
    <col min="7187" max="7187" width="14.7265625" style="36" bestFit="1" customWidth="1"/>
    <col min="7188" max="7425" width="9.26953125" style="36"/>
    <col min="7426" max="7426" width="6.26953125" style="36" customWidth="1"/>
    <col min="7427" max="7427" width="4.453125" style="36" customWidth="1"/>
    <col min="7428" max="7428" width="38.453125" style="36" customWidth="1"/>
    <col min="7429" max="7430" width="0" style="36" hidden="1" customWidth="1"/>
    <col min="7431" max="7431" width="28.26953125" style="36" customWidth="1"/>
    <col min="7432" max="7432" width="19.26953125" style="36" bestFit="1" customWidth="1"/>
    <col min="7433" max="7433" width="18" style="36" bestFit="1" customWidth="1"/>
    <col min="7434" max="7434" width="16.26953125" style="36" bestFit="1" customWidth="1"/>
    <col min="7435" max="7435" width="16.54296875" style="36" bestFit="1" customWidth="1"/>
    <col min="7436" max="7436" width="16.453125" style="36" bestFit="1" customWidth="1"/>
    <col min="7437" max="7437" width="15.54296875" style="36" bestFit="1" customWidth="1"/>
    <col min="7438" max="7438" width="14.7265625" style="36" bestFit="1" customWidth="1"/>
    <col min="7439" max="7439" width="16" style="36" bestFit="1" customWidth="1"/>
    <col min="7440" max="7440" width="14.7265625" style="36" bestFit="1" customWidth="1"/>
    <col min="7441" max="7441" width="16" style="36" bestFit="1" customWidth="1"/>
    <col min="7442" max="7442" width="12.7265625" style="36" bestFit="1" customWidth="1"/>
    <col min="7443" max="7443" width="14.7265625" style="36" bestFit="1" customWidth="1"/>
    <col min="7444" max="7681" width="9.26953125" style="36"/>
    <col min="7682" max="7682" width="6.26953125" style="36" customWidth="1"/>
    <col min="7683" max="7683" width="4.453125" style="36" customWidth="1"/>
    <col min="7684" max="7684" width="38.453125" style="36" customWidth="1"/>
    <col min="7685" max="7686" width="0" style="36" hidden="1" customWidth="1"/>
    <col min="7687" max="7687" width="28.26953125" style="36" customWidth="1"/>
    <col min="7688" max="7688" width="19.26953125" style="36" bestFit="1" customWidth="1"/>
    <col min="7689" max="7689" width="18" style="36" bestFit="1" customWidth="1"/>
    <col min="7690" max="7690" width="16.26953125" style="36" bestFit="1" customWidth="1"/>
    <col min="7691" max="7691" width="16.54296875" style="36" bestFit="1" customWidth="1"/>
    <col min="7692" max="7692" width="16.453125" style="36" bestFit="1" customWidth="1"/>
    <col min="7693" max="7693" width="15.54296875" style="36" bestFit="1" customWidth="1"/>
    <col min="7694" max="7694" width="14.7265625" style="36" bestFit="1" customWidth="1"/>
    <col min="7695" max="7695" width="16" style="36" bestFit="1" customWidth="1"/>
    <col min="7696" max="7696" width="14.7265625" style="36" bestFit="1" customWidth="1"/>
    <col min="7697" max="7697" width="16" style="36" bestFit="1" customWidth="1"/>
    <col min="7698" max="7698" width="12.7265625" style="36" bestFit="1" customWidth="1"/>
    <col min="7699" max="7699" width="14.7265625" style="36" bestFit="1" customWidth="1"/>
    <col min="7700" max="7937" width="9.26953125" style="36"/>
    <col min="7938" max="7938" width="6.26953125" style="36" customWidth="1"/>
    <col min="7939" max="7939" width="4.453125" style="36" customWidth="1"/>
    <col min="7940" max="7940" width="38.453125" style="36" customWidth="1"/>
    <col min="7941" max="7942" width="0" style="36" hidden="1" customWidth="1"/>
    <col min="7943" max="7943" width="28.26953125" style="36" customWidth="1"/>
    <col min="7944" max="7944" width="19.26953125" style="36" bestFit="1" customWidth="1"/>
    <col min="7945" max="7945" width="18" style="36" bestFit="1" customWidth="1"/>
    <col min="7946" max="7946" width="16.26953125" style="36" bestFit="1" customWidth="1"/>
    <col min="7947" max="7947" width="16.54296875" style="36" bestFit="1" customWidth="1"/>
    <col min="7948" max="7948" width="16.453125" style="36" bestFit="1" customWidth="1"/>
    <col min="7949" max="7949" width="15.54296875" style="36" bestFit="1" customWidth="1"/>
    <col min="7950" max="7950" width="14.7265625" style="36" bestFit="1" customWidth="1"/>
    <col min="7951" max="7951" width="16" style="36" bestFit="1" customWidth="1"/>
    <col min="7952" max="7952" width="14.7265625" style="36" bestFit="1" customWidth="1"/>
    <col min="7953" max="7953" width="16" style="36" bestFit="1" customWidth="1"/>
    <col min="7954" max="7954" width="12.7265625" style="36" bestFit="1" customWidth="1"/>
    <col min="7955" max="7955" width="14.7265625" style="36" bestFit="1" customWidth="1"/>
    <col min="7956" max="8193" width="9.26953125" style="36"/>
    <col min="8194" max="8194" width="6.26953125" style="36" customWidth="1"/>
    <col min="8195" max="8195" width="4.453125" style="36" customWidth="1"/>
    <col min="8196" max="8196" width="38.453125" style="36" customWidth="1"/>
    <col min="8197" max="8198" width="0" style="36" hidden="1" customWidth="1"/>
    <col min="8199" max="8199" width="28.26953125" style="36" customWidth="1"/>
    <col min="8200" max="8200" width="19.26953125" style="36" bestFit="1" customWidth="1"/>
    <col min="8201" max="8201" width="18" style="36" bestFit="1" customWidth="1"/>
    <col min="8202" max="8202" width="16.26953125" style="36" bestFit="1" customWidth="1"/>
    <col min="8203" max="8203" width="16.54296875" style="36" bestFit="1" customWidth="1"/>
    <col min="8204" max="8204" width="16.453125" style="36" bestFit="1" customWidth="1"/>
    <col min="8205" max="8205" width="15.54296875" style="36" bestFit="1" customWidth="1"/>
    <col min="8206" max="8206" width="14.7265625" style="36" bestFit="1" customWidth="1"/>
    <col min="8207" max="8207" width="16" style="36" bestFit="1" customWidth="1"/>
    <col min="8208" max="8208" width="14.7265625" style="36" bestFit="1" customWidth="1"/>
    <col min="8209" max="8209" width="16" style="36" bestFit="1" customWidth="1"/>
    <col min="8210" max="8210" width="12.7265625" style="36" bestFit="1" customWidth="1"/>
    <col min="8211" max="8211" width="14.7265625" style="36" bestFit="1" customWidth="1"/>
    <col min="8212" max="8449" width="9.26953125" style="36"/>
    <col min="8450" max="8450" width="6.26953125" style="36" customWidth="1"/>
    <col min="8451" max="8451" width="4.453125" style="36" customWidth="1"/>
    <col min="8452" max="8452" width="38.453125" style="36" customWidth="1"/>
    <col min="8453" max="8454" width="0" style="36" hidden="1" customWidth="1"/>
    <col min="8455" max="8455" width="28.26953125" style="36" customWidth="1"/>
    <col min="8456" max="8456" width="19.26953125" style="36" bestFit="1" customWidth="1"/>
    <col min="8457" max="8457" width="18" style="36" bestFit="1" customWidth="1"/>
    <col min="8458" max="8458" width="16.26953125" style="36" bestFit="1" customWidth="1"/>
    <col min="8459" max="8459" width="16.54296875" style="36" bestFit="1" customWidth="1"/>
    <col min="8460" max="8460" width="16.453125" style="36" bestFit="1" customWidth="1"/>
    <col min="8461" max="8461" width="15.54296875" style="36" bestFit="1" customWidth="1"/>
    <col min="8462" max="8462" width="14.7265625" style="36" bestFit="1" customWidth="1"/>
    <col min="8463" max="8463" width="16" style="36" bestFit="1" customWidth="1"/>
    <col min="8464" max="8464" width="14.7265625" style="36" bestFit="1" customWidth="1"/>
    <col min="8465" max="8465" width="16" style="36" bestFit="1" customWidth="1"/>
    <col min="8466" max="8466" width="12.7265625" style="36" bestFit="1" customWidth="1"/>
    <col min="8467" max="8467" width="14.7265625" style="36" bestFit="1" customWidth="1"/>
    <col min="8468" max="8705" width="9.26953125" style="36"/>
    <col min="8706" max="8706" width="6.26953125" style="36" customWidth="1"/>
    <col min="8707" max="8707" width="4.453125" style="36" customWidth="1"/>
    <col min="8708" max="8708" width="38.453125" style="36" customWidth="1"/>
    <col min="8709" max="8710" width="0" style="36" hidden="1" customWidth="1"/>
    <col min="8711" max="8711" width="28.26953125" style="36" customWidth="1"/>
    <col min="8712" max="8712" width="19.26953125" style="36" bestFit="1" customWidth="1"/>
    <col min="8713" max="8713" width="18" style="36" bestFit="1" customWidth="1"/>
    <col min="8714" max="8714" width="16.26953125" style="36" bestFit="1" customWidth="1"/>
    <col min="8715" max="8715" width="16.54296875" style="36" bestFit="1" customWidth="1"/>
    <col min="8716" max="8716" width="16.453125" style="36" bestFit="1" customWidth="1"/>
    <col min="8717" max="8717" width="15.54296875" style="36" bestFit="1" customWidth="1"/>
    <col min="8718" max="8718" width="14.7265625" style="36" bestFit="1" customWidth="1"/>
    <col min="8719" max="8719" width="16" style="36" bestFit="1" customWidth="1"/>
    <col min="8720" max="8720" width="14.7265625" style="36" bestFit="1" customWidth="1"/>
    <col min="8721" max="8721" width="16" style="36" bestFit="1" customWidth="1"/>
    <col min="8722" max="8722" width="12.7265625" style="36" bestFit="1" customWidth="1"/>
    <col min="8723" max="8723" width="14.7265625" style="36" bestFit="1" customWidth="1"/>
    <col min="8724" max="8961" width="9.26953125" style="36"/>
    <col min="8962" max="8962" width="6.26953125" style="36" customWidth="1"/>
    <col min="8963" max="8963" width="4.453125" style="36" customWidth="1"/>
    <col min="8964" max="8964" width="38.453125" style="36" customWidth="1"/>
    <col min="8965" max="8966" width="0" style="36" hidden="1" customWidth="1"/>
    <col min="8967" max="8967" width="28.26953125" style="36" customWidth="1"/>
    <col min="8968" max="8968" width="19.26953125" style="36" bestFit="1" customWidth="1"/>
    <col min="8969" max="8969" width="18" style="36" bestFit="1" customWidth="1"/>
    <col min="8970" max="8970" width="16.26953125" style="36" bestFit="1" customWidth="1"/>
    <col min="8971" max="8971" width="16.54296875" style="36" bestFit="1" customWidth="1"/>
    <col min="8972" max="8972" width="16.453125" style="36" bestFit="1" customWidth="1"/>
    <col min="8973" max="8973" width="15.54296875" style="36" bestFit="1" customWidth="1"/>
    <col min="8974" max="8974" width="14.7265625" style="36" bestFit="1" customWidth="1"/>
    <col min="8975" max="8975" width="16" style="36" bestFit="1" customWidth="1"/>
    <col min="8976" max="8976" width="14.7265625" style="36" bestFit="1" customWidth="1"/>
    <col min="8977" max="8977" width="16" style="36" bestFit="1" customWidth="1"/>
    <col min="8978" max="8978" width="12.7265625" style="36" bestFit="1" customWidth="1"/>
    <col min="8979" max="8979" width="14.7265625" style="36" bestFit="1" customWidth="1"/>
    <col min="8980" max="9217" width="9.26953125" style="36"/>
    <col min="9218" max="9218" width="6.26953125" style="36" customWidth="1"/>
    <col min="9219" max="9219" width="4.453125" style="36" customWidth="1"/>
    <col min="9220" max="9220" width="38.453125" style="36" customWidth="1"/>
    <col min="9221" max="9222" width="0" style="36" hidden="1" customWidth="1"/>
    <col min="9223" max="9223" width="28.26953125" style="36" customWidth="1"/>
    <col min="9224" max="9224" width="19.26953125" style="36" bestFit="1" customWidth="1"/>
    <col min="9225" max="9225" width="18" style="36" bestFit="1" customWidth="1"/>
    <col min="9226" max="9226" width="16.26953125" style="36" bestFit="1" customWidth="1"/>
    <col min="9227" max="9227" width="16.54296875" style="36" bestFit="1" customWidth="1"/>
    <col min="9228" max="9228" width="16.453125" style="36" bestFit="1" customWidth="1"/>
    <col min="9229" max="9229" width="15.54296875" style="36" bestFit="1" customWidth="1"/>
    <col min="9230" max="9230" width="14.7265625" style="36" bestFit="1" customWidth="1"/>
    <col min="9231" max="9231" width="16" style="36" bestFit="1" customWidth="1"/>
    <col min="9232" max="9232" width="14.7265625" style="36" bestFit="1" customWidth="1"/>
    <col min="9233" max="9233" width="16" style="36" bestFit="1" customWidth="1"/>
    <col min="9234" max="9234" width="12.7265625" style="36" bestFit="1" customWidth="1"/>
    <col min="9235" max="9235" width="14.7265625" style="36" bestFit="1" customWidth="1"/>
    <col min="9236" max="9473" width="9.26953125" style="36"/>
    <col min="9474" max="9474" width="6.26953125" style="36" customWidth="1"/>
    <col min="9475" max="9475" width="4.453125" style="36" customWidth="1"/>
    <col min="9476" max="9476" width="38.453125" style="36" customWidth="1"/>
    <col min="9477" max="9478" width="0" style="36" hidden="1" customWidth="1"/>
    <col min="9479" max="9479" width="28.26953125" style="36" customWidth="1"/>
    <col min="9480" max="9480" width="19.26953125" style="36" bestFit="1" customWidth="1"/>
    <col min="9481" max="9481" width="18" style="36" bestFit="1" customWidth="1"/>
    <col min="9482" max="9482" width="16.26953125" style="36" bestFit="1" customWidth="1"/>
    <col min="9483" max="9483" width="16.54296875" style="36" bestFit="1" customWidth="1"/>
    <col min="9484" max="9484" width="16.453125" style="36" bestFit="1" customWidth="1"/>
    <col min="9485" max="9485" width="15.54296875" style="36" bestFit="1" customWidth="1"/>
    <col min="9486" max="9486" width="14.7265625" style="36" bestFit="1" customWidth="1"/>
    <col min="9487" max="9487" width="16" style="36" bestFit="1" customWidth="1"/>
    <col min="9488" max="9488" width="14.7265625" style="36" bestFit="1" customWidth="1"/>
    <col min="9489" max="9489" width="16" style="36" bestFit="1" customWidth="1"/>
    <col min="9490" max="9490" width="12.7265625" style="36" bestFit="1" customWidth="1"/>
    <col min="9491" max="9491" width="14.7265625" style="36" bestFit="1" customWidth="1"/>
    <col min="9492" max="9729" width="9.26953125" style="36"/>
    <col min="9730" max="9730" width="6.26953125" style="36" customWidth="1"/>
    <col min="9731" max="9731" width="4.453125" style="36" customWidth="1"/>
    <col min="9732" max="9732" width="38.453125" style="36" customWidth="1"/>
    <col min="9733" max="9734" width="0" style="36" hidden="1" customWidth="1"/>
    <col min="9735" max="9735" width="28.26953125" style="36" customWidth="1"/>
    <col min="9736" max="9736" width="19.26953125" style="36" bestFit="1" customWidth="1"/>
    <col min="9737" max="9737" width="18" style="36" bestFit="1" customWidth="1"/>
    <col min="9738" max="9738" width="16.26953125" style="36" bestFit="1" customWidth="1"/>
    <col min="9739" max="9739" width="16.54296875" style="36" bestFit="1" customWidth="1"/>
    <col min="9740" max="9740" width="16.453125" style="36" bestFit="1" customWidth="1"/>
    <col min="9741" max="9741" width="15.54296875" style="36" bestFit="1" customWidth="1"/>
    <col min="9742" max="9742" width="14.7265625" style="36" bestFit="1" customWidth="1"/>
    <col min="9743" max="9743" width="16" style="36" bestFit="1" customWidth="1"/>
    <col min="9744" max="9744" width="14.7265625" style="36" bestFit="1" customWidth="1"/>
    <col min="9745" max="9745" width="16" style="36" bestFit="1" customWidth="1"/>
    <col min="9746" max="9746" width="12.7265625" style="36" bestFit="1" customWidth="1"/>
    <col min="9747" max="9747" width="14.7265625" style="36" bestFit="1" customWidth="1"/>
    <col min="9748" max="9985" width="9.26953125" style="36"/>
    <col min="9986" max="9986" width="6.26953125" style="36" customWidth="1"/>
    <col min="9987" max="9987" width="4.453125" style="36" customWidth="1"/>
    <col min="9988" max="9988" width="38.453125" style="36" customWidth="1"/>
    <col min="9989" max="9990" width="0" style="36" hidden="1" customWidth="1"/>
    <col min="9991" max="9991" width="28.26953125" style="36" customWidth="1"/>
    <col min="9992" max="9992" width="19.26953125" style="36" bestFit="1" customWidth="1"/>
    <col min="9993" max="9993" width="18" style="36" bestFit="1" customWidth="1"/>
    <col min="9994" max="9994" width="16.26953125" style="36" bestFit="1" customWidth="1"/>
    <col min="9995" max="9995" width="16.54296875" style="36" bestFit="1" customWidth="1"/>
    <col min="9996" max="9996" width="16.453125" style="36" bestFit="1" customWidth="1"/>
    <col min="9997" max="9997" width="15.54296875" style="36" bestFit="1" customWidth="1"/>
    <col min="9998" max="9998" width="14.7265625" style="36" bestFit="1" customWidth="1"/>
    <col min="9999" max="9999" width="16" style="36" bestFit="1" customWidth="1"/>
    <col min="10000" max="10000" width="14.7265625" style="36" bestFit="1" customWidth="1"/>
    <col min="10001" max="10001" width="16" style="36" bestFit="1" customWidth="1"/>
    <col min="10002" max="10002" width="12.7265625" style="36" bestFit="1" customWidth="1"/>
    <col min="10003" max="10003" width="14.7265625" style="36" bestFit="1" customWidth="1"/>
    <col min="10004" max="10241" width="9.26953125" style="36"/>
    <col min="10242" max="10242" width="6.26953125" style="36" customWidth="1"/>
    <col min="10243" max="10243" width="4.453125" style="36" customWidth="1"/>
    <col min="10244" max="10244" width="38.453125" style="36" customWidth="1"/>
    <col min="10245" max="10246" width="0" style="36" hidden="1" customWidth="1"/>
    <col min="10247" max="10247" width="28.26953125" style="36" customWidth="1"/>
    <col min="10248" max="10248" width="19.26953125" style="36" bestFit="1" customWidth="1"/>
    <col min="10249" max="10249" width="18" style="36" bestFit="1" customWidth="1"/>
    <col min="10250" max="10250" width="16.26953125" style="36" bestFit="1" customWidth="1"/>
    <col min="10251" max="10251" width="16.54296875" style="36" bestFit="1" customWidth="1"/>
    <col min="10252" max="10252" width="16.453125" style="36" bestFit="1" customWidth="1"/>
    <col min="10253" max="10253" width="15.54296875" style="36" bestFit="1" customWidth="1"/>
    <col min="10254" max="10254" width="14.7265625" style="36" bestFit="1" customWidth="1"/>
    <col min="10255" max="10255" width="16" style="36" bestFit="1" customWidth="1"/>
    <col min="10256" max="10256" width="14.7265625" style="36" bestFit="1" customWidth="1"/>
    <col min="10257" max="10257" width="16" style="36" bestFit="1" customWidth="1"/>
    <col min="10258" max="10258" width="12.7265625" style="36" bestFit="1" customWidth="1"/>
    <col min="10259" max="10259" width="14.7265625" style="36" bestFit="1" customWidth="1"/>
    <col min="10260" max="10497" width="9.26953125" style="36"/>
    <col min="10498" max="10498" width="6.26953125" style="36" customWidth="1"/>
    <col min="10499" max="10499" width="4.453125" style="36" customWidth="1"/>
    <col min="10500" max="10500" width="38.453125" style="36" customWidth="1"/>
    <col min="10501" max="10502" width="0" style="36" hidden="1" customWidth="1"/>
    <col min="10503" max="10503" width="28.26953125" style="36" customWidth="1"/>
    <col min="10504" max="10504" width="19.26953125" style="36" bestFit="1" customWidth="1"/>
    <col min="10505" max="10505" width="18" style="36" bestFit="1" customWidth="1"/>
    <col min="10506" max="10506" width="16.26953125" style="36" bestFit="1" customWidth="1"/>
    <col min="10507" max="10507" width="16.54296875" style="36" bestFit="1" customWidth="1"/>
    <col min="10508" max="10508" width="16.453125" style="36" bestFit="1" customWidth="1"/>
    <col min="10509" max="10509" width="15.54296875" style="36" bestFit="1" customWidth="1"/>
    <col min="10510" max="10510" width="14.7265625" style="36" bestFit="1" customWidth="1"/>
    <col min="10511" max="10511" width="16" style="36" bestFit="1" customWidth="1"/>
    <col min="10512" max="10512" width="14.7265625" style="36" bestFit="1" customWidth="1"/>
    <col min="10513" max="10513" width="16" style="36" bestFit="1" customWidth="1"/>
    <col min="10514" max="10514" width="12.7265625" style="36" bestFit="1" customWidth="1"/>
    <col min="10515" max="10515" width="14.7265625" style="36" bestFit="1" customWidth="1"/>
    <col min="10516" max="10753" width="9.26953125" style="36"/>
    <col min="10754" max="10754" width="6.26953125" style="36" customWidth="1"/>
    <col min="10755" max="10755" width="4.453125" style="36" customWidth="1"/>
    <col min="10756" max="10756" width="38.453125" style="36" customWidth="1"/>
    <col min="10757" max="10758" width="0" style="36" hidden="1" customWidth="1"/>
    <col min="10759" max="10759" width="28.26953125" style="36" customWidth="1"/>
    <col min="10760" max="10760" width="19.26953125" style="36" bestFit="1" customWidth="1"/>
    <col min="10761" max="10761" width="18" style="36" bestFit="1" customWidth="1"/>
    <col min="10762" max="10762" width="16.26953125" style="36" bestFit="1" customWidth="1"/>
    <col min="10763" max="10763" width="16.54296875" style="36" bestFit="1" customWidth="1"/>
    <col min="10764" max="10764" width="16.453125" style="36" bestFit="1" customWidth="1"/>
    <col min="10765" max="10765" width="15.54296875" style="36" bestFit="1" customWidth="1"/>
    <col min="10766" max="10766" width="14.7265625" style="36" bestFit="1" customWidth="1"/>
    <col min="10767" max="10767" width="16" style="36" bestFit="1" customWidth="1"/>
    <col min="10768" max="10768" width="14.7265625" style="36" bestFit="1" customWidth="1"/>
    <col min="10769" max="10769" width="16" style="36" bestFit="1" customWidth="1"/>
    <col min="10770" max="10770" width="12.7265625" style="36" bestFit="1" customWidth="1"/>
    <col min="10771" max="10771" width="14.7265625" style="36" bestFit="1" customWidth="1"/>
    <col min="10772" max="11009" width="9.26953125" style="36"/>
    <col min="11010" max="11010" width="6.26953125" style="36" customWidth="1"/>
    <col min="11011" max="11011" width="4.453125" style="36" customWidth="1"/>
    <col min="11012" max="11012" width="38.453125" style="36" customWidth="1"/>
    <col min="11013" max="11014" width="0" style="36" hidden="1" customWidth="1"/>
    <col min="11015" max="11015" width="28.26953125" style="36" customWidth="1"/>
    <col min="11016" max="11016" width="19.26953125" style="36" bestFit="1" customWidth="1"/>
    <col min="11017" max="11017" width="18" style="36" bestFit="1" customWidth="1"/>
    <col min="11018" max="11018" width="16.26953125" style="36" bestFit="1" customWidth="1"/>
    <col min="11019" max="11019" width="16.54296875" style="36" bestFit="1" customWidth="1"/>
    <col min="11020" max="11020" width="16.453125" style="36" bestFit="1" customWidth="1"/>
    <col min="11021" max="11021" width="15.54296875" style="36" bestFit="1" customWidth="1"/>
    <col min="11022" max="11022" width="14.7265625" style="36" bestFit="1" customWidth="1"/>
    <col min="11023" max="11023" width="16" style="36" bestFit="1" customWidth="1"/>
    <col min="11024" max="11024" width="14.7265625" style="36" bestFit="1" customWidth="1"/>
    <col min="11025" max="11025" width="16" style="36" bestFit="1" customWidth="1"/>
    <col min="11026" max="11026" width="12.7265625" style="36" bestFit="1" customWidth="1"/>
    <col min="11027" max="11027" width="14.7265625" style="36" bestFit="1" customWidth="1"/>
    <col min="11028" max="11265" width="9.26953125" style="36"/>
    <col min="11266" max="11266" width="6.26953125" style="36" customWidth="1"/>
    <col min="11267" max="11267" width="4.453125" style="36" customWidth="1"/>
    <col min="11268" max="11268" width="38.453125" style="36" customWidth="1"/>
    <col min="11269" max="11270" width="0" style="36" hidden="1" customWidth="1"/>
    <col min="11271" max="11271" width="28.26953125" style="36" customWidth="1"/>
    <col min="11272" max="11272" width="19.26953125" style="36" bestFit="1" customWidth="1"/>
    <col min="11273" max="11273" width="18" style="36" bestFit="1" customWidth="1"/>
    <col min="11274" max="11274" width="16.26953125" style="36" bestFit="1" customWidth="1"/>
    <col min="11275" max="11275" width="16.54296875" style="36" bestFit="1" customWidth="1"/>
    <col min="11276" max="11276" width="16.453125" style="36" bestFit="1" customWidth="1"/>
    <col min="11277" max="11277" width="15.54296875" style="36" bestFit="1" customWidth="1"/>
    <col min="11278" max="11278" width="14.7265625" style="36" bestFit="1" customWidth="1"/>
    <col min="11279" max="11279" width="16" style="36" bestFit="1" customWidth="1"/>
    <col min="11280" max="11280" width="14.7265625" style="36" bestFit="1" customWidth="1"/>
    <col min="11281" max="11281" width="16" style="36" bestFit="1" customWidth="1"/>
    <col min="11282" max="11282" width="12.7265625" style="36" bestFit="1" customWidth="1"/>
    <col min="11283" max="11283" width="14.7265625" style="36" bestFit="1" customWidth="1"/>
    <col min="11284" max="11521" width="9.26953125" style="36"/>
    <col min="11522" max="11522" width="6.26953125" style="36" customWidth="1"/>
    <col min="11523" max="11523" width="4.453125" style="36" customWidth="1"/>
    <col min="11524" max="11524" width="38.453125" style="36" customWidth="1"/>
    <col min="11525" max="11526" width="0" style="36" hidden="1" customWidth="1"/>
    <col min="11527" max="11527" width="28.26953125" style="36" customWidth="1"/>
    <col min="11528" max="11528" width="19.26953125" style="36" bestFit="1" customWidth="1"/>
    <col min="11529" max="11529" width="18" style="36" bestFit="1" customWidth="1"/>
    <col min="11530" max="11530" width="16.26953125" style="36" bestFit="1" customWidth="1"/>
    <col min="11531" max="11531" width="16.54296875" style="36" bestFit="1" customWidth="1"/>
    <col min="11532" max="11532" width="16.453125" style="36" bestFit="1" customWidth="1"/>
    <col min="11533" max="11533" width="15.54296875" style="36" bestFit="1" customWidth="1"/>
    <col min="11534" max="11534" width="14.7265625" style="36" bestFit="1" customWidth="1"/>
    <col min="11535" max="11535" width="16" style="36" bestFit="1" customWidth="1"/>
    <col min="11536" max="11536" width="14.7265625" style="36" bestFit="1" customWidth="1"/>
    <col min="11537" max="11537" width="16" style="36" bestFit="1" customWidth="1"/>
    <col min="11538" max="11538" width="12.7265625" style="36" bestFit="1" customWidth="1"/>
    <col min="11539" max="11539" width="14.7265625" style="36" bestFit="1" customWidth="1"/>
    <col min="11540" max="11777" width="9.26953125" style="36"/>
    <col min="11778" max="11778" width="6.26953125" style="36" customWidth="1"/>
    <col min="11779" max="11779" width="4.453125" style="36" customWidth="1"/>
    <col min="11780" max="11780" width="38.453125" style="36" customWidth="1"/>
    <col min="11781" max="11782" width="0" style="36" hidden="1" customWidth="1"/>
    <col min="11783" max="11783" width="28.26953125" style="36" customWidth="1"/>
    <col min="11784" max="11784" width="19.26953125" style="36" bestFit="1" customWidth="1"/>
    <col min="11785" max="11785" width="18" style="36" bestFit="1" customWidth="1"/>
    <col min="11786" max="11786" width="16.26953125" style="36" bestFit="1" customWidth="1"/>
    <col min="11787" max="11787" width="16.54296875" style="36" bestFit="1" customWidth="1"/>
    <col min="11788" max="11788" width="16.453125" style="36" bestFit="1" customWidth="1"/>
    <col min="11789" max="11789" width="15.54296875" style="36" bestFit="1" customWidth="1"/>
    <col min="11790" max="11790" width="14.7265625" style="36" bestFit="1" customWidth="1"/>
    <col min="11791" max="11791" width="16" style="36" bestFit="1" customWidth="1"/>
    <col min="11792" max="11792" width="14.7265625" style="36" bestFit="1" customWidth="1"/>
    <col min="11793" max="11793" width="16" style="36" bestFit="1" customWidth="1"/>
    <col min="11794" max="11794" width="12.7265625" style="36" bestFit="1" customWidth="1"/>
    <col min="11795" max="11795" width="14.7265625" style="36" bestFit="1" customWidth="1"/>
    <col min="11796" max="12033" width="9.26953125" style="36"/>
    <col min="12034" max="12034" width="6.26953125" style="36" customWidth="1"/>
    <col min="12035" max="12035" width="4.453125" style="36" customWidth="1"/>
    <col min="12036" max="12036" width="38.453125" style="36" customWidth="1"/>
    <col min="12037" max="12038" width="0" style="36" hidden="1" customWidth="1"/>
    <col min="12039" max="12039" width="28.26953125" style="36" customWidth="1"/>
    <col min="12040" max="12040" width="19.26953125" style="36" bestFit="1" customWidth="1"/>
    <col min="12041" max="12041" width="18" style="36" bestFit="1" customWidth="1"/>
    <col min="12042" max="12042" width="16.26953125" style="36" bestFit="1" customWidth="1"/>
    <col min="12043" max="12043" width="16.54296875" style="36" bestFit="1" customWidth="1"/>
    <col min="12044" max="12044" width="16.453125" style="36" bestFit="1" customWidth="1"/>
    <col min="12045" max="12045" width="15.54296875" style="36" bestFit="1" customWidth="1"/>
    <col min="12046" max="12046" width="14.7265625" style="36" bestFit="1" customWidth="1"/>
    <col min="12047" max="12047" width="16" style="36" bestFit="1" customWidth="1"/>
    <col min="12048" max="12048" width="14.7265625" style="36" bestFit="1" customWidth="1"/>
    <col min="12049" max="12049" width="16" style="36" bestFit="1" customWidth="1"/>
    <col min="12050" max="12050" width="12.7265625" style="36" bestFit="1" customWidth="1"/>
    <col min="12051" max="12051" width="14.7265625" style="36" bestFit="1" customWidth="1"/>
    <col min="12052" max="12289" width="9.26953125" style="36"/>
    <col min="12290" max="12290" width="6.26953125" style="36" customWidth="1"/>
    <col min="12291" max="12291" width="4.453125" style="36" customWidth="1"/>
    <col min="12292" max="12292" width="38.453125" style="36" customWidth="1"/>
    <col min="12293" max="12294" width="0" style="36" hidden="1" customWidth="1"/>
    <col min="12295" max="12295" width="28.26953125" style="36" customWidth="1"/>
    <col min="12296" max="12296" width="19.26953125" style="36" bestFit="1" customWidth="1"/>
    <col min="12297" max="12297" width="18" style="36" bestFit="1" customWidth="1"/>
    <col min="12298" max="12298" width="16.26953125" style="36" bestFit="1" customWidth="1"/>
    <col min="12299" max="12299" width="16.54296875" style="36" bestFit="1" customWidth="1"/>
    <col min="12300" max="12300" width="16.453125" style="36" bestFit="1" customWidth="1"/>
    <col min="12301" max="12301" width="15.54296875" style="36" bestFit="1" customWidth="1"/>
    <col min="12302" max="12302" width="14.7265625" style="36" bestFit="1" customWidth="1"/>
    <col min="12303" max="12303" width="16" style="36" bestFit="1" customWidth="1"/>
    <col min="12304" max="12304" width="14.7265625" style="36" bestFit="1" customWidth="1"/>
    <col min="12305" max="12305" width="16" style="36" bestFit="1" customWidth="1"/>
    <col min="12306" max="12306" width="12.7265625" style="36" bestFit="1" customWidth="1"/>
    <col min="12307" max="12307" width="14.7265625" style="36" bestFit="1" customWidth="1"/>
    <col min="12308" max="12545" width="9.26953125" style="36"/>
    <col min="12546" max="12546" width="6.26953125" style="36" customWidth="1"/>
    <col min="12547" max="12547" width="4.453125" style="36" customWidth="1"/>
    <col min="12548" max="12548" width="38.453125" style="36" customWidth="1"/>
    <col min="12549" max="12550" width="0" style="36" hidden="1" customWidth="1"/>
    <col min="12551" max="12551" width="28.26953125" style="36" customWidth="1"/>
    <col min="12552" max="12552" width="19.26953125" style="36" bestFit="1" customWidth="1"/>
    <col min="12553" max="12553" width="18" style="36" bestFit="1" customWidth="1"/>
    <col min="12554" max="12554" width="16.26953125" style="36" bestFit="1" customWidth="1"/>
    <col min="12555" max="12555" width="16.54296875" style="36" bestFit="1" customWidth="1"/>
    <col min="12556" max="12556" width="16.453125" style="36" bestFit="1" customWidth="1"/>
    <col min="12557" max="12557" width="15.54296875" style="36" bestFit="1" customWidth="1"/>
    <col min="12558" max="12558" width="14.7265625" style="36" bestFit="1" customWidth="1"/>
    <col min="12559" max="12559" width="16" style="36" bestFit="1" customWidth="1"/>
    <col min="12560" max="12560" width="14.7265625" style="36" bestFit="1" customWidth="1"/>
    <col min="12561" max="12561" width="16" style="36" bestFit="1" customWidth="1"/>
    <col min="12562" max="12562" width="12.7265625" style="36" bestFit="1" customWidth="1"/>
    <col min="12563" max="12563" width="14.7265625" style="36" bestFit="1" customWidth="1"/>
    <col min="12564" max="12801" width="9.26953125" style="36"/>
    <col min="12802" max="12802" width="6.26953125" style="36" customWidth="1"/>
    <col min="12803" max="12803" width="4.453125" style="36" customWidth="1"/>
    <col min="12804" max="12804" width="38.453125" style="36" customWidth="1"/>
    <col min="12805" max="12806" width="0" style="36" hidden="1" customWidth="1"/>
    <col min="12807" max="12807" width="28.26953125" style="36" customWidth="1"/>
    <col min="12808" max="12808" width="19.26953125" style="36" bestFit="1" customWidth="1"/>
    <col min="12809" max="12809" width="18" style="36" bestFit="1" customWidth="1"/>
    <col min="12810" max="12810" width="16.26953125" style="36" bestFit="1" customWidth="1"/>
    <col min="12811" max="12811" width="16.54296875" style="36" bestFit="1" customWidth="1"/>
    <col min="12812" max="12812" width="16.453125" style="36" bestFit="1" customWidth="1"/>
    <col min="12813" max="12813" width="15.54296875" style="36" bestFit="1" customWidth="1"/>
    <col min="12814" max="12814" width="14.7265625" style="36" bestFit="1" customWidth="1"/>
    <col min="12815" max="12815" width="16" style="36" bestFit="1" customWidth="1"/>
    <col min="12816" max="12816" width="14.7265625" style="36" bestFit="1" customWidth="1"/>
    <col min="12817" max="12817" width="16" style="36" bestFit="1" customWidth="1"/>
    <col min="12818" max="12818" width="12.7265625" style="36" bestFit="1" customWidth="1"/>
    <col min="12819" max="12819" width="14.7265625" style="36" bestFit="1" customWidth="1"/>
    <col min="12820" max="13057" width="9.26953125" style="36"/>
    <col min="13058" max="13058" width="6.26953125" style="36" customWidth="1"/>
    <col min="13059" max="13059" width="4.453125" style="36" customWidth="1"/>
    <col min="13060" max="13060" width="38.453125" style="36" customWidth="1"/>
    <col min="13061" max="13062" width="0" style="36" hidden="1" customWidth="1"/>
    <col min="13063" max="13063" width="28.26953125" style="36" customWidth="1"/>
    <col min="13064" max="13064" width="19.26953125" style="36" bestFit="1" customWidth="1"/>
    <col min="13065" max="13065" width="18" style="36" bestFit="1" customWidth="1"/>
    <col min="13066" max="13066" width="16.26953125" style="36" bestFit="1" customWidth="1"/>
    <col min="13067" max="13067" width="16.54296875" style="36" bestFit="1" customWidth="1"/>
    <col min="13068" max="13068" width="16.453125" style="36" bestFit="1" customWidth="1"/>
    <col min="13069" max="13069" width="15.54296875" style="36" bestFit="1" customWidth="1"/>
    <col min="13070" max="13070" width="14.7265625" style="36" bestFit="1" customWidth="1"/>
    <col min="13071" max="13071" width="16" style="36" bestFit="1" customWidth="1"/>
    <col min="13072" max="13072" width="14.7265625" style="36" bestFit="1" customWidth="1"/>
    <col min="13073" max="13073" width="16" style="36" bestFit="1" customWidth="1"/>
    <col min="13074" max="13074" width="12.7265625" style="36" bestFit="1" customWidth="1"/>
    <col min="13075" max="13075" width="14.7265625" style="36" bestFit="1" customWidth="1"/>
    <col min="13076" max="13313" width="9.26953125" style="36"/>
    <col min="13314" max="13314" width="6.26953125" style="36" customWidth="1"/>
    <col min="13315" max="13315" width="4.453125" style="36" customWidth="1"/>
    <col min="13316" max="13316" width="38.453125" style="36" customWidth="1"/>
    <col min="13317" max="13318" width="0" style="36" hidden="1" customWidth="1"/>
    <col min="13319" max="13319" width="28.26953125" style="36" customWidth="1"/>
    <col min="13320" max="13320" width="19.26953125" style="36" bestFit="1" customWidth="1"/>
    <col min="13321" max="13321" width="18" style="36" bestFit="1" customWidth="1"/>
    <col min="13322" max="13322" width="16.26953125" style="36" bestFit="1" customWidth="1"/>
    <col min="13323" max="13323" width="16.54296875" style="36" bestFit="1" customWidth="1"/>
    <col min="13324" max="13324" width="16.453125" style="36" bestFit="1" customWidth="1"/>
    <col min="13325" max="13325" width="15.54296875" style="36" bestFit="1" customWidth="1"/>
    <col min="13326" max="13326" width="14.7265625" style="36" bestFit="1" customWidth="1"/>
    <col min="13327" max="13327" width="16" style="36" bestFit="1" customWidth="1"/>
    <col min="13328" max="13328" width="14.7265625" style="36" bestFit="1" customWidth="1"/>
    <col min="13329" max="13329" width="16" style="36" bestFit="1" customWidth="1"/>
    <col min="13330" max="13330" width="12.7265625" style="36" bestFit="1" customWidth="1"/>
    <col min="13331" max="13331" width="14.7265625" style="36" bestFit="1" customWidth="1"/>
    <col min="13332" max="13569" width="9.26953125" style="36"/>
    <col min="13570" max="13570" width="6.26953125" style="36" customWidth="1"/>
    <col min="13571" max="13571" width="4.453125" style="36" customWidth="1"/>
    <col min="13572" max="13572" width="38.453125" style="36" customWidth="1"/>
    <col min="13573" max="13574" width="0" style="36" hidden="1" customWidth="1"/>
    <col min="13575" max="13575" width="28.26953125" style="36" customWidth="1"/>
    <col min="13576" max="13576" width="19.26953125" style="36" bestFit="1" customWidth="1"/>
    <col min="13577" max="13577" width="18" style="36" bestFit="1" customWidth="1"/>
    <col min="13578" max="13578" width="16.26953125" style="36" bestFit="1" customWidth="1"/>
    <col min="13579" max="13579" width="16.54296875" style="36" bestFit="1" customWidth="1"/>
    <col min="13580" max="13580" width="16.453125" style="36" bestFit="1" customWidth="1"/>
    <col min="13581" max="13581" width="15.54296875" style="36" bestFit="1" customWidth="1"/>
    <col min="13582" max="13582" width="14.7265625" style="36" bestFit="1" customWidth="1"/>
    <col min="13583" max="13583" width="16" style="36" bestFit="1" customWidth="1"/>
    <col min="13584" max="13584" width="14.7265625" style="36" bestFit="1" customWidth="1"/>
    <col min="13585" max="13585" width="16" style="36" bestFit="1" customWidth="1"/>
    <col min="13586" max="13586" width="12.7265625" style="36" bestFit="1" customWidth="1"/>
    <col min="13587" max="13587" width="14.7265625" style="36" bestFit="1" customWidth="1"/>
    <col min="13588" max="13825" width="9.26953125" style="36"/>
    <col min="13826" max="13826" width="6.26953125" style="36" customWidth="1"/>
    <col min="13827" max="13827" width="4.453125" style="36" customWidth="1"/>
    <col min="13828" max="13828" width="38.453125" style="36" customWidth="1"/>
    <col min="13829" max="13830" width="0" style="36" hidden="1" customWidth="1"/>
    <col min="13831" max="13831" width="28.26953125" style="36" customWidth="1"/>
    <col min="13832" max="13832" width="19.26953125" style="36" bestFit="1" customWidth="1"/>
    <col min="13833" max="13833" width="18" style="36" bestFit="1" customWidth="1"/>
    <col min="13834" max="13834" width="16.26953125" style="36" bestFit="1" customWidth="1"/>
    <col min="13835" max="13835" width="16.54296875" style="36" bestFit="1" customWidth="1"/>
    <col min="13836" max="13836" width="16.453125" style="36" bestFit="1" customWidth="1"/>
    <col min="13837" max="13837" width="15.54296875" style="36" bestFit="1" customWidth="1"/>
    <col min="13838" max="13838" width="14.7265625" style="36" bestFit="1" customWidth="1"/>
    <col min="13839" max="13839" width="16" style="36" bestFit="1" customWidth="1"/>
    <col min="13840" max="13840" width="14.7265625" style="36" bestFit="1" customWidth="1"/>
    <col min="13841" max="13841" width="16" style="36" bestFit="1" customWidth="1"/>
    <col min="13842" max="13842" width="12.7265625" style="36" bestFit="1" customWidth="1"/>
    <col min="13843" max="13843" width="14.7265625" style="36" bestFit="1" customWidth="1"/>
    <col min="13844" max="14081" width="9.26953125" style="36"/>
    <col min="14082" max="14082" width="6.26953125" style="36" customWidth="1"/>
    <col min="14083" max="14083" width="4.453125" style="36" customWidth="1"/>
    <col min="14084" max="14084" width="38.453125" style="36" customWidth="1"/>
    <col min="14085" max="14086" width="0" style="36" hidden="1" customWidth="1"/>
    <col min="14087" max="14087" width="28.26953125" style="36" customWidth="1"/>
    <col min="14088" max="14088" width="19.26953125" style="36" bestFit="1" customWidth="1"/>
    <col min="14089" max="14089" width="18" style="36" bestFit="1" customWidth="1"/>
    <col min="14090" max="14090" width="16.26953125" style="36" bestFit="1" customWidth="1"/>
    <col min="14091" max="14091" width="16.54296875" style="36" bestFit="1" customWidth="1"/>
    <col min="14092" max="14092" width="16.453125" style="36" bestFit="1" customWidth="1"/>
    <col min="14093" max="14093" width="15.54296875" style="36" bestFit="1" customWidth="1"/>
    <col min="14094" max="14094" width="14.7265625" style="36" bestFit="1" customWidth="1"/>
    <col min="14095" max="14095" width="16" style="36" bestFit="1" customWidth="1"/>
    <col min="14096" max="14096" width="14.7265625" style="36" bestFit="1" customWidth="1"/>
    <col min="14097" max="14097" width="16" style="36" bestFit="1" customWidth="1"/>
    <col min="14098" max="14098" width="12.7265625" style="36" bestFit="1" customWidth="1"/>
    <col min="14099" max="14099" width="14.7265625" style="36" bestFit="1" customWidth="1"/>
    <col min="14100" max="14337" width="9.26953125" style="36"/>
    <col min="14338" max="14338" width="6.26953125" style="36" customWidth="1"/>
    <col min="14339" max="14339" width="4.453125" style="36" customWidth="1"/>
    <col min="14340" max="14340" width="38.453125" style="36" customWidth="1"/>
    <col min="14341" max="14342" width="0" style="36" hidden="1" customWidth="1"/>
    <col min="14343" max="14343" width="28.26953125" style="36" customWidth="1"/>
    <col min="14344" max="14344" width="19.26953125" style="36" bestFit="1" customWidth="1"/>
    <col min="14345" max="14345" width="18" style="36" bestFit="1" customWidth="1"/>
    <col min="14346" max="14346" width="16.26953125" style="36" bestFit="1" customWidth="1"/>
    <col min="14347" max="14347" width="16.54296875" style="36" bestFit="1" customWidth="1"/>
    <col min="14348" max="14348" width="16.453125" style="36" bestFit="1" customWidth="1"/>
    <col min="14349" max="14349" width="15.54296875" style="36" bestFit="1" customWidth="1"/>
    <col min="14350" max="14350" width="14.7265625" style="36" bestFit="1" customWidth="1"/>
    <col min="14351" max="14351" width="16" style="36" bestFit="1" customWidth="1"/>
    <col min="14352" max="14352" width="14.7265625" style="36" bestFit="1" customWidth="1"/>
    <col min="14353" max="14353" width="16" style="36" bestFit="1" customWidth="1"/>
    <col min="14354" max="14354" width="12.7265625" style="36" bestFit="1" customWidth="1"/>
    <col min="14355" max="14355" width="14.7265625" style="36" bestFit="1" customWidth="1"/>
    <col min="14356" max="14593" width="9.26953125" style="36"/>
    <col min="14594" max="14594" width="6.26953125" style="36" customWidth="1"/>
    <col min="14595" max="14595" width="4.453125" style="36" customWidth="1"/>
    <col min="14596" max="14596" width="38.453125" style="36" customWidth="1"/>
    <col min="14597" max="14598" width="0" style="36" hidden="1" customWidth="1"/>
    <col min="14599" max="14599" width="28.26953125" style="36" customWidth="1"/>
    <col min="14600" max="14600" width="19.26953125" style="36" bestFit="1" customWidth="1"/>
    <col min="14601" max="14601" width="18" style="36" bestFit="1" customWidth="1"/>
    <col min="14602" max="14602" width="16.26953125" style="36" bestFit="1" customWidth="1"/>
    <col min="14603" max="14603" width="16.54296875" style="36" bestFit="1" customWidth="1"/>
    <col min="14604" max="14604" width="16.453125" style="36" bestFit="1" customWidth="1"/>
    <col min="14605" max="14605" width="15.54296875" style="36" bestFit="1" customWidth="1"/>
    <col min="14606" max="14606" width="14.7265625" style="36" bestFit="1" customWidth="1"/>
    <col min="14607" max="14607" width="16" style="36" bestFit="1" customWidth="1"/>
    <col min="14608" max="14608" width="14.7265625" style="36" bestFit="1" customWidth="1"/>
    <col min="14609" max="14609" width="16" style="36" bestFit="1" customWidth="1"/>
    <col min="14610" max="14610" width="12.7265625" style="36" bestFit="1" customWidth="1"/>
    <col min="14611" max="14611" width="14.7265625" style="36" bestFit="1" customWidth="1"/>
    <col min="14612" max="14849" width="9.26953125" style="36"/>
    <col min="14850" max="14850" width="6.26953125" style="36" customWidth="1"/>
    <col min="14851" max="14851" width="4.453125" style="36" customWidth="1"/>
    <col min="14852" max="14852" width="38.453125" style="36" customWidth="1"/>
    <col min="14853" max="14854" width="0" style="36" hidden="1" customWidth="1"/>
    <col min="14855" max="14855" width="28.26953125" style="36" customWidth="1"/>
    <col min="14856" max="14856" width="19.26953125" style="36" bestFit="1" customWidth="1"/>
    <col min="14857" max="14857" width="18" style="36" bestFit="1" customWidth="1"/>
    <col min="14858" max="14858" width="16.26953125" style="36" bestFit="1" customWidth="1"/>
    <col min="14859" max="14859" width="16.54296875" style="36" bestFit="1" customWidth="1"/>
    <col min="14860" max="14860" width="16.453125" style="36" bestFit="1" customWidth="1"/>
    <col min="14861" max="14861" width="15.54296875" style="36" bestFit="1" customWidth="1"/>
    <col min="14862" max="14862" width="14.7265625" style="36" bestFit="1" customWidth="1"/>
    <col min="14863" max="14863" width="16" style="36" bestFit="1" customWidth="1"/>
    <col min="14864" max="14864" width="14.7265625" style="36" bestFit="1" customWidth="1"/>
    <col min="14865" max="14865" width="16" style="36" bestFit="1" customWidth="1"/>
    <col min="14866" max="14866" width="12.7265625" style="36" bestFit="1" customWidth="1"/>
    <col min="14867" max="14867" width="14.7265625" style="36" bestFit="1" customWidth="1"/>
    <col min="14868" max="15105" width="9.26953125" style="36"/>
    <col min="15106" max="15106" width="6.26953125" style="36" customWidth="1"/>
    <col min="15107" max="15107" width="4.453125" style="36" customWidth="1"/>
    <col min="15108" max="15108" width="38.453125" style="36" customWidth="1"/>
    <col min="15109" max="15110" width="0" style="36" hidden="1" customWidth="1"/>
    <col min="15111" max="15111" width="28.26953125" style="36" customWidth="1"/>
    <col min="15112" max="15112" width="19.26953125" style="36" bestFit="1" customWidth="1"/>
    <col min="15113" max="15113" width="18" style="36" bestFit="1" customWidth="1"/>
    <col min="15114" max="15114" width="16.26953125" style="36" bestFit="1" customWidth="1"/>
    <col min="15115" max="15115" width="16.54296875" style="36" bestFit="1" customWidth="1"/>
    <col min="15116" max="15116" width="16.453125" style="36" bestFit="1" customWidth="1"/>
    <col min="15117" max="15117" width="15.54296875" style="36" bestFit="1" customWidth="1"/>
    <col min="15118" max="15118" width="14.7265625" style="36" bestFit="1" customWidth="1"/>
    <col min="15119" max="15119" width="16" style="36" bestFit="1" customWidth="1"/>
    <col min="15120" max="15120" width="14.7265625" style="36" bestFit="1" customWidth="1"/>
    <col min="15121" max="15121" width="16" style="36" bestFit="1" customWidth="1"/>
    <col min="15122" max="15122" width="12.7265625" style="36" bestFit="1" customWidth="1"/>
    <col min="15123" max="15123" width="14.7265625" style="36" bestFit="1" customWidth="1"/>
    <col min="15124" max="15361" width="9.26953125" style="36"/>
    <col min="15362" max="15362" width="6.26953125" style="36" customWidth="1"/>
    <col min="15363" max="15363" width="4.453125" style="36" customWidth="1"/>
    <col min="15364" max="15364" width="38.453125" style="36" customWidth="1"/>
    <col min="15365" max="15366" width="0" style="36" hidden="1" customWidth="1"/>
    <col min="15367" max="15367" width="28.26953125" style="36" customWidth="1"/>
    <col min="15368" max="15368" width="19.26953125" style="36" bestFit="1" customWidth="1"/>
    <col min="15369" max="15369" width="18" style="36" bestFit="1" customWidth="1"/>
    <col min="15370" max="15370" width="16.26953125" style="36" bestFit="1" customWidth="1"/>
    <col min="15371" max="15371" width="16.54296875" style="36" bestFit="1" customWidth="1"/>
    <col min="15372" max="15372" width="16.453125" style="36" bestFit="1" customWidth="1"/>
    <col min="15373" max="15373" width="15.54296875" style="36" bestFit="1" customWidth="1"/>
    <col min="15374" max="15374" width="14.7265625" style="36" bestFit="1" customWidth="1"/>
    <col min="15375" max="15375" width="16" style="36" bestFit="1" customWidth="1"/>
    <col min="15376" max="15376" width="14.7265625" style="36" bestFit="1" customWidth="1"/>
    <col min="15377" max="15377" width="16" style="36" bestFit="1" customWidth="1"/>
    <col min="15378" max="15378" width="12.7265625" style="36" bestFit="1" customWidth="1"/>
    <col min="15379" max="15379" width="14.7265625" style="36" bestFit="1" customWidth="1"/>
    <col min="15380" max="15617" width="9.26953125" style="36"/>
    <col min="15618" max="15618" width="6.26953125" style="36" customWidth="1"/>
    <col min="15619" max="15619" width="4.453125" style="36" customWidth="1"/>
    <col min="15620" max="15620" width="38.453125" style="36" customWidth="1"/>
    <col min="15621" max="15622" width="0" style="36" hidden="1" customWidth="1"/>
    <col min="15623" max="15623" width="28.26953125" style="36" customWidth="1"/>
    <col min="15624" max="15624" width="19.26953125" style="36" bestFit="1" customWidth="1"/>
    <col min="15625" max="15625" width="18" style="36" bestFit="1" customWidth="1"/>
    <col min="15626" max="15626" width="16.26953125" style="36" bestFit="1" customWidth="1"/>
    <col min="15627" max="15627" width="16.54296875" style="36" bestFit="1" customWidth="1"/>
    <col min="15628" max="15628" width="16.453125" style="36" bestFit="1" customWidth="1"/>
    <col min="15629" max="15629" width="15.54296875" style="36" bestFit="1" customWidth="1"/>
    <col min="15630" max="15630" width="14.7265625" style="36" bestFit="1" customWidth="1"/>
    <col min="15631" max="15631" width="16" style="36" bestFit="1" customWidth="1"/>
    <col min="15632" max="15632" width="14.7265625" style="36" bestFit="1" customWidth="1"/>
    <col min="15633" max="15633" width="16" style="36" bestFit="1" customWidth="1"/>
    <col min="15634" max="15634" width="12.7265625" style="36" bestFit="1" customWidth="1"/>
    <col min="15635" max="15635" width="14.7265625" style="36" bestFit="1" customWidth="1"/>
    <col min="15636" max="15873" width="9.26953125" style="36"/>
    <col min="15874" max="15874" width="6.26953125" style="36" customWidth="1"/>
    <col min="15875" max="15875" width="4.453125" style="36" customWidth="1"/>
    <col min="15876" max="15876" width="38.453125" style="36" customWidth="1"/>
    <col min="15877" max="15878" width="0" style="36" hidden="1" customWidth="1"/>
    <col min="15879" max="15879" width="28.26953125" style="36" customWidth="1"/>
    <col min="15880" max="15880" width="19.26953125" style="36" bestFit="1" customWidth="1"/>
    <col min="15881" max="15881" width="18" style="36" bestFit="1" customWidth="1"/>
    <col min="15882" max="15882" width="16.26953125" style="36" bestFit="1" customWidth="1"/>
    <col min="15883" max="15883" width="16.54296875" style="36" bestFit="1" customWidth="1"/>
    <col min="15884" max="15884" width="16.453125" style="36" bestFit="1" customWidth="1"/>
    <col min="15885" max="15885" width="15.54296875" style="36" bestFit="1" customWidth="1"/>
    <col min="15886" max="15886" width="14.7265625" style="36" bestFit="1" customWidth="1"/>
    <col min="15887" max="15887" width="16" style="36" bestFit="1" customWidth="1"/>
    <col min="15888" max="15888" width="14.7265625" style="36" bestFit="1" customWidth="1"/>
    <col min="15889" max="15889" width="16" style="36" bestFit="1" customWidth="1"/>
    <col min="15890" max="15890" width="12.7265625" style="36" bestFit="1" customWidth="1"/>
    <col min="15891" max="15891" width="14.7265625" style="36" bestFit="1" customWidth="1"/>
    <col min="15892" max="16129" width="9.26953125" style="36"/>
    <col min="16130" max="16130" width="6.26953125" style="36" customWidth="1"/>
    <col min="16131" max="16131" width="4.453125" style="36" customWidth="1"/>
    <col min="16132" max="16132" width="38.453125" style="36" customWidth="1"/>
    <col min="16133" max="16134" width="0" style="36" hidden="1" customWidth="1"/>
    <col min="16135" max="16135" width="28.26953125" style="36" customWidth="1"/>
    <col min="16136" max="16136" width="19.26953125" style="36" bestFit="1" customWidth="1"/>
    <col min="16137" max="16137" width="18" style="36" bestFit="1" customWidth="1"/>
    <col min="16138" max="16138" width="16.26953125" style="36" bestFit="1" customWidth="1"/>
    <col min="16139" max="16139" width="16.54296875" style="36" bestFit="1" customWidth="1"/>
    <col min="16140" max="16140" width="16.453125" style="36" bestFit="1" customWidth="1"/>
    <col min="16141" max="16141" width="15.54296875" style="36" bestFit="1" customWidth="1"/>
    <col min="16142" max="16142" width="14.7265625" style="36" bestFit="1" customWidth="1"/>
    <col min="16143" max="16143" width="16" style="36" bestFit="1" customWidth="1"/>
    <col min="16144" max="16144" width="14.7265625" style="36" bestFit="1" customWidth="1"/>
    <col min="16145" max="16145" width="16" style="36" bestFit="1" customWidth="1"/>
    <col min="16146" max="16146" width="12.7265625" style="36" bestFit="1" customWidth="1"/>
    <col min="16147" max="16147" width="14.7265625" style="36" bestFit="1" customWidth="1"/>
    <col min="16148" max="16384" width="9.26953125" style="36"/>
  </cols>
  <sheetData>
    <row r="1" spans="1:15" ht="20" x14ac:dyDescent="0.4">
      <c r="A1" s="1345" t="s">
        <v>885</v>
      </c>
      <c r="B1" s="1345"/>
      <c r="C1" s="1345"/>
      <c r="D1" s="1345"/>
      <c r="E1" s="1345"/>
      <c r="F1" s="1345"/>
      <c r="G1" s="1345"/>
      <c r="H1" s="1345"/>
      <c r="I1" s="1345"/>
      <c r="J1" s="1345"/>
      <c r="K1" s="1345"/>
      <c r="L1" s="1345"/>
      <c r="M1" s="1345"/>
    </row>
    <row r="3" spans="1:15" x14ac:dyDescent="0.25">
      <c r="J3" s="828"/>
    </row>
    <row r="4" spans="1:15" ht="39" x14ac:dyDescent="0.3">
      <c r="A4" s="37"/>
      <c r="B4" s="38" t="s">
        <v>181</v>
      </c>
      <c r="C4" s="39"/>
      <c r="D4" s="40"/>
      <c r="E4" s="37"/>
      <c r="F4" s="37"/>
      <c r="G4" s="41" t="s">
        <v>9</v>
      </c>
      <c r="H4" s="41" t="s">
        <v>37</v>
      </c>
      <c r="I4" s="41" t="s">
        <v>29</v>
      </c>
      <c r="J4" s="41" t="s">
        <v>30</v>
      </c>
      <c r="K4" s="41" t="s">
        <v>224</v>
      </c>
      <c r="L4" s="42" t="s">
        <v>483</v>
      </c>
      <c r="M4" s="41" t="s">
        <v>484</v>
      </c>
    </row>
    <row r="5" spans="1:15" ht="13" x14ac:dyDescent="0.3">
      <c r="A5" s="43" t="s">
        <v>184</v>
      </c>
      <c r="C5" s="44" t="s">
        <v>182</v>
      </c>
      <c r="L5" s="45"/>
    </row>
    <row r="6" spans="1:15" ht="13" x14ac:dyDescent="0.3">
      <c r="A6" s="43" t="s">
        <v>185</v>
      </c>
      <c r="C6" s="36" t="s">
        <v>183</v>
      </c>
      <c r="G6" s="1225">
        <f>SUM('#1-Meritus:#5034-Mt Washington Pediatric'!F18:F18)</f>
        <v>0</v>
      </c>
      <c r="H6" s="1225">
        <f>SUM('#1-Meritus:#5034-Mt Washington Pediatric'!G18:G18)</f>
        <v>0</v>
      </c>
      <c r="I6" s="1225">
        <f>SUM('#1-Meritus:#5034-Mt Washington Pediatric'!H18:H18)</f>
        <v>364824998.86203498</v>
      </c>
      <c r="J6" s="1225">
        <f>SUM('#1-Meritus:#5034-Mt Washington Pediatric'!I18:I18)</f>
        <v>0</v>
      </c>
      <c r="K6" s="1225">
        <f>SUM('#1-Meritus:#5034-Mt Washington Pediatric'!J18:J18)</f>
        <v>294126673.37904972</v>
      </c>
      <c r="L6" s="1225">
        <f>SUM('#1-Meritus:#5034-Mt Washington Pediatric'!K18:K18)</f>
        <v>70698325.482985213</v>
      </c>
      <c r="M6" s="84">
        <f>L6-J6</f>
        <v>70698325.482985213</v>
      </c>
      <c r="N6" s="45"/>
      <c r="O6" s="45"/>
    </row>
    <row r="7" spans="1:15" ht="39" x14ac:dyDescent="0.3">
      <c r="A7" s="37" t="s">
        <v>8</v>
      </c>
      <c r="B7" s="37"/>
      <c r="C7" s="40"/>
      <c r="D7" s="40"/>
      <c r="E7" s="40"/>
      <c r="F7" s="40"/>
      <c r="G7" s="41" t="s">
        <v>9</v>
      </c>
      <c r="H7" s="41" t="s">
        <v>37</v>
      </c>
      <c r="I7" s="41" t="s">
        <v>485</v>
      </c>
      <c r="J7" s="41" t="s">
        <v>486</v>
      </c>
      <c r="K7" s="42" t="s">
        <v>224</v>
      </c>
      <c r="L7" s="47" t="s">
        <v>483</v>
      </c>
      <c r="M7" s="41" t="s">
        <v>484</v>
      </c>
      <c r="N7" s="45"/>
      <c r="O7" s="45"/>
    </row>
    <row r="8" spans="1:15" ht="13" x14ac:dyDescent="0.3">
      <c r="A8" s="38" t="s">
        <v>74</v>
      </c>
      <c r="B8" s="44" t="s">
        <v>41</v>
      </c>
      <c r="K8" s="48"/>
      <c r="L8" s="49"/>
      <c r="N8" s="45"/>
      <c r="O8" s="45"/>
    </row>
    <row r="9" spans="1:15" ht="13" x14ac:dyDescent="0.3">
      <c r="A9" s="50" t="s">
        <v>75</v>
      </c>
      <c r="B9" s="36" t="s">
        <v>42</v>
      </c>
      <c r="G9" s="1224">
        <f>SUM('#1-Meritus:#5034-Mt Washington Pediatric'!F21:F21)</f>
        <v>245855.63118462591</v>
      </c>
      <c r="H9" s="1224">
        <f>SUM('#1-Meritus:#5034-Mt Washington Pediatric'!G21:G21)</f>
        <v>2926906.88</v>
      </c>
      <c r="I9" s="1224">
        <f>SUM('#1-Meritus:#5034-Mt Washington Pediatric'!H21:H21)</f>
        <v>16246874.882942216</v>
      </c>
      <c r="J9" s="1224">
        <f>SUM('#1-Meritus:#5034-Mt Washington Pediatric'!I21:I21)</f>
        <v>8854504.2648927886</v>
      </c>
      <c r="K9" s="1224">
        <f>SUM('#1-Meritus:#5034-Mt Washington Pediatric'!J21:J21)</f>
        <v>1601931.2355</v>
      </c>
      <c r="L9" s="1224">
        <f>SUM('#1-Meritus:#5034-Mt Washington Pediatric'!K21:K21)</f>
        <v>23499447.912335001</v>
      </c>
      <c r="M9" s="84">
        <f>L9-J9</f>
        <v>14644943.647442212</v>
      </c>
      <c r="N9" s="45"/>
      <c r="O9" s="45"/>
    </row>
    <row r="10" spans="1:15" ht="13" x14ac:dyDescent="0.3">
      <c r="A10" s="50" t="s">
        <v>76</v>
      </c>
      <c r="B10" s="36" t="s">
        <v>6</v>
      </c>
      <c r="G10" s="1224">
        <f>SUM('#1-Meritus:#5034-Mt Washington Pediatric'!F22:F22)</f>
        <v>28471.472785714286</v>
      </c>
      <c r="H10" s="1224">
        <f>SUM('#1-Meritus:#5034-Mt Washington Pediatric'!G22:G22)</f>
        <v>43316.75</v>
      </c>
      <c r="I10" s="1224">
        <f>SUM('#1-Meritus:#5034-Mt Washington Pediatric'!H22:H22)</f>
        <v>1529694.8822059147</v>
      </c>
      <c r="J10" s="1224">
        <f>SUM('#1-Meritus:#5034-Mt Washington Pediatric'!I22:I22)</f>
        <v>783188.31965522585</v>
      </c>
      <c r="K10" s="1224">
        <f>SUM('#1-Meritus:#5034-Mt Washington Pediatric'!J22:J22)</f>
        <v>328474.97224999999</v>
      </c>
      <c r="L10" s="1224">
        <f>SUM('#1-Meritus:#5034-Mt Washington Pediatric'!K22:K22)</f>
        <v>1984408.2296111397</v>
      </c>
      <c r="M10" s="84">
        <f t="shared" ref="M10:M22" si="0">L10-J10</f>
        <v>1201219.9099559139</v>
      </c>
      <c r="N10" s="45"/>
      <c r="O10" s="45"/>
    </row>
    <row r="11" spans="1:15" ht="13" x14ac:dyDescent="0.3">
      <c r="A11" s="50" t="s">
        <v>77</v>
      </c>
      <c r="B11" s="36" t="s">
        <v>43</v>
      </c>
      <c r="G11" s="1224">
        <f>SUM('#1-Meritus:#5034-Mt Washington Pediatric'!F23:F23)</f>
        <v>29923.217714285714</v>
      </c>
      <c r="H11" s="1224">
        <f>SUM('#1-Meritus:#5034-Mt Washington Pediatric'!G23:G23)</f>
        <v>196273</v>
      </c>
      <c r="I11" s="1224">
        <f>SUM('#1-Meritus:#5034-Mt Washington Pediatric'!H23:H23)</f>
        <v>1336359.1596134533</v>
      </c>
      <c r="J11" s="1224">
        <f>SUM('#1-Meritus:#5034-Mt Washington Pediatric'!I23:I23)</f>
        <v>757061.87569532916</v>
      </c>
      <c r="K11" s="1224">
        <f>SUM('#1-Meritus:#5034-Mt Washington Pediatric'!J23:J23)</f>
        <v>386290</v>
      </c>
      <c r="L11" s="1224">
        <f>SUM('#1-Meritus:#5034-Mt Washington Pediatric'!K23:K23)</f>
        <v>1707131.0353087825</v>
      </c>
      <c r="M11" s="84">
        <f t="shared" si="0"/>
        <v>950069.15961345332</v>
      </c>
      <c r="N11" s="45"/>
      <c r="O11" s="45"/>
    </row>
    <row r="12" spans="1:15" ht="13" x14ac:dyDescent="0.3">
      <c r="A12" s="50" t="s">
        <v>78</v>
      </c>
      <c r="B12" s="36" t="s">
        <v>44</v>
      </c>
      <c r="G12" s="1224">
        <f>SUM('#1-Meritus:#5034-Mt Washington Pediatric'!F24:F24)</f>
        <v>334088.21693234146</v>
      </c>
      <c r="H12" s="1224">
        <f>SUM('#1-Meritus:#5034-Mt Washington Pediatric'!G24:G24)</f>
        <v>479045</v>
      </c>
      <c r="I12" s="1224">
        <f>SUM('#1-Meritus:#5034-Mt Washington Pediatric'!H24:H24)</f>
        <v>15111044.805863185</v>
      </c>
      <c r="J12" s="1224">
        <f>SUM('#1-Meritus:#5034-Mt Washington Pediatric'!I24:I24)</f>
        <v>12500540.364736483</v>
      </c>
      <c r="K12" s="1224">
        <f>SUM('#1-Meritus:#5034-Mt Washington Pediatric'!J24:J24)</f>
        <v>10166251</v>
      </c>
      <c r="L12" s="1224">
        <f>SUM('#1-Meritus:#5034-Mt Washington Pediatric'!K24:K24)</f>
        <v>17445334.170599665</v>
      </c>
      <c r="M12" s="84">
        <f t="shared" si="0"/>
        <v>4944793.805863183</v>
      </c>
      <c r="N12" s="45"/>
      <c r="O12" s="45"/>
    </row>
    <row r="13" spans="1:15" ht="13" x14ac:dyDescent="0.3">
      <c r="A13" s="50" t="s">
        <v>79</v>
      </c>
      <c r="B13" s="36" t="s">
        <v>5</v>
      </c>
      <c r="G13" s="1224">
        <f>SUM('#1-Meritus:#5034-Mt Washington Pediatric'!F25:F25)</f>
        <v>40387.406999999992</v>
      </c>
      <c r="H13" s="1224">
        <f>SUM('#1-Meritus:#5034-Mt Washington Pediatric'!G25:G25)</f>
        <v>171433</v>
      </c>
      <c r="I13" s="1224">
        <f>SUM('#1-Meritus:#5034-Mt Washington Pediatric'!H25:H25)</f>
        <v>2946341.598189583</v>
      </c>
      <c r="J13" s="1224">
        <f>SUM('#1-Meritus:#5034-Mt Washington Pediatric'!I25:I25)</f>
        <v>1849395.1789478217</v>
      </c>
      <c r="K13" s="1224">
        <f>SUM('#1-Meritus:#5034-Mt Washington Pediatric'!J25:J25)</f>
        <v>763471.12899999996</v>
      </c>
      <c r="L13" s="1224">
        <f>SUM('#1-Meritus:#5034-Mt Washington Pediatric'!K25:K25)</f>
        <v>4032265.6481374055</v>
      </c>
      <c r="M13" s="84">
        <f t="shared" si="0"/>
        <v>2182870.4691895838</v>
      </c>
      <c r="N13" s="45"/>
      <c r="O13" s="45"/>
    </row>
    <row r="14" spans="1:15" ht="13" x14ac:dyDescent="0.3">
      <c r="A14" s="50" t="s">
        <v>80</v>
      </c>
      <c r="B14" s="36" t="s">
        <v>45</v>
      </c>
      <c r="G14" s="1224">
        <f>SUM('#1-Meritus:#5034-Mt Washington Pediatric'!F26:F26)</f>
        <v>7356.2864285714295</v>
      </c>
      <c r="H14" s="1224">
        <f>SUM('#1-Meritus:#5034-Mt Washington Pediatric'!G26:G26)</f>
        <v>49164.25</v>
      </c>
      <c r="I14" s="1224">
        <f>SUM('#1-Meritus:#5034-Mt Washington Pediatric'!H26:H26)</f>
        <v>395612.81178400002</v>
      </c>
      <c r="J14" s="1224">
        <f>SUM('#1-Meritus:#5034-Mt Washington Pediatric'!I26:I26)</f>
        <v>200769.51289046428</v>
      </c>
      <c r="K14" s="1224">
        <f>SUM('#1-Meritus:#5034-Mt Washington Pediatric'!J26:J26)</f>
        <v>77638.459999999992</v>
      </c>
      <c r="L14" s="1224">
        <f>SUM('#1-Meritus:#5034-Mt Washington Pediatric'!K26:K26)</f>
        <v>518743.86467446422</v>
      </c>
      <c r="M14" s="84">
        <f t="shared" si="0"/>
        <v>317974.35178399994</v>
      </c>
      <c r="N14" s="45"/>
      <c r="O14" s="45"/>
    </row>
    <row r="15" spans="1:15" ht="13" x14ac:dyDescent="0.3">
      <c r="A15" s="50" t="s">
        <v>81</v>
      </c>
      <c r="B15" s="36" t="s">
        <v>46</v>
      </c>
      <c r="G15" s="1224">
        <f>SUM('#1-Meritus:#5034-Mt Washington Pediatric'!F27:F27)</f>
        <v>16034.24</v>
      </c>
      <c r="H15" s="1224">
        <f>SUM('#1-Meritus:#5034-Mt Washington Pediatric'!G27:G27)</f>
        <v>20890.3</v>
      </c>
      <c r="I15" s="1224">
        <f>SUM('#1-Meritus:#5034-Mt Washington Pediatric'!H27:H27)</f>
        <v>4118590.17</v>
      </c>
      <c r="J15" s="1224">
        <f>SUM('#1-Meritus:#5034-Mt Washington Pediatric'!I27:I27)</f>
        <v>2228520.0487431688</v>
      </c>
      <c r="K15" s="1224">
        <f>SUM('#1-Meritus:#5034-Mt Washington Pediatric'!J27:J27)</f>
        <v>168321.87690999999</v>
      </c>
      <c r="L15" s="1224">
        <f>SUM('#1-Meritus:#5034-Mt Washington Pediatric'!K27:K27)</f>
        <v>6178788.3418331686</v>
      </c>
      <c r="M15" s="84">
        <f t="shared" si="0"/>
        <v>3950268.2930899998</v>
      </c>
      <c r="N15" s="45"/>
      <c r="O15" s="45"/>
    </row>
    <row r="16" spans="1:15" ht="13" x14ac:dyDescent="0.3">
      <c r="A16" s="50" t="s">
        <v>82</v>
      </c>
      <c r="B16" s="36" t="s">
        <v>47</v>
      </c>
      <c r="G16" s="1224">
        <f>SUM('#1-Meritus:#5034-Mt Washington Pediatric'!F28:F28)</f>
        <v>36316</v>
      </c>
      <c r="H16" s="1224">
        <f>SUM('#1-Meritus:#5034-Mt Washington Pediatric'!G28:G28)</f>
        <v>15000</v>
      </c>
      <c r="I16" s="1224">
        <f>SUM('#1-Meritus:#5034-Mt Washington Pediatric'!H28:H28)</f>
        <v>1309318.7785814628</v>
      </c>
      <c r="J16" s="1224">
        <f>SUM('#1-Meritus:#5034-Mt Washington Pediatric'!I28:I28)</f>
        <v>724934.12204562675</v>
      </c>
      <c r="K16" s="1224">
        <f>SUM('#1-Meritus:#5034-Mt Washington Pediatric'!J28:J28)</f>
        <v>1445905</v>
      </c>
      <c r="L16" s="1224">
        <f>SUM('#1-Meritus:#5034-Mt Washington Pediatric'!K28:K28)</f>
        <v>588347.90062708943</v>
      </c>
      <c r="M16" s="84">
        <f t="shared" si="0"/>
        <v>-136586.22141853732</v>
      </c>
      <c r="N16" s="45"/>
      <c r="O16" s="45"/>
    </row>
    <row r="17" spans="1:15" ht="13" x14ac:dyDescent="0.3">
      <c r="A17" s="50" t="s">
        <v>83</v>
      </c>
      <c r="B17" s="36" t="s">
        <v>48</v>
      </c>
      <c r="G17" s="1224">
        <f>SUM('#1-Meritus:#5034-Mt Washington Pediatric'!F29:F29)</f>
        <v>342205.30099999998</v>
      </c>
      <c r="H17" s="1224">
        <f>SUM('#1-Meritus:#5034-Mt Washington Pediatric'!G29:G29)</f>
        <v>267167</v>
      </c>
      <c r="I17" s="1224">
        <f>SUM('#1-Meritus:#5034-Mt Washington Pediatric'!H29:H29)</f>
        <v>36707564.295935303</v>
      </c>
      <c r="J17" s="1224">
        <f>SUM('#1-Meritus:#5034-Mt Washington Pediatric'!I29:I29)</f>
        <v>18511061.05031538</v>
      </c>
      <c r="K17" s="1224">
        <f>SUM('#1-Meritus:#5034-Mt Washington Pediatric'!J29:J29)</f>
        <v>3689969</v>
      </c>
      <c r="L17" s="1224">
        <f>SUM('#1-Meritus:#5034-Mt Washington Pediatric'!K29:K29)</f>
        <v>51528656.346250683</v>
      </c>
      <c r="M17" s="84">
        <f t="shared" si="0"/>
        <v>33017595.295935303</v>
      </c>
      <c r="N17" s="45"/>
      <c r="O17" s="45"/>
    </row>
    <row r="18" spans="1:15" ht="13" x14ac:dyDescent="0.3">
      <c r="A18" s="1" t="s">
        <v>84</v>
      </c>
      <c r="B18" s="1346" t="s">
        <v>279</v>
      </c>
      <c r="C18" s="1347"/>
      <c r="D18" s="1348"/>
      <c r="E18"/>
      <c r="F18" s="86"/>
      <c r="G18" s="1224">
        <f>SUM('#1-Meritus:#5034-Mt Washington Pediatric'!F30:F30)</f>
        <v>42554.12750000001</v>
      </c>
      <c r="H18" s="1224">
        <f>SUM('#1-Meritus:#5034-Mt Washington Pediatric'!G30:G30)</f>
        <v>94297</v>
      </c>
      <c r="I18" s="1224">
        <f>SUM('#1-Meritus:#5034-Mt Washington Pediatric'!H30:H30)</f>
        <v>7622462.2773700012</v>
      </c>
      <c r="J18" s="1224">
        <f>SUM('#1-Meritus:#5034-Mt Washington Pediatric'!I30:I30)</f>
        <v>2942086.0180546404</v>
      </c>
      <c r="K18" s="1224">
        <f>SUM('#1-Meritus:#5034-Mt Washington Pediatric'!J30:J30)</f>
        <v>3427161.3722499995</v>
      </c>
      <c r="L18" s="1224">
        <f>SUM('#1-Meritus:#5034-Mt Washington Pediatric'!K30:K30)</f>
        <v>7137386.9231746392</v>
      </c>
      <c r="M18" s="84">
        <f t="shared" si="0"/>
        <v>4195300.9051199984</v>
      </c>
      <c r="N18" s="45"/>
      <c r="O18" s="45"/>
    </row>
    <row r="19" spans="1:15" ht="13" x14ac:dyDescent="0.3">
      <c r="A19" s="1" t="s">
        <v>133</v>
      </c>
      <c r="B19" s="1346" t="s">
        <v>279</v>
      </c>
      <c r="C19" s="1347"/>
      <c r="D19" s="1348"/>
      <c r="E19"/>
      <c r="F19" s="86"/>
      <c r="G19" s="1224">
        <f>SUM('#1-Meritus:#5034-Mt Washington Pediatric'!F31:F31)</f>
        <v>27069.3</v>
      </c>
      <c r="H19" s="1224">
        <f>SUM('#1-Meritus:#5034-Mt Washington Pediatric'!G31:G31)</f>
        <v>8622</v>
      </c>
      <c r="I19" s="1224">
        <f>SUM('#1-Meritus:#5034-Mt Washington Pediatric'!H31:H31)</f>
        <v>1425549.79</v>
      </c>
      <c r="J19" s="1224">
        <f>SUM('#1-Meritus:#5034-Mt Washington Pediatric'!I31:I31)</f>
        <v>930575.22175017186</v>
      </c>
      <c r="K19" s="1224">
        <f>SUM('#1-Meritus:#5034-Mt Washington Pediatric'!J31:J31)</f>
        <v>116085</v>
      </c>
      <c r="L19" s="1224">
        <f>SUM('#1-Meritus:#5034-Mt Washington Pediatric'!K31:K31)</f>
        <v>2240040.0117501719</v>
      </c>
      <c r="M19" s="84">
        <f t="shared" si="0"/>
        <v>1309464.79</v>
      </c>
      <c r="N19" s="45"/>
      <c r="O19" s="45"/>
    </row>
    <row r="20" spans="1:15" ht="13" x14ac:dyDescent="0.3">
      <c r="A20" s="1" t="s">
        <v>134</v>
      </c>
      <c r="B20" s="32" t="s">
        <v>279</v>
      </c>
      <c r="C20" s="33"/>
      <c r="D20" s="34"/>
      <c r="E20"/>
      <c r="F20" s="86"/>
      <c r="G20" s="1224">
        <f>SUM('#1-Meritus:#5034-Mt Washington Pediatric'!F32:F32)</f>
        <v>5928</v>
      </c>
      <c r="H20" s="1224">
        <f>SUM('#1-Meritus:#5034-Mt Washington Pediatric'!G32:G32)</f>
        <v>11931</v>
      </c>
      <c r="I20" s="1224">
        <f>SUM('#1-Meritus:#5034-Mt Washington Pediatric'!H32:H32)</f>
        <v>243058.07</v>
      </c>
      <c r="J20" s="1224">
        <f>SUM('#1-Meritus:#5034-Mt Washington Pediatric'!I32:I32)</f>
        <v>115140.64600000001</v>
      </c>
      <c r="K20" s="1224">
        <f>SUM('#1-Meritus:#5034-Mt Washington Pediatric'!J32:J32)</f>
        <v>1495</v>
      </c>
      <c r="L20" s="1224">
        <f>SUM('#1-Meritus:#5034-Mt Washington Pediatric'!K32:K32)</f>
        <v>356703.71600000001</v>
      </c>
      <c r="M20" s="84">
        <f t="shared" si="0"/>
        <v>241563.07</v>
      </c>
      <c r="N20" s="45"/>
      <c r="O20" s="45"/>
    </row>
    <row r="21" spans="1:15" ht="13" x14ac:dyDescent="0.3">
      <c r="A21" s="1" t="s">
        <v>135</v>
      </c>
      <c r="B21" s="32" t="s">
        <v>279</v>
      </c>
      <c r="C21" s="33"/>
      <c r="D21" s="34"/>
      <c r="E21"/>
      <c r="F21" s="86"/>
      <c r="G21" s="1224">
        <f>SUM('#1-Meritus:#5034-Mt Washington Pediatric'!F33:F33)</f>
        <v>3459.5</v>
      </c>
      <c r="H21" s="1224">
        <f>SUM('#1-Meritus:#5034-Mt Washington Pediatric'!G33:G33)</f>
        <v>1743</v>
      </c>
      <c r="I21" s="1224">
        <f>SUM('#1-Meritus:#5034-Mt Washington Pediatric'!H33:H33)</f>
        <v>136358.41</v>
      </c>
      <c r="J21" s="1224">
        <f>SUM('#1-Meritus:#5034-Mt Washington Pediatric'!I33:I33)</f>
        <v>99413.345000000001</v>
      </c>
      <c r="K21" s="1224">
        <f>SUM('#1-Meritus:#5034-Mt Washington Pediatric'!J33:J33)</f>
        <v>84999</v>
      </c>
      <c r="L21" s="1224">
        <f>SUM('#1-Meritus:#5034-Mt Washington Pediatric'!K33:K33)</f>
        <v>150772.755</v>
      </c>
      <c r="M21" s="84">
        <f t="shared" si="0"/>
        <v>51359.41</v>
      </c>
      <c r="N21" s="45"/>
      <c r="O21" s="45"/>
    </row>
    <row r="22" spans="1:15" ht="13" x14ac:dyDescent="0.3">
      <c r="A22" s="1" t="s">
        <v>136</v>
      </c>
      <c r="B22" s="1346" t="s">
        <v>279</v>
      </c>
      <c r="C22" s="1347"/>
      <c r="D22" s="1348"/>
      <c r="E22"/>
      <c r="F22" s="86"/>
      <c r="G22" s="1224">
        <f>SUM('#1-Meritus:#5034-Mt Washington Pediatric'!F34:F34)</f>
        <v>1026.5</v>
      </c>
      <c r="H22" s="1224">
        <f>SUM('#1-Meritus:#5034-Mt Washington Pediatric'!G34:G34)</f>
        <v>0</v>
      </c>
      <c r="I22" s="1224">
        <f>SUM('#1-Meritus:#5034-Mt Washington Pediatric'!H34:H34)</f>
        <v>42905</v>
      </c>
      <c r="J22" s="1224">
        <f>SUM('#1-Meritus:#5034-Mt Washington Pediatric'!I34:I34)</f>
        <v>29304.115000000002</v>
      </c>
      <c r="K22" s="1224">
        <f>SUM('#1-Meritus:#5034-Mt Washington Pediatric'!J34:J34)</f>
        <v>0</v>
      </c>
      <c r="L22" s="1224">
        <f>SUM('#1-Meritus:#5034-Mt Washington Pediatric'!K34:K34)</f>
        <v>72209.115000000005</v>
      </c>
      <c r="M22" s="84">
        <f t="shared" si="0"/>
        <v>42905</v>
      </c>
      <c r="N22" s="45"/>
      <c r="O22" s="45"/>
    </row>
    <row r="23" spans="1:15" ht="13" x14ac:dyDescent="0.3">
      <c r="D23" s="44"/>
      <c r="E23" s="44"/>
      <c r="F23" s="44"/>
      <c r="G23" s="51"/>
      <c r="H23" s="51"/>
      <c r="I23" s="51"/>
      <c r="J23" s="51"/>
      <c r="K23" s="51"/>
      <c r="L23" s="51"/>
      <c r="M23" s="52"/>
      <c r="N23" s="45"/>
      <c r="O23" s="45"/>
    </row>
    <row r="24" spans="1:15" ht="13" x14ac:dyDescent="0.3">
      <c r="A24" s="38" t="s">
        <v>137</v>
      </c>
      <c r="B24" s="44" t="s">
        <v>138</v>
      </c>
      <c r="G24" s="46">
        <f t="shared" ref="G24:L24" si="1">SUM(G9:G22)</f>
        <v>1160675.2005455389</v>
      </c>
      <c r="H24" s="46">
        <f t="shared" si="1"/>
        <v>4285789.18</v>
      </c>
      <c r="I24" s="84">
        <f t="shared" si="1"/>
        <v>89171734.932485119</v>
      </c>
      <c r="J24" s="84">
        <f t="shared" si="1"/>
        <v>50526494.083727099</v>
      </c>
      <c r="K24" s="84">
        <f t="shared" si="1"/>
        <v>22257993.045910001</v>
      </c>
      <c r="L24" s="84">
        <f t="shared" si="1"/>
        <v>117440235.97030219</v>
      </c>
      <c r="M24" s="84">
        <f>L24-J24</f>
        <v>66913741.886575095</v>
      </c>
      <c r="N24" s="45"/>
      <c r="O24" s="45"/>
    </row>
    <row r="25" spans="1:15" ht="13" x14ac:dyDescent="0.3">
      <c r="A25" s="38"/>
      <c r="B25" s="44"/>
      <c r="G25" s="54"/>
      <c r="H25" s="54"/>
      <c r="I25" s="54"/>
      <c r="J25" s="54"/>
      <c r="K25" s="54"/>
      <c r="L25" s="54"/>
      <c r="M25" s="54"/>
      <c r="N25" s="45"/>
      <c r="O25" s="45"/>
    </row>
    <row r="26" spans="1:15" ht="13" x14ac:dyDescent="0.3">
      <c r="A26" s="38"/>
      <c r="B26" s="44"/>
      <c r="G26" s="45"/>
      <c r="H26" s="45"/>
      <c r="I26" s="45"/>
      <c r="J26" s="45"/>
      <c r="K26" s="56"/>
      <c r="L26" s="56"/>
      <c r="M26" s="57"/>
      <c r="N26" s="45"/>
      <c r="O26" s="45"/>
    </row>
    <row r="27" spans="1:15" ht="42.75" customHeight="1" x14ac:dyDescent="0.3">
      <c r="A27" s="39"/>
      <c r="B27" s="39"/>
      <c r="G27" s="41" t="s">
        <v>9</v>
      </c>
      <c r="H27" s="41" t="s">
        <v>37</v>
      </c>
      <c r="I27" s="41" t="s">
        <v>485</v>
      </c>
      <c r="J27" s="41" t="s">
        <v>486</v>
      </c>
      <c r="K27" s="42" t="s">
        <v>224</v>
      </c>
      <c r="L27" s="47" t="s">
        <v>483</v>
      </c>
      <c r="M27" s="41" t="s">
        <v>484</v>
      </c>
      <c r="N27" s="45"/>
      <c r="O27" s="45"/>
    </row>
    <row r="28" spans="1:15" ht="13" x14ac:dyDescent="0.3">
      <c r="A28" s="38" t="s">
        <v>487</v>
      </c>
      <c r="B28" s="38"/>
      <c r="C28" s="44" t="s">
        <v>49</v>
      </c>
      <c r="K28" s="48"/>
      <c r="L28" s="49"/>
      <c r="N28" s="45"/>
      <c r="O28" s="45"/>
    </row>
    <row r="29" spans="1:15" ht="13" x14ac:dyDescent="0.3">
      <c r="A29" s="50" t="s">
        <v>298</v>
      </c>
      <c r="B29" s="50"/>
      <c r="C29" s="44" t="s">
        <v>31</v>
      </c>
      <c r="D29" s="44"/>
      <c r="E29" s="44"/>
      <c r="F29" s="44"/>
      <c r="G29" s="1224">
        <f>SUM('#1-Meritus:#5034-Mt Washington Pediatric'!F40:F40)</f>
        <v>4135303.5515241656</v>
      </c>
      <c r="H29" s="1224">
        <f>SUM('#1-Meritus:#5034-Mt Washington Pediatric'!G40:G40)</f>
        <v>49285</v>
      </c>
      <c r="I29" s="1224">
        <f>SUM('#1-Meritus:#5034-Mt Washington Pediatric'!H40:H40)</f>
        <v>348459765.02235973</v>
      </c>
      <c r="J29" s="1224">
        <f>SUM('#1-Meritus:#5034-Mt Washington Pediatric'!I40:I40)</f>
        <v>81440889.787422061</v>
      </c>
      <c r="K29" s="1224">
        <f>SUM('#1-Meritus:#5034-Mt Washington Pediatric'!J40:J40)</f>
        <v>381307.36</v>
      </c>
      <c r="L29" s="1224">
        <f>SUM('#1-Meritus:#5034-Mt Washington Pediatric'!K40:K40)</f>
        <v>429519347.44978184</v>
      </c>
      <c r="M29" s="84">
        <f>L29-J29</f>
        <v>348078457.66235977</v>
      </c>
      <c r="N29" s="45"/>
      <c r="O29" s="45"/>
    </row>
    <row r="30" spans="1:15" ht="13" x14ac:dyDescent="0.3">
      <c r="A30" s="50" t="s">
        <v>299</v>
      </c>
      <c r="B30" s="50"/>
      <c r="C30" s="58" t="s">
        <v>50</v>
      </c>
      <c r="G30" s="1224">
        <f>SUM('#1-Meritus:#5034-Mt Washington Pediatric'!F41:F41)</f>
        <v>590411.26</v>
      </c>
      <c r="H30" s="1224">
        <f>SUM('#1-Meritus:#5034-Mt Washington Pediatric'!G41:G41)</f>
        <v>43526.666666666664</v>
      </c>
      <c r="I30" s="1224">
        <f>SUM('#1-Meritus:#5034-Mt Washington Pediatric'!H41:H41)</f>
        <v>25893390.412808903</v>
      </c>
      <c r="J30" s="1224">
        <f>SUM('#1-Meritus:#5034-Mt Washington Pediatric'!I41:I41)</f>
        <v>4888813.9886050196</v>
      </c>
      <c r="K30" s="1224">
        <f>SUM('#1-Meritus:#5034-Mt Washington Pediatric'!J41:J41)</f>
        <v>149648</v>
      </c>
      <c r="L30" s="1224">
        <f>SUM('#1-Meritus:#5034-Mt Washington Pediatric'!K41:K41)</f>
        <v>30632556.401413925</v>
      </c>
      <c r="M30" s="84">
        <f t="shared" ref="M30:M38" si="2">L30-J30</f>
        <v>25743742.412808906</v>
      </c>
      <c r="N30" s="45"/>
      <c r="O30" s="45"/>
    </row>
    <row r="31" spans="1:15" ht="13" x14ac:dyDescent="0.3">
      <c r="A31" s="50" t="s">
        <v>300</v>
      </c>
      <c r="B31" s="50"/>
      <c r="C31" s="36" t="s">
        <v>11</v>
      </c>
      <c r="D31" s="59"/>
      <c r="E31" s="59"/>
      <c r="F31" s="59"/>
      <c r="G31" s="1224">
        <f>SUM('#1-Meritus:#5034-Mt Washington Pediatric'!F42:F42)</f>
        <v>320096.26120923937</v>
      </c>
      <c r="H31" s="1224">
        <f>SUM('#1-Meritus:#5034-Mt Washington Pediatric'!G42:G42)</f>
        <v>52811.00046092023</v>
      </c>
      <c r="I31" s="1224">
        <f>SUM('#1-Meritus:#5034-Mt Washington Pediatric'!H42:H42)</f>
        <v>14648267.033649236</v>
      </c>
      <c r="J31" s="1224">
        <f>SUM('#1-Meritus:#5034-Mt Washington Pediatric'!I42:I42)</f>
        <v>2878050.9793661195</v>
      </c>
      <c r="K31" s="1224">
        <f>SUM('#1-Meritus:#5034-Mt Washington Pediatric'!J42:J42)</f>
        <v>220488.85899999997</v>
      </c>
      <c r="L31" s="1224">
        <f>SUM('#1-Meritus:#5034-Mt Washington Pediatric'!K42:K42)</f>
        <v>17305829.154015359</v>
      </c>
      <c r="M31" s="84">
        <f t="shared" si="2"/>
        <v>14427778.174649239</v>
      </c>
      <c r="N31" s="45"/>
      <c r="O31" s="45"/>
    </row>
    <row r="32" spans="1:15" ht="13" x14ac:dyDescent="0.3">
      <c r="A32" s="50" t="s">
        <v>301</v>
      </c>
      <c r="B32" s="50"/>
      <c r="C32" s="36" t="s">
        <v>10</v>
      </c>
      <c r="G32" s="1224">
        <f>SUM('#1-Meritus:#5034-Mt Washington Pediatric'!F43:F43)</f>
        <v>3980.5</v>
      </c>
      <c r="H32" s="1224">
        <f>SUM('#1-Meritus:#5034-Mt Washington Pediatric'!G43:G43)</f>
        <v>1807</v>
      </c>
      <c r="I32" s="1224">
        <f>SUM('#1-Meritus:#5034-Mt Washington Pediatric'!H43:H43)</f>
        <v>3273814.5619999999</v>
      </c>
      <c r="J32" s="1224">
        <f>SUM('#1-Meritus:#5034-Mt Washington Pediatric'!I43:I43)</f>
        <v>45550.574999999997</v>
      </c>
      <c r="K32" s="1224">
        <f>SUM('#1-Meritus:#5034-Mt Washington Pediatric'!J43:J43)</f>
        <v>0</v>
      </c>
      <c r="L32" s="1224">
        <f>SUM('#1-Meritus:#5034-Mt Washington Pediatric'!K43:K43)</f>
        <v>3319365.1370000001</v>
      </c>
      <c r="M32" s="84">
        <f t="shared" si="2"/>
        <v>3273814.5619999999</v>
      </c>
      <c r="N32" s="45"/>
      <c r="O32" s="45"/>
    </row>
    <row r="33" spans="1:15" ht="13" x14ac:dyDescent="0.3">
      <c r="A33" s="1" t="s">
        <v>91</v>
      </c>
      <c r="B33" s="50"/>
      <c r="C33" s="1346" t="s">
        <v>279</v>
      </c>
      <c r="D33" s="1347"/>
      <c r="E33" s="1348"/>
      <c r="F33"/>
      <c r="G33" s="1224">
        <f>SUM('#1-Meritus:#5034-Mt Washington Pediatric'!F44:F44)</f>
        <v>92328.57</v>
      </c>
      <c r="H33" s="1224">
        <f>SUM('#1-Meritus:#5034-Mt Washington Pediatric'!G44:G44)</f>
        <v>21266</v>
      </c>
      <c r="I33" s="1224">
        <f>SUM('#1-Meritus:#5034-Mt Washington Pediatric'!H44:H44)</f>
        <v>3903136.8627500003</v>
      </c>
      <c r="J33" s="1224">
        <f>SUM('#1-Meritus:#5034-Mt Washington Pediatric'!I44:I44)</f>
        <v>399300.56716944982</v>
      </c>
      <c r="K33" s="1224">
        <f>SUM('#1-Meritus:#5034-Mt Washington Pediatric'!J44:J44)</f>
        <v>30360</v>
      </c>
      <c r="L33" s="1224">
        <f>SUM('#1-Meritus:#5034-Mt Washington Pediatric'!K44:K44)</f>
        <v>4272077.4299194496</v>
      </c>
      <c r="M33" s="84">
        <f t="shared" si="2"/>
        <v>3872776.8627499999</v>
      </c>
      <c r="N33" s="45"/>
      <c r="O33" s="45"/>
    </row>
    <row r="34" spans="1:15" ht="13" x14ac:dyDescent="0.3">
      <c r="A34" s="1" t="s">
        <v>139</v>
      </c>
      <c r="C34" s="1346" t="s">
        <v>279</v>
      </c>
      <c r="D34" s="1347"/>
      <c r="E34" s="1348"/>
      <c r="F34"/>
      <c r="G34" s="1224">
        <f>SUM('#1-Meritus:#5034-Mt Washington Pediatric'!F45:F45)</f>
        <v>39861</v>
      </c>
      <c r="H34" s="1224">
        <f>SUM('#1-Meritus:#5034-Mt Washington Pediatric'!G45:G45)</f>
        <v>2724</v>
      </c>
      <c r="I34" s="1224">
        <f>SUM('#1-Meritus:#5034-Mt Washington Pediatric'!H45:H45)</f>
        <v>2397165.7000000002</v>
      </c>
      <c r="J34" s="1224">
        <f>SUM('#1-Meritus:#5034-Mt Washington Pediatric'!I45:I45)</f>
        <v>49419.244065448875</v>
      </c>
      <c r="K34" s="1224">
        <f>SUM('#1-Meritus:#5034-Mt Washington Pediatric'!J45:J45)</f>
        <v>2260966.7000000002</v>
      </c>
      <c r="L34" s="1224">
        <f>SUM('#1-Meritus:#5034-Mt Washington Pediatric'!K45:K45)</f>
        <v>185618.24406544887</v>
      </c>
      <c r="M34" s="84">
        <f t="shared" si="2"/>
        <v>136199</v>
      </c>
      <c r="N34" s="45"/>
      <c r="O34" s="45"/>
    </row>
    <row r="35" spans="1:15" ht="13" x14ac:dyDescent="0.3">
      <c r="A35" s="1" t="s">
        <v>140</v>
      </c>
      <c r="C35" s="1346" t="s">
        <v>279</v>
      </c>
      <c r="D35" s="1347"/>
      <c r="E35" s="1348"/>
      <c r="F35"/>
      <c r="G35" s="1224">
        <f>SUM('#1-Meritus:#5034-Mt Washington Pediatric'!F46:F46)</f>
        <v>2080</v>
      </c>
      <c r="H35" s="1224">
        <f>SUM('#1-Meritus:#5034-Mt Washington Pediatric'!G46:G46)</f>
        <v>3000</v>
      </c>
      <c r="I35" s="1224">
        <f>SUM('#1-Meritus:#5034-Mt Washington Pediatric'!H46:H46)</f>
        <v>37658.879999999997</v>
      </c>
      <c r="J35" s="1224">
        <f>SUM('#1-Meritus:#5034-Mt Washington Pediatric'!I46:I46)</f>
        <v>0</v>
      </c>
      <c r="K35" s="1224">
        <f>SUM('#1-Meritus:#5034-Mt Washington Pediatric'!J46:J46)</f>
        <v>0</v>
      </c>
      <c r="L35" s="1224">
        <f>SUM('#1-Meritus:#5034-Mt Washington Pediatric'!K46:K46)</f>
        <v>37658.879999999997</v>
      </c>
      <c r="M35" s="84">
        <f t="shared" si="2"/>
        <v>37658.879999999997</v>
      </c>
      <c r="N35" s="45"/>
      <c r="O35" s="45"/>
    </row>
    <row r="36" spans="1:15" ht="13" x14ac:dyDescent="0.3">
      <c r="A36" s="1" t="s">
        <v>141</v>
      </c>
      <c r="C36" s="1346" t="s">
        <v>279</v>
      </c>
      <c r="D36" s="1347"/>
      <c r="E36" s="1348"/>
      <c r="F36"/>
      <c r="G36" s="1224">
        <f>SUM('#1-Meritus:#5034-Mt Washington Pediatric'!F47:F47)</f>
        <v>0</v>
      </c>
      <c r="H36" s="1224">
        <f>SUM('#1-Meritus:#5034-Mt Washington Pediatric'!G47:G47)</f>
        <v>0</v>
      </c>
      <c r="I36" s="1224">
        <f>SUM('#1-Meritus:#5034-Mt Washington Pediatric'!H47:H47)</f>
        <v>0</v>
      </c>
      <c r="J36" s="1224">
        <f>SUM('#1-Meritus:#5034-Mt Washington Pediatric'!I47:I47)</f>
        <v>0</v>
      </c>
      <c r="K36" s="1224">
        <f>SUM('#1-Meritus:#5034-Mt Washington Pediatric'!J47:J47)</f>
        <v>0</v>
      </c>
      <c r="L36" s="1224">
        <f>SUM('#1-Meritus:#5034-Mt Washington Pediatric'!K47:K47)</f>
        <v>0</v>
      </c>
      <c r="M36" s="84">
        <f t="shared" si="2"/>
        <v>0</v>
      </c>
      <c r="N36" s="45"/>
      <c r="O36" s="45"/>
    </row>
    <row r="37" spans="1:15" ht="13" x14ac:dyDescent="0.3">
      <c r="A37" s="90"/>
      <c r="C37" s="91"/>
      <c r="D37" s="91"/>
      <c r="E37" s="91"/>
      <c r="F37" s="825"/>
      <c r="G37" s="89"/>
      <c r="H37" s="89"/>
      <c r="I37" s="92"/>
      <c r="J37" s="92"/>
      <c r="K37" s="92"/>
      <c r="L37" s="92"/>
      <c r="M37" s="92"/>
      <c r="N37" s="45"/>
      <c r="O37" s="45"/>
    </row>
    <row r="38" spans="1:15" ht="13" x14ac:dyDescent="0.3">
      <c r="A38" s="39" t="s">
        <v>142</v>
      </c>
      <c r="B38" s="39"/>
      <c r="C38" s="44" t="s">
        <v>234</v>
      </c>
      <c r="G38" s="46">
        <f t="shared" ref="G38:L38" si="3">SUM(G29:G36)</f>
        <v>5184061.1427334053</v>
      </c>
      <c r="H38" s="46">
        <f t="shared" si="3"/>
        <v>174419.6671275869</v>
      </c>
      <c r="I38" s="84">
        <f t="shared" si="3"/>
        <v>398613198.47356778</v>
      </c>
      <c r="J38" s="84">
        <f t="shared" si="3"/>
        <v>89702025.141628101</v>
      </c>
      <c r="K38" s="84">
        <f t="shared" si="3"/>
        <v>3042770.9190000002</v>
      </c>
      <c r="L38" s="84">
        <f t="shared" si="3"/>
        <v>485272452.69619602</v>
      </c>
      <c r="M38" s="84">
        <f t="shared" si="2"/>
        <v>395570427.55456793</v>
      </c>
      <c r="N38" s="45"/>
      <c r="O38" s="45"/>
    </row>
    <row r="39" spans="1:15" x14ac:dyDescent="0.25">
      <c r="A39" s="39"/>
      <c r="B39" s="39"/>
      <c r="G39" s="45"/>
      <c r="H39" s="45"/>
      <c r="I39" s="45"/>
      <c r="J39" s="45"/>
      <c r="K39" s="45"/>
      <c r="L39" s="45"/>
      <c r="M39" s="45"/>
      <c r="N39" s="45"/>
      <c r="O39" s="45"/>
    </row>
    <row r="40" spans="1:15" x14ac:dyDescent="0.25">
      <c r="A40" s="39"/>
      <c r="B40" s="39"/>
      <c r="G40" s="45"/>
      <c r="H40" s="45"/>
      <c r="I40" s="45"/>
      <c r="J40" s="45"/>
      <c r="K40" s="45"/>
      <c r="L40" s="45"/>
      <c r="M40" s="45"/>
      <c r="N40" s="45"/>
      <c r="O40" s="45"/>
    </row>
    <row r="41" spans="1:15" ht="39" x14ac:dyDescent="0.3">
      <c r="A41" s="39"/>
      <c r="B41" s="39"/>
      <c r="G41" s="41" t="s">
        <v>9</v>
      </c>
      <c r="H41" s="41" t="s">
        <v>37</v>
      </c>
      <c r="I41" s="41" t="s">
        <v>485</v>
      </c>
      <c r="J41" s="41" t="s">
        <v>486</v>
      </c>
      <c r="K41" s="42" t="s">
        <v>224</v>
      </c>
      <c r="L41" s="47" t="s">
        <v>483</v>
      </c>
      <c r="M41" s="41" t="s">
        <v>484</v>
      </c>
      <c r="N41" s="45"/>
      <c r="O41" s="45"/>
    </row>
    <row r="42" spans="1:15" ht="13" x14ac:dyDescent="0.3">
      <c r="A42" s="38" t="s">
        <v>488</v>
      </c>
      <c r="B42" s="39"/>
      <c r="C42" s="60" t="s">
        <v>489</v>
      </c>
      <c r="K42" s="48"/>
      <c r="L42" s="49"/>
      <c r="N42" s="45"/>
      <c r="O42" s="45"/>
    </row>
    <row r="43" spans="1:15" ht="13" x14ac:dyDescent="0.3">
      <c r="B43" s="38"/>
      <c r="C43" s="44" t="s">
        <v>234</v>
      </c>
      <c r="D43" s="60"/>
      <c r="E43" s="60"/>
      <c r="F43" s="60"/>
      <c r="G43" s="1224">
        <f>SUM('#1-Meritus:#5034-Mt Washington Pediatric'!F64:F64)</f>
        <v>3460700.0798235075</v>
      </c>
      <c r="H43" s="1224">
        <f>SUM('#1-Meritus:#5034-Mt Washington Pediatric'!G64:G64)</f>
        <v>1486387.452</v>
      </c>
      <c r="I43" s="1224">
        <f>SUM('#1-Meritus:#5034-Mt Washington Pediatric'!H64:H64)</f>
        <v>621094180.88136077</v>
      </c>
      <c r="J43" s="1224">
        <f>SUM('#1-Meritus:#5034-Mt Washington Pediatric'!I64:I64)</f>
        <v>92190197.7058395</v>
      </c>
      <c r="K43" s="1224">
        <f>SUM('#1-Meritus:#5034-Mt Washington Pediatric'!J64:J64)</f>
        <v>181612253.92666668</v>
      </c>
      <c r="L43" s="1224">
        <f>SUM('#1-Meritus:#5034-Mt Washington Pediatric'!K64:K64)</f>
        <v>531672124.67053354</v>
      </c>
      <c r="M43" s="84">
        <f>L43-J43</f>
        <v>439481926.96469402</v>
      </c>
      <c r="N43" s="45"/>
      <c r="O43" s="45"/>
    </row>
    <row r="44" spans="1:15" ht="13" x14ac:dyDescent="0.3">
      <c r="A44" s="50"/>
      <c r="B44" s="50"/>
      <c r="G44" s="61"/>
      <c r="H44" s="61"/>
      <c r="I44" s="61"/>
      <c r="J44" s="61"/>
      <c r="K44" s="61"/>
      <c r="L44" s="61"/>
      <c r="M44" s="62"/>
      <c r="N44" s="45"/>
      <c r="O44" s="45"/>
    </row>
    <row r="45" spans="1:15" ht="13" x14ac:dyDescent="0.3">
      <c r="A45" s="50"/>
      <c r="B45" s="50"/>
      <c r="K45" s="48"/>
      <c r="L45" s="49"/>
      <c r="M45" s="45"/>
      <c r="N45" s="45"/>
      <c r="O45" s="45"/>
    </row>
    <row r="46" spans="1:15" ht="45.75" customHeight="1" x14ac:dyDescent="0.3">
      <c r="A46" s="38" t="s">
        <v>490</v>
      </c>
      <c r="B46" s="39"/>
      <c r="C46" s="44" t="s">
        <v>12</v>
      </c>
      <c r="G46" s="41" t="s">
        <v>9</v>
      </c>
      <c r="H46" s="41" t="s">
        <v>37</v>
      </c>
      <c r="I46" s="41" t="s">
        <v>485</v>
      </c>
      <c r="J46" s="41" t="s">
        <v>486</v>
      </c>
      <c r="K46" s="42" t="s">
        <v>224</v>
      </c>
      <c r="L46" s="47" t="s">
        <v>483</v>
      </c>
      <c r="M46" s="41" t="s">
        <v>484</v>
      </c>
      <c r="N46" s="45"/>
      <c r="O46" s="45"/>
    </row>
    <row r="47" spans="1:15" ht="13" x14ac:dyDescent="0.3">
      <c r="A47" s="50" t="s">
        <v>303</v>
      </c>
      <c r="B47" s="39"/>
      <c r="C47" s="44" t="s">
        <v>52</v>
      </c>
      <c r="G47" s="1224">
        <f>SUM('#1-Meritus:#5034-Mt Washington Pediatric'!F68:F68)</f>
        <v>85528.26999999999</v>
      </c>
      <c r="H47" s="1224">
        <f>SUM('#1-Meritus:#5034-Mt Washington Pediatric'!G68:G68)</f>
        <v>2037</v>
      </c>
      <c r="I47" s="1224">
        <f>SUM('#1-Meritus:#5034-Mt Washington Pediatric'!H68:H68)</f>
        <v>10993185.65343304</v>
      </c>
      <c r="J47" s="1224">
        <f>SUM('#1-Meritus:#5034-Mt Washington Pediatric'!I68:I68)</f>
        <v>2054541.1933663373</v>
      </c>
      <c r="K47" s="1224">
        <f>SUM('#1-Meritus:#5034-Mt Washington Pediatric'!J68:J68)</f>
        <v>7146100.3385497965</v>
      </c>
      <c r="L47" s="1224">
        <f>SUM('#1-Meritus:#5034-Mt Washington Pediatric'!K68:K68)</f>
        <v>5901626.5083495807</v>
      </c>
      <c r="M47" s="84">
        <f>L47-J47</f>
        <v>3847085.3149832431</v>
      </c>
      <c r="N47" s="45"/>
      <c r="O47" s="45"/>
    </row>
    <row r="48" spans="1:15" ht="13" x14ac:dyDescent="0.3">
      <c r="A48" s="50" t="s">
        <v>304</v>
      </c>
      <c r="B48" s="38"/>
      <c r="C48" s="44" t="s">
        <v>53</v>
      </c>
      <c r="G48" s="1224">
        <f>SUM('#1-Meritus:#5034-Mt Washington Pediatric'!F69:F69)</f>
        <v>25234.1</v>
      </c>
      <c r="H48" s="1224">
        <f>SUM('#1-Meritus:#5034-Mt Washington Pediatric'!G69:G69)</f>
        <v>3758</v>
      </c>
      <c r="I48" s="1224">
        <f>SUM('#1-Meritus:#5034-Mt Washington Pediatric'!H69:H69)</f>
        <v>1821608.0099999998</v>
      </c>
      <c r="J48" s="1224">
        <f>SUM('#1-Meritus:#5034-Mt Washington Pediatric'!I69:I69)</f>
        <v>508872.84700000001</v>
      </c>
      <c r="K48" s="1224">
        <f>SUM('#1-Meritus:#5034-Mt Washington Pediatric'!J69:J69)</f>
        <v>30137</v>
      </c>
      <c r="L48" s="1224">
        <f>SUM('#1-Meritus:#5034-Mt Washington Pediatric'!K69:K69)</f>
        <v>2300343.8569999998</v>
      </c>
      <c r="M48" s="84">
        <f>L48-J48</f>
        <v>1791471.0099999998</v>
      </c>
      <c r="N48" s="45"/>
      <c r="O48" s="45"/>
    </row>
    <row r="49" spans="1:15" ht="13" x14ac:dyDescent="0.3">
      <c r="A49" s="50" t="s">
        <v>391</v>
      </c>
      <c r="B49" s="50"/>
      <c r="C49" s="44" t="s">
        <v>279</v>
      </c>
      <c r="D49" s="44"/>
      <c r="E49" s="44"/>
      <c r="F49" s="44"/>
      <c r="G49" s="1224">
        <f>SUM('#1-Meritus:#5034-Mt Washington Pediatric'!F70:F70)</f>
        <v>21121</v>
      </c>
      <c r="H49" s="1224">
        <f>SUM('#1-Meritus:#5034-Mt Washington Pediatric'!G70:G70)</f>
        <v>0</v>
      </c>
      <c r="I49" s="1224">
        <f>SUM('#1-Meritus:#5034-Mt Washington Pediatric'!H70:H70)</f>
        <v>1120549.1379999998</v>
      </c>
      <c r="J49" s="1224">
        <f>SUM('#1-Meritus:#5034-Mt Washington Pediatric'!I70:I70)</f>
        <v>0</v>
      </c>
      <c r="K49" s="1224">
        <f>SUM('#1-Meritus:#5034-Mt Washington Pediatric'!J70:J70)</f>
        <v>123279.85000000002</v>
      </c>
      <c r="L49" s="1224">
        <f>SUM('#1-Meritus:#5034-Mt Washington Pediatric'!K70:K70)</f>
        <v>997269.28809999989</v>
      </c>
      <c r="M49" s="84">
        <f>L49-J49</f>
        <v>997269.28809999989</v>
      </c>
      <c r="N49" s="45"/>
      <c r="O49" s="45"/>
    </row>
    <row r="50" spans="1:15" ht="13" x14ac:dyDescent="0.3">
      <c r="D50" s="44"/>
      <c r="E50" s="44"/>
      <c r="F50" s="44"/>
      <c r="G50" s="51"/>
      <c r="H50" s="51"/>
      <c r="I50" s="51"/>
      <c r="J50" s="51"/>
      <c r="K50" s="51"/>
      <c r="L50" s="51"/>
      <c r="M50" s="52"/>
      <c r="N50" s="45"/>
      <c r="O50" s="45"/>
    </row>
    <row r="51" spans="1:15" ht="13" x14ac:dyDescent="0.3">
      <c r="A51" s="50" t="s">
        <v>146</v>
      </c>
      <c r="B51" s="50"/>
      <c r="C51" s="44" t="s">
        <v>234</v>
      </c>
      <c r="G51" s="63">
        <f>SUM(G47:G49)</f>
        <v>131883.37</v>
      </c>
      <c r="H51" s="63">
        <f t="shared" ref="H51:M51" si="4">SUM(H47:H49)</f>
        <v>5795</v>
      </c>
      <c r="I51" s="88">
        <f t="shared" si="4"/>
        <v>13935342.80143304</v>
      </c>
      <c r="J51" s="88">
        <f t="shared" si="4"/>
        <v>2563414.0403663372</v>
      </c>
      <c r="K51" s="88">
        <f t="shared" si="4"/>
        <v>7299517.1885497961</v>
      </c>
      <c r="L51" s="88">
        <f t="shared" si="4"/>
        <v>9199239.6534495801</v>
      </c>
      <c r="M51" s="88">
        <f t="shared" si="4"/>
        <v>6635825.6130832424</v>
      </c>
      <c r="N51" s="45"/>
      <c r="O51" s="45"/>
    </row>
    <row r="52" spans="1:15" ht="13" x14ac:dyDescent="0.3">
      <c r="A52" s="50"/>
      <c r="B52" s="50"/>
      <c r="G52" s="64"/>
      <c r="H52" s="64"/>
      <c r="I52" s="64"/>
      <c r="J52" s="64"/>
      <c r="K52" s="64"/>
      <c r="L52" s="64"/>
      <c r="M52" s="57"/>
      <c r="N52" s="45"/>
      <c r="O52" s="45"/>
    </row>
    <row r="53" spans="1:15" ht="46.5" customHeight="1" x14ac:dyDescent="0.35">
      <c r="A53" s="39" t="s">
        <v>491</v>
      </c>
      <c r="B53" s="39"/>
      <c r="C53" s="65" t="s">
        <v>68</v>
      </c>
      <c r="G53" s="41" t="s">
        <v>9</v>
      </c>
      <c r="H53" s="41" t="s">
        <v>37</v>
      </c>
      <c r="I53" s="66" t="s">
        <v>485</v>
      </c>
      <c r="J53" s="66" t="s">
        <v>486</v>
      </c>
      <c r="K53" s="42" t="s">
        <v>224</v>
      </c>
      <c r="L53" s="47" t="s">
        <v>483</v>
      </c>
      <c r="M53" s="41" t="s">
        <v>484</v>
      </c>
      <c r="N53" s="45"/>
      <c r="O53" s="45"/>
    </row>
    <row r="54" spans="1:15" ht="15.5" x14ac:dyDescent="0.35">
      <c r="A54" s="39"/>
      <c r="B54" s="39"/>
      <c r="C54" s="65"/>
      <c r="K54" s="48"/>
      <c r="L54" s="49"/>
      <c r="N54" s="45"/>
      <c r="O54" s="45"/>
    </row>
    <row r="55" spans="1:15" ht="13" x14ac:dyDescent="0.3">
      <c r="A55" s="50" t="s">
        <v>305</v>
      </c>
      <c r="B55" s="39"/>
      <c r="C55" s="38" t="s">
        <v>54</v>
      </c>
      <c r="G55" s="1224">
        <f>SUM('#1-Meritus:#5034-Mt Washington Pediatric'!F77:F77)</f>
        <v>1270.5000000000002</v>
      </c>
      <c r="H55" s="1224">
        <f>SUM('#1-Meritus:#5034-Mt Washington Pediatric'!G77:G77)</f>
        <v>4312</v>
      </c>
      <c r="I55" s="1224">
        <f>SUM('#1-Meritus:#5034-Mt Washington Pediatric'!H77:H77)</f>
        <v>9035931.6899999995</v>
      </c>
      <c r="J55" s="1224">
        <f>SUM('#1-Meritus:#5034-Mt Washington Pediatric'!I77:I77)</f>
        <v>104745.72797486532</v>
      </c>
      <c r="K55" s="1224">
        <f>SUM('#1-Meritus:#5034-Mt Washington Pediatric'!J77:J77)</f>
        <v>64398</v>
      </c>
      <c r="L55" s="1224">
        <f>SUM('#1-Meritus:#5034-Mt Washington Pediatric'!K77:K77)</f>
        <v>9076279.4179748632</v>
      </c>
      <c r="M55" s="84">
        <f>L55-J55</f>
        <v>8971533.6899999976</v>
      </c>
      <c r="N55" s="45"/>
      <c r="O55" s="45"/>
    </row>
    <row r="56" spans="1:15" ht="13" x14ac:dyDescent="0.3">
      <c r="A56" s="50" t="s">
        <v>306</v>
      </c>
      <c r="B56" s="38"/>
      <c r="C56" s="38" t="s">
        <v>55</v>
      </c>
      <c r="G56" s="1224">
        <f>SUM('#1-Meritus:#5034-Mt Washington Pediatric'!F78:F78)</f>
        <v>39</v>
      </c>
      <c r="H56" s="1224">
        <f>SUM('#1-Meritus:#5034-Mt Washington Pediatric'!G78:G78)</f>
        <v>238</v>
      </c>
      <c r="I56" s="1224">
        <f>SUM('#1-Meritus:#5034-Mt Washington Pediatric'!H78:H78)</f>
        <v>869008</v>
      </c>
      <c r="J56" s="1224">
        <f>SUM('#1-Meritus:#5034-Mt Washington Pediatric'!I78:I78)</f>
        <v>92237.915474626439</v>
      </c>
      <c r="K56" s="1224">
        <f>SUM('#1-Meritus:#5034-Mt Washington Pediatric'!J78:J78)</f>
        <v>211329</v>
      </c>
      <c r="L56" s="1224">
        <f>SUM('#1-Meritus:#5034-Mt Washington Pediatric'!K78:K78)</f>
        <v>749916.91547462647</v>
      </c>
      <c r="M56" s="84">
        <f>L56-J56</f>
        <v>657679</v>
      </c>
      <c r="N56" s="45"/>
      <c r="O56" s="45"/>
    </row>
    <row r="57" spans="1:15" ht="13" x14ac:dyDescent="0.3">
      <c r="A57" s="50" t="s">
        <v>307</v>
      </c>
      <c r="B57" s="50"/>
      <c r="C57" s="38" t="s">
        <v>13</v>
      </c>
      <c r="G57" s="1224">
        <f>SUM('#1-Meritus:#5034-Mt Washington Pediatric'!F79:F79)</f>
        <v>56679.080000000009</v>
      </c>
      <c r="H57" s="1224">
        <f>SUM('#1-Meritus:#5034-Mt Washington Pediatric'!G79:G79)</f>
        <v>125439</v>
      </c>
      <c r="I57" s="1224">
        <f>SUM('#1-Meritus:#5034-Mt Washington Pediatric'!H79:H79)</f>
        <v>5297537.0013321079</v>
      </c>
      <c r="J57" s="1224">
        <f>SUM('#1-Meritus:#5034-Mt Washington Pediatric'!I79:I79)</f>
        <v>364547.64653817407</v>
      </c>
      <c r="K57" s="1224">
        <f>SUM('#1-Meritus:#5034-Mt Washington Pediatric'!J79:J79)</f>
        <v>742147</v>
      </c>
      <c r="L57" s="1224">
        <f>SUM('#1-Meritus:#5034-Mt Washington Pediatric'!K79:K79)</f>
        <v>4919937.6478702808</v>
      </c>
      <c r="M57" s="84">
        <f>L57-J57</f>
        <v>4555390.001332107</v>
      </c>
      <c r="N57" s="45"/>
      <c r="O57" s="45"/>
    </row>
    <row r="58" spans="1:15" ht="13" x14ac:dyDescent="0.3">
      <c r="A58" s="50" t="s">
        <v>308</v>
      </c>
      <c r="B58" s="50"/>
      <c r="C58" s="38" t="s">
        <v>56</v>
      </c>
      <c r="G58" s="1224">
        <f>SUM('#1-Meritus:#5034-Mt Washington Pediatric'!F80:F80)</f>
        <v>4740.5</v>
      </c>
      <c r="H58" s="1224">
        <f>SUM('#1-Meritus:#5034-Mt Washington Pediatric'!G80:G80)</f>
        <v>5742</v>
      </c>
      <c r="I58" s="1224">
        <f>SUM('#1-Meritus:#5034-Mt Washington Pediatric'!H80:H80)</f>
        <v>694918.78600000008</v>
      </c>
      <c r="J58" s="1224">
        <f>SUM('#1-Meritus:#5034-Mt Washington Pediatric'!I80:I80)</f>
        <v>123927.73863537109</v>
      </c>
      <c r="K58" s="1224">
        <f>SUM('#1-Meritus:#5034-Mt Washington Pediatric'!J80:J80)</f>
        <v>12622</v>
      </c>
      <c r="L58" s="1224">
        <f>SUM('#1-Meritus:#5034-Mt Washington Pediatric'!K80:K80)</f>
        <v>806224.52463537105</v>
      </c>
      <c r="M58" s="84">
        <f>L58-J58</f>
        <v>682296.78599999996</v>
      </c>
      <c r="N58" s="45"/>
      <c r="O58" s="45"/>
    </row>
    <row r="59" spans="1:15" ht="13" x14ac:dyDescent="0.3">
      <c r="A59" s="50"/>
      <c r="B59" s="50"/>
      <c r="C59" s="67"/>
      <c r="G59" s="68"/>
      <c r="H59" s="68"/>
      <c r="I59" s="68"/>
      <c r="J59" s="68"/>
      <c r="K59" s="68"/>
      <c r="L59" s="68"/>
      <c r="M59" s="52"/>
      <c r="N59" s="45"/>
      <c r="O59" s="45"/>
    </row>
    <row r="60" spans="1:15" ht="13" x14ac:dyDescent="0.3">
      <c r="A60" s="50" t="s">
        <v>148</v>
      </c>
      <c r="B60" s="50"/>
      <c r="C60" s="38" t="s">
        <v>234</v>
      </c>
      <c r="D60" s="67"/>
      <c r="E60" s="67"/>
      <c r="F60" s="67"/>
      <c r="G60" s="63">
        <f>SUM(G55:G59)</f>
        <v>62729.080000000009</v>
      </c>
      <c r="H60" s="63">
        <f t="shared" ref="H60:M60" si="5">SUM(H55:H59)</f>
        <v>135731</v>
      </c>
      <c r="I60" s="88">
        <f t="shared" si="5"/>
        <v>15897395.477332108</v>
      </c>
      <c r="J60" s="88">
        <f t="shared" si="5"/>
        <v>685459.02862303692</v>
      </c>
      <c r="K60" s="88">
        <f t="shared" si="5"/>
        <v>1030496</v>
      </c>
      <c r="L60" s="88">
        <f t="shared" si="5"/>
        <v>15552358.505955141</v>
      </c>
      <c r="M60" s="88">
        <f t="shared" si="5"/>
        <v>14866899.477332106</v>
      </c>
      <c r="N60" s="45"/>
      <c r="O60" s="45"/>
    </row>
    <row r="61" spans="1:15" ht="13" x14ac:dyDescent="0.3">
      <c r="A61" s="50"/>
      <c r="B61" s="50"/>
      <c r="C61" s="38"/>
      <c r="D61" s="67"/>
      <c r="E61" s="67"/>
      <c r="F61" s="67"/>
      <c r="G61" s="69"/>
      <c r="H61" s="69"/>
      <c r="I61" s="69"/>
      <c r="J61" s="69"/>
      <c r="K61" s="69"/>
      <c r="L61" s="69"/>
      <c r="M61" s="69"/>
      <c r="N61" s="45"/>
      <c r="O61" s="45"/>
    </row>
    <row r="62" spans="1:15" ht="13" x14ac:dyDescent="0.3">
      <c r="A62" s="50"/>
      <c r="G62" s="54"/>
      <c r="H62" s="54"/>
      <c r="I62" s="55"/>
      <c r="J62" s="55"/>
      <c r="K62" s="55"/>
      <c r="L62" s="55"/>
      <c r="M62" s="55"/>
      <c r="N62" s="45"/>
      <c r="O62" s="45"/>
    </row>
    <row r="63" spans="1:15" ht="13" x14ac:dyDescent="0.3">
      <c r="A63" s="50"/>
      <c r="B63" s="50"/>
      <c r="C63" s="38"/>
      <c r="K63" s="48"/>
      <c r="L63" s="49"/>
      <c r="N63" s="45"/>
      <c r="O63" s="45"/>
    </row>
    <row r="64" spans="1:15" ht="41.25" customHeight="1" x14ac:dyDescent="0.3">
      <c r="A64" s="38" t="s">
        <v>492</v>
      </c>
      <c r="B64" s="50"/>
      <c r="C64" s="44" t="s">
        <v>57</v>
      </c>
      <c r="G64" s="41" t="s">
        <v>9</v>
      </c>
      <c r="H64" s="41" t="s">
        <v>37</v>
      </c>
      <c r="I64" s="41" t="s">
        <v>485</v>
      </c>
      <c r="J64" s="41" t="s">
        <v>486</v>
      </c>
      <c r="K64" s="42" t="s">
        <v>224</v>
      </c>
      <c r="L64" s="47" t="s">
        <v>483</v>
      </c>
      <c r="M64" s="41" t="s">
        <v>484</v>
      </c>
      <c r="N64" s="45"/>
      <c r="O64" s="45"/>
    </row>
    <row r="65" spans="1:15" x14ac:dyDescent="0.25">
      <c r="K65" s="48"/>
      <c r="L65" s="49"/>
      <c r="N65" s="45"/>
      <c r="O65" s="45"/>
    </row>
    <row r="66" spans="1:15" ht="13" x14ac:dyDescent="0.3">
      <c r="A66" s="50" t="s">
        <v>309</v>
      </c>
      <c r="B66" s="39"/>
      <c r="C66" s="44" t="s">
        <v>493</v>
      </c>
      <c r="G66" s="1224">
        <f>SUM('#1-Meritus:#5034-Mt Washington Pediatric'!F86:F86)</f>
        <v>16655</v>
      </c>
      <c r="H66" s="1224">
        <f>SUM('#1-Meritus:#5034-Mt Washington Pediatric'!G86:G86)</f>
        <v>3063</v>
      </c>
      <c r="I66" s="1224">
        <f>SUM('#1-Meritus:#5034-Mt Washington Pediatric'!H86:H86)</f>
        <v>5623673.2420595093</v>
      </c>
      <c r="J66" s="1224">
        <f>SUM('#1-Meritus:#5034-Mt Washington Pediatric'!I86:I86)</f>
        <v>3479897.3671579082</v>
      </c>
      <c r="K66" s="1224">
        <f>SUM('#1-Meritus:#5034-Mt Washington Pediatric'!J86:J86)</f>
        <v>3040953</v>
      </c>
      <c r="L66" s="1224">
        <f>SUM('#1-Meritus:#5034-Mt Washington Pediatric'!K86:K86)</f>
        <v>6062617.6092174165</v>
      </c>
      <c r="M66" s="84">
        <f>L66-J66</f>
        <v>2582720.2420595083</v>
      </c>
      <c r="N66" s="45"/>
      <c r="O66" s="45"/>
    </row>
    <row r="67" spans="1:15" ht="13" x14ac:dyDescent="0.3">
      <c r="A67" s="50" t="s">
        <v>310</v>
      </c>
      <c r="B67" s="38"/>
      <c r="C67" s="44" t="s">
        <v>14</v>
      </c>
      <c r="D67" s="44"/>
      <c r="E67" s="44"/>
      <c r="F67" s="44"/>
      <c r="G67" s="1224">
        <f>SUM('#1-Meritus:#5034-Mt Washington Pediatric'!F87:F87)</f>
        <v>12906.676712500001</v>
      </c>
      <c r="H67" s="1224">
        <f>SUM('#1-Meritus:#5034-Mt Washington Pediatric'!G87:G87)</f>
        <v>5970</v>
      </c>
      <c r="I67" s="1224">
        <f>SUM('#1-Meritus:#5034-Mt Washington Pediatric'!H87:H87)</f>
        <v>1449377.0839117647</v>
      </c>
      <c r="J67" s="1224">
        <f>SUM('#1-Meritus:#5034-Mt Washington Pediatric'!I87:I87)</f>
        <v>484518.87418218417</v>
      </c>
      <c r="K67" s="1224">
        <f>SUM('#1-Meritus:#5034-Mt Washington Pediatric'!J87:J87)</f>
        <v>377657</v>
      </c>
      <c r="L67" s="1224">
        <f>SUM('#1-Meritus:#5034-Mt Washington Pediatric'!K87:K87)</f>
        <v>1556238.9580939482</v>
      </c>
      <c r="M67" s="84">
        <f t="shared" ref="M67:M76" si="6">L67-J67</f>
        <v>1071720.083911764</v>
      </c>
      <c r="N67" s="45"/>
      <c r="O67" s="45"/>
    </row>
    <row r="68" spans="1:15" ht="13" x14ac:dyDescent="0.3">
      <c r="A68" s="50" t="s">
        <v>311</v>
      </c>
      <c r="B68" s="50"/>
      <c r="C68" s="44" t="s">
        <v>494</v>
      </c>
      <c r="D68" s="44"/>
      <c r="E68" s="44"/>
      <c r="F68" s="44"/>
      <c r="G68" s="1224">
        <f>SUM('#1-Meritus:#5034-Mt Washington Pediatric'!F88:F88)</f>
        <v>88983.5</v>
      </c>
      <c r="H68" s="1224">
        <f>SUM('#1-Meritus:#5034-Mt Washington Pediatric'!G88:G88)</f>
        <v>14269.395199771283</v>
      </c>
      <c r="I68" s="1224">
        <f>SUM('#1-Meritus:#5034-Mt Washington Pediatric'!H88:H88)</f>
        <v>3264804.4616817306</v>
      </c>
      <c r="J68" s="1224">
        <f>SUM('#1-Meritus:#5034-Mt Washington Pediatric'!I88:I88)</f>
        <v>1766241.6457129833</v>
      </c>
      <c r="K68" s="1224">
        <f>SUM('#1-Meritus:#5034-Mt Washington Pediatric'!J88:J88)</f>
        <v>728145</v>
      </c>
      <c r="L68" s="1224">
        <f>SUM('#1-Meritus:#5034-Mt Washington Pediatric'!K88:K88)</f>
        <v>4302901.1073947148</v>
      </c>
      <c r="M68" s="84">
        <f t="shared" si="6"/>
        <v>2536659.4616817315</v>
      </c>
      <c r="N68" s="45"/>
      <c r="O68" s="45"/>
    </row>
    <row r="69" spans="1:15" ht="13" x14ac:dyDescent="0.3">
      <c r="A69" s="50" t="s">
        <v>312</v>
      </c>
      <c r="B69" s="50"/>
      <c r="C69" s="44" t="s">
        <v>58</v>
      </c>
      <c r="D69" s="44"/>
      <c r="E69" s="44"/>
      <c r="F69" s="44"/>
      <c r="G69" s="1224">
        <f>SUM('#1-Meritus:#5034-Mt Washington Pediatric'!F89:F89)</f>
        <v>16759</v>
      </c>
      <c r="H69" s="1224">
        <f>SUM('#1-Meritus:#5034-Mt Washington Pediatric'!G89:G89)</f>
        <v>2674</v>
      </c>
      <c r="I69" s="1224">
        <f>SUM('#1-Meritus:#5034-Mt Washington Pediatric'!H89:H89)</f>
        <v>701162.27799999993</v>
      </c>
      <c r="J69" s="1224">
        <f>SUM('#1-Meritus:#5034-Mt Washington Pediatric'!I89:I89)</f>
        <v>344856.26517379872</v>
      </c>
      <c r="K69" s="1224">
        <f>SUM('#1-Meritus:#5034-Mt Washington Pediatric'!J89:J89)</f>
        <v>5400</v>
      </c>
      <c r="L69" s="1224">
        <f>SUM('#1-Meritus:#5034-Mt Washington Pediatric'!K89:K89)</f>
        <v>1040618.5431737987</v>
      </c>
      <c r="M69" s="84">
        <f t="shared" si="6"/>
        <v>695762.27799999993</v>
      </c>
      <c r="N69" s="45"/>
      <c r="O69" s="45"/>
    </row>
    <row r="70" spans="1:15" ht="13" x14ac:dyDescent="0.3">
      <c r="A70" s="50" t="s">
        <v>313</v>
      </c>
      <c r="B70" s="50"/>
      <c r="C70" s="43" t="s">
        <v>59</v>
      </c>
      <c r="D70" s="44"/>
      <c r="E70" s="44"/>
      <c r="F70" s="44"/>
      <c r="G70" s="1224">
        <f>SUM('#1-Meritus:#5034-Mt Washington Pediatric'!F90:F90)</f>
        <v>7580</v>
      </c>
      <c r="H70" s="1224">
        <f>SUM('#1-Meritus:#5034-Mt Washington Pediatric'!G90:G90)</f>
        <v>857</v>
      </c>
      <c r="I70" s="1224">
        <f>SUM('#1-Meritus:#5034-Mt Washington Pediatric'!H90:H90)</f>
        <v>274238.14</v>
      </c>
      <c r="J70" s="1224">
        <f>SUM('#1-Meritus:#5034-Mt Washington Pediatric'!I90:I90)</f>
        <v>168054.78716048121</v>
      </c>
      <c r="K70" s="1224">
        <f>SUM('#1-Meritus:#5034-Mt Washington Pediatric'!J90:J90)</f>
        <v>0</v>
      </c>
      <c r="L70" s="1224">
        <f>SUM('#1-Meritus:#5034-Mt Washington Pediatric'!K90:K90)</f>
        <v>442292.92716048117</v>
      </c>
      <c r="M70" s="84">
        <f t="shared" si="6"/>
        <v>274238.13999999996</v>
      </c>
      <c r="N70" s="45"/>
      <c r="O70" s="45"/>
    </row>
    <row r="71" spans="1:15" ht="13" x14ac:dyDescent="0.3">
      <c r="A71" s="50" t="s">
        <v>314</v>
      </c>
      <c r="B71" s="50"/>
      <c r="C71" s="44" t="s">
        <v>60</v>
      </c>
      <c r="D71" s="71"/>
      <c r="E71" s="71"/>
      <c r="F71" s="71"/>
      <c r="G71" s="1224">
        <f>SUM('#1-Meritus:#5034-Mt Washington Pediatric'!F91:F91)</f>
        <v>25098.29120194053</v>
      </c>
      <c r="H71" s="1224">
        <f>SUM('#1-Meritus:#5034-Mt Washington Pediatric'!G91:G91)</f>
        <v>44733</v>
      </c>
      <c r="I71" s="1224">
        <f>SUM('#1-Meritus:#5034-Mt Washington Pediatric'!H91:H91)</f>
        <v>3581068.8452215409</v>
      </c>
      <c r="J71" s="1224">
        <f>SUM('#1-Meritus:#5034-Mt Washington Pediatric'!I91:I91)</f>
        <v>2125861.5092875734</v>
      </c>
      <c r="K71" s="1224">
        <f>SUM('#1-Meritus:#5034-Mt Washington Pediatric'!J91:J91)</f>
        <v>244237.64</v>
      </c>
      <c r="L71" s="1224">
        <f>SUM('#1-Meritus:#5034-Mt Washington Pediatric'!K91:K91)</f>
        <v>5462692.7145091146</v>
      </c>
      <c r="M71" s="84">
        <f t="shared" si="6"/>
        <v>3336831.2052215412</v>
      </c>
      <c r="N71" s="45"/>
      <c r="O71" s="45"/>
    </row>
    <row r="72" spans="1:15" ht="13" x14ac:dyDescent="0.3">
      <c r="A72" s="50" t="s">
        <v>315</v>
      </c>
      <c r="B72" s="50"/>
      <c r="C72" s="44" t="s">
        <v>495</v>
      </c>
      <c r="D72" s="44"/>
      <c r="E72" s="44"/>
      <c r="F72" s="44"/>
      <c r="G72" s="1224">
        <f>SUM('#1-Meritus:#5034-Mt Washington Pediatric'!F92:F92)</f>
        <v>30649.173473500003</v>
      </c>
      <c r="H72" s="1224">
        <f>SUM('#1-Meritus:#5034-Mt Washington Pediatric'!G92:G92)</f>
        <v>8329</v>
      </c>
      <c r="I72" s="1224">
        <f>SUM('#1-Meritus:#5034-Mt Washington Pediatric'!H92:H92)</f>
        <v>2368508.2280511744</v>
      </c>
      <c r="J72" s="1224">
        <f>SUM('#1-Meritus:#5034-Mt Washington Pediatric'!I92:I92)</f>
        <v>1367825.1381343259</v>
      </c>
      <c r="K72" s="1224">
        <f>SUM('#1-Meritus:#5034-Mt Washington Pediatric'!J92:J92)</f>
        <v>0</v>
      </c>
      <c r="L72" s="1224">
        <f>SUM('#1-Meritus:#5034-Mt Washington Pediatric'!K92:K92)</f>
        <v>3736333.3661855003</v>
      </c>
      <c r="M72" s="84">
        <f t="shared" si="6"/>
        <v>2368508.2280511744</v>
      </c>
      <c r="N72" s="45"/>
      <c r="O72" s="45"/>
    </row>
    <row r="73" spans="1:15" ht="13" x14ac:dyDescent="0.3">
      <c r="A73" s="50" t="s">
        <v>316</v>
      </c>
      <c r="B73" s="50"/>
      <c r="C73" s="44" t="s">
        <v>496</v>
      </c>
      <c r="D73" s="44"/>
      <c r="E73" s="44"/>
      <c r="F73" s="44"/>
      <c r="G73" s="1224">
        <f>SUM('#1-Meritus:#5034-Mt Washington Pediatric'!F93:F93)</f>
        <v>84610.349875906089</v>
      </c>
      <c r="H73" s="1224">
        <f>SUM('#1-Meritus:#5034-Mt Washington Pediatric'!G93:G93)</f>
        <v>44099.525000000001</v>
      </c>
      <c r="I73" s="1224">
        <f>SUM('#1-Meritus:#5034-Mt Washington Pediatric'!H93:H93)</f>
        <v>3722194.2656724579</v>
      </c>
      <c r="J73" s="1224">
        <f>SUM('#1-Meritus:#5034-Mt Washington Pediatric'!I93:I93)</f>
        <v>2203526.9771796106</v>
      </c>
      <c r="K73" s="1224">
        <f>SUM('#1-Meritus:#5034-Mt Washington Pediatric'!J93:J93)</f>
        <v>276473</v>
      </c>
      <c r="L73" s="1224">
        <f>SUM('#1-Meritus:#5034-Mt Washington Pediatric'!K93:K93)</f>
        <v>5649248.2428520694</v>
      </c>
      <c r="M73" s="84">
        <f t="shared" si="6"/>
        <v>3445721.2656724588</v>
      </c>
      <c r="N73" s="45"/>
      <c r="O73" s="45"/>
    </row>
    <row r="74" spans="1:15" ht="13" x14ac:dyDescent="0.3">
      <c r="A74" s="50" t="s">
        <v>392</v>
      </c>
      <c r="B74" s="50"/>
      <c r="C74" s="44" t="s">
        <v>279</v>
      </c>
      <c r="D74" s="44"/>
      <c r="E74" s="44"/>
      <c r="F74" s="44"/>
      <c r="G74" s="1224">
        <f>SUM('#1-Meritus:#5034-Mt Washington Pediatric'!F94:F94)</f>
        <v>4849</v>
      </c>
      <c r="H74" s="1224">
        <f>SUM('#1-Meritus:#5034-Mt Washington Pediatric'!G94:G94)</f>
        <v>84366</v>
      </c>
      <c r="I74" s="1224">
        <f>SUM('#1-Meritus:#5034-Mt Washington Pediatric'!H94:H94)</f>
        <v>534647.76199999999</v>
      </c>
      <c r="J74" s="1224">
        <f>SUM('#1-Meritus:#5034-Mt Washington Pediatric'!I94:I94)</f>
        <v>308811.50382003619</v>
      </c>
      <c r="K74" s="1224">
        <f>SUM('#1-Meritus:#5034-Mt Washington Pediatric'!J94:J94)</f>
        <v>6090</v>
      </c>
      <c r="L74" s="1224">
        <f>SUM('#1-Meritus:#5034-Mt Washington Pediatric'!K94:K94)</f>
        <v>837369.26582003618</v>
      </c>
      <c r="M74" s="84">
        <f t="shared" si="6"/>
        <v>528557.76199999999</v>
      </c>
      <c r="N74" s="45"/>
      <c r="O74" s="45"/>
    </row>
    <row r="75" spans="1:15" ht="13" x14ac:dyDescent="0.3">
      <c r="A75" s="50" t="s">
        <v>112</v>
      </c>
      <c r="B75" s="50"/>
      <c r="C75" s="44" t="s">
        <v>279</v>
      </c>
      <c r="D75" s="44"/>
      <c r="E75" s="44"/>
      <c r="F75" s="44"/>
      <c r="G75" s="1224">
        <f>SUM('#1-Meritus:#5034-Mt Washington Pediatric'!F95:F95)</f>
        <v>208</v>
      </c>
      <c r="H75" s="1224">
        <f>SUM('#1-Meritus:#5034-Mt Washington Pediatric'!G95:G95)</f>
        <v>156</v>
      </c>
      <c r="I75" s="1224">
        <f>SUM('#1-Meritus:#5034-Mt Washington Pediatric'!H95:H95)</f>
        <v>12200</v>
      </c>
      <c r="J75" s="1224">
        <f>SUM('#1-Meritus:#5034-Mt Washington Pediatric'!I95:I95)</f>
        <v>6237.86</v>
      </c>
      <c r="K75" s="1224">
        <f>SUM('#1-Meritus:#5034-Mt Washington Pediatric'!J95:J95)</f>
        <v>0</v>
      </c>
      <c r="L75" s="1224">
        <f>SUM('#1-Meritus:#5034-Mt Washington Pediatric'!K95:K95)</f>
        <v>18437.86</v>
      </c>
      <c r="M75" s="84">
        <f t="shared" si="6"/>
        <v>12200</v>
      </c>
      <c r="N75" s="45"/>
      <c r="O75" s="45"/>
    </row>
    <row r="76" spans="1:15" ht="13" x14ac:dyDescent="0.3">
      <c r="A76" s="50" t="s">
        <v>497</v>
      </c>
      <c r="B76" s="50"/>
      <c r="C76" s="1349"/>
      <c r="D76" s="1349"/>
      <c r="E76" s="1350"/>
      <c r="F76" s="85"/>
      <c r="G76" s="1224">
        <f>SUM('#1-Meritus:#5034-Mt Washington Pediatric'!F96:F96)</f>
        <v>0</v>
      </c>
      <c r="H76" s="1224">
        <f>SUM('#1-Meritus:#5034-Mt Washington Pediatric'!G96:G96)</f>
        <v>0</v>
      </c>
      <c r="I76" s="1224">
        <f>SUM('#1-Meritus:#5034-Mt Washington Pediatric'!H96:H96)</f>
        <v>0</v>
      </c>
      <c r="J76" s="1224">
        <f>SUM('#1-Meritus:#5034-Mt Washington Pediatric'!I96:I96)</f>
        <v>0</v>
      </c>
      <c r="K76" s="1224">
        <f>SUM('#1-Meritus:#5034-Mt Washington Pediatric'!J96:J96)</f>
        <v>0</v>
      </c>
      <c r="L76" s="1224">
        <f>SUM('#1-Meritus:#5034-Mt Washington Pediatric'!K96:K96)</f>
        <v>0</v>
      </c>
      <c r="M76" s="84">
        <f t="shared" si="6"/>
        <v>0</v>
      </c>
      <c r="N76" s="45"/>
      <c r="O76" s="45"/>
    </row>
    <row r="77" spans="1:15" ht="13" x14ac:dyDescent="0.3">
      <c r="B77" s="50"/>
      <c r="D77" s="44"/>
      <c r="E77" s="44"/>
      <c r="F77" s="44"/>
      <c r="I77" s="57"/>
      <c r="J77" s="57"/>
      <c r="K77" s="57"/>
      <c r="L77" s="57"/>
      <c r="M77" s="45"/>
      <c r="N77" s="45"/>
      <c r="O77" s="45"/>
    </row>
    <row r="78" spans="1:15" ht="13" x14ac:dyDescent="0.3">
      <c r="A78" s="38" t="s">
        <v>150</v>
      </c>
      <c r="B78" s="50"/>
      <c r="C78" s="44" t="s">
        <v>234</v>
      </c>
      <c r="G78" s="70">
        <f>SUM(G66:G76)</f>
        <v>288298.99126384663</v>
      </c>
      <c r="H78" s="70">
        <f t="shared" ref="H78:M78" si="7">SUM(H66:H76)</f>
        <v>208516.9201997713</v>
      </c>
      <c r="I78" s="70">
        <f t="shared" si="7"/>
        <v>21531874.306598175</v>
      </c>
      <c r="J78" s="70">
        <f t="shared" si="7"/>
        <v>12255831.927808901</v>
      </c>
      <c r="K78" s="70">
        <f t="shared" si="7"/>
        <v>4678955.6399999997</v>
      </c>
      <c r="L78" s="70">
        <f t="shared" si="7"/>
        <v>29108750.594407082</v>
      </c>
      <c r="M78" s="70">
        <f t="shared" si="7"/>
        <v>16852918.666598178</v>
      </c>
      <c r="N78" s="45"/>
      <c r="O78" s="45"/>
    </row>
    <row r="79" spans="1:15" ht="13" x14ac:dyDescent="0.3">
      <c r="A79" s="50"/>
      <c r="B79" s="50"/>
      <c r="C79" s="44"/>
      <c r="G79" s="61"/>
      <c r="H79" s="61"/>
      <c r="I79" s="61"/>
      <c r="J79" s="61"/>
      <c r="K79" s="61"/>
      <c r="L79" s="61"/>
      <c r="M79" s="61"/>
      <c r="N79" s="45"/>
      <c r="O79" s="45"/>
    </row>
    <row r="80" spans="1:15" ht="13" x14ac:dyDescent="0.3">
      <c r="A80" s="39"/>
      <c r="B80" s="39"/>
      <c r="C80" s="44"/>
      <c r="K80" s="48"/>
      <c r="L80" s="49"/>
      <c r="N80" s="45"/>
      <c r="O80" s="45"/>
    </row>
    <row r="81" spans="1:15" ht="46.5" customHeight="1" x14ac:dyDescent="0.3">
      <c r="A81" s="44" t="s">
        <v>498</v>
      </c>
      <c r="B81" s="44"/>
      <c r="C81" s="44" t="s">
        <v>63</v>
      </c>
      <c r="G81" s="41" t="s">
        <v>9</v>
      </c>
      <c r="H81" s="41" t="s">
        <v>37</v>
      </c>
      <c r="I81" s="41" t="s">
        <v>485</v>
      </c>
      <c r="J81" s="41" t="s">
        <v>486</v>
      </c>
      <c r="K81" s="42" t="s">
        <v>224</v>
      </c>
      <c r="L81" s="47" t="s">
        <v>483</v>
      </c>
      <c r="M81" s="41" t="s">
        <v>484</v>
      </c>
      <c r="N81" s="45"/>
      <c r="O81" s="45"/>
    </row>
    <row r="82" spans="1:15" ht="13" x14ac:dyDescent="0.3">
      <c r="A82" s="39"/>
      <c r="B82" s="39"/>
      <c r="C82" s="44"/>
      <c r="K82" s="48"/>
      <c r="L82" s="49"/>
      <c r="N82" s="45"/>
      <c r="O82" s="45"/>
    </row>
    <row r="83" spans="1:15" ht="13" x14ac:dyDescent="0.3">
      <c r="A83" s="50" t="s">
        <v>317</v>
      </c>
      <c r="B83" s="39"/>
      <c r="C83" s="36" t="s">
        <v>499</v>
      </c>
      <c r="G83" s="1224">
        <f>SUM('#1-Meritus:#5034-Mt Washington Pediatric'!F102:F102)</f>
        <v>116048.56899999999</v>
      </c>
      <c r="H83" s="1224">
        <f>SUM('#1-Meritus:#5034-Mt Washington Pediatric'!G102:G102)</f>
        <v>12159</v>
      </c>
      <c r="I83" s="1224">
        <f>SUM('#1-Meritus:#5034-Mt Washington Pediatric'!H102:H102)</f>
        <v>7108908.2786292713</v>
      </c>
      <c r="J83" s="1224">
        <f>SUM('#1-Meritus:#5034-Mt Washington Pediatric'!I102:I102)</f>
        <v>4587066.6597597273</v>
      </c>
      <c r="K83" s="1224">
        <f>SUM('#1-Meritus:#5034-Mt Washington Pediatric'!J102:J102)</f>
        <v>105116.33750000001</v>
      </c>
      <c r="L83" s="1224">
        <f>SUM('#1-Meritus:#5034-Mt Washington Pediatric'!K102:K102)</f>
        <v>11590858.600888995</v>
      </c>
      <c r="M83" s="84">
        <f>L83-J83</f>
        <v>7003791.9411292681</v>
      </c>
      <c r="N83" s="45"/>
      <c r="O83" s="45"/>
    </row>
    <row r="84" spans="1:15" ht="13" x14ac:dyDescent="0.3">
      <c r="A84" s="50" t="s">
        <v>318</v>
      </c>
      <c r="B84" s="38"/>
      <c r="C84" s="58" t="s">
        <v>62</v>
      </c>
      <c r="G84" s="1224">
        <f>SUM('#1-Meritus:#5034-Mt Washington Pediatric'!F103:F103)</f>
        <v>4081.1922500000001</v>
      </c>
      <c r="H84" s="1224">
        <f>SUM('#1-Meritus:#5034-Mt Washington Pediatric'!G103:G103)</f>
        <v>198</v>
      </c>
      <c r="I84" s="1224">
        <f>SUM('#1-Meritus:#5034-Mt Washington Pediatric'!H103:H103)</f>
        <v>383357.53243499651</v>
      </c>
      <c r="J84" s="1224">
        <f>SUM('#1-Meritus:#5034-Mt Washington Pediatric'!I103:I103)</f>
        <v>174221.8109152496</v>
      </c>
      <c r="K84" s="1224">
        <f>SUM('#1-Meritus:#5034-Mt Washington Pediatric'!J103:J103)</f>
        <v>12622</v>
      </c>
      <c r="L84" s="1224">
        <f>SUM('#1-Meritus:#5034-Mt Washington Pediatric'!K103:K103)</f>
        <v>544957.34335024608</v>
      </c>
      <c r="M84" s="84">
        <f>L84-J84</f>
        <v>370735.53243499645</v>
      </c>
      <c r="N84" s="45"/>
      <c r="O84" s="45"/>
    </row>
    <row r="85" spans="1:15" ht="13" x14ac:dyDescent="0.3">
      <c r="A85" s="50" t="s">
        <v>390</v>
      </c>
      <c r="B85" s="50"/>
      <c r="C85" s="36" t="s">
        <v>389</v>
      </c>
      <c r="D85" s="59"/>
      <c r="E85" s="59"/>
      <c r="F85" s="59"/>
      <c r="G85" s="1224">
        <f>SUM('#1-Meritus:#5034-Mt Washington Pediatric'!F104:F104)</f>
        <v>8350.32</v>
      </c>
      <c r="H85" s="1224">
        <f>SUM('#1-Meritus:#5034-Mt Washington Pediatric'!G104:G104)</f>
        <v>545</v>
      </c>
      <c r="I85" s="1224">
        <f>SUM('#1-Meritus:#5034-Mt Washington Pediatric'!H104:H104)</f>
        <v>1635386.4985000002</v>
      </c>
      <c r="J85" s="1224">
        <f>SUM('#1-Meritus:#5034-Mt Washington Pediatric'!I104:I104)</f>
        <v>570586.49435010948</v>
      </c>
      <c r="K85" s="1224">
        <f>SUM('#1-Meritus:#5034-Mt Washington Pediatric'!J104:J104)</f>
        <v>30847.987999999998</v>
      </c>
      <c r="L85" s="1224">
        <f>SUM('#1-Meritus:#5034-Mt Washington Pediatric'!K104:K104)</f>
        <v>2175125.0048501096</v>
      </c>
      <c r="M85" s="84">
        <f>L85-J85</f>
        <v>1604538.5105000001</v>
      </c>
      <c r="N85" s="45"/>
      <c r="O85" s="45"/>
    </row>
    <row r="86" spans="1:15" ht="13" x14ac:dyDescent="0.3">
      <c r="A86" s="50" t="s">
        <v>393</v>
      </c>
      <c r="B86" s="50"/>
      <c r="C86" s="44"/>
      <c r="G86" s="1224">
        <f>SUM('#1-Meritus:#5034-Mt Washington Pediatric'!F105:F105)</f>
        <v>0</v>
      </c>
      <c r="H86" s="1224">
        <f>SUM('#1-Meritus:#5034-Mt Washington Pediatric'!G105:G105)</f>
        <v>0</v>
      </c>
      <c r="I86" s="1224">
        <f>SUM('#1-Meritus:#5034-Mt Washington Pediatric'!H105:H105)</f>
        <v>0</v>
      </c>
      <c r="J86" s="1224">
        <f>SUM('#1-Meritus:#5034-Mt Washington Pediatric'!I105:I105)</f>
        <v>0</v>
      </c>
      <c r="K86" s="1224">
        <f>SUM('#1-Meritus:#5034-Mt Washington Pediatric'!J105:J105)</f>
        <v>0</v>
      </c>
      <c r="L86" s="1224">
        <f>SUM('#1-Meritus:#5034-Mt Washington Pediatric'!K105:K105)</f>
        <v>0</v>
      </c>
      <c r="M86" s="84">
        <f>L86-J86</f>
        <v>0</v>
      </c>
      <c r="N86" s="45"/>
      <c r="O86" s="45"/>
    </row>
    <row r="87" spans="1:15" ht="13" x14ac:dyDescent="0.3">
      <c r="A87" s="50" t="s">
        <v>394</v>
      </c>
      <c r="B87" s="50"/>
      <c r="C87" s="44"/>
      <c r="G87" s="1224">
        <f>SUM('#1-Meritus:#5034-Mt Washington Pediatric'!F106:F106)</f>
        <v>0</v>
      </c>
      <c r="H87" s="1224">
        <f>SUM('#1-Meritus:#5034-Mt Washington Pediatric'!G106:G106)</f>
        <v>0</v>
      </c>
      <c r="I87" s="1224">
        <f>SUM('#1-Meritus:#5034-Mt Washington Pediatric'!H106:H106)</f>
        <v>0</v>
      </c>
      <c r="J87" s="1224">
        <f>SUM('#1-Meritus:#5034-Mt Washington Pediatric'!I106:I106)</f>
        <v>0</v>
      </c>
      <c r="K87" s="1224">
        <f>SUM('#1-Meritus:#5034-Mt Washington Pediatric'!J106:J106)</f>
        <v>0</v>
      </c>
      <c r="L87" s="1224">
        <f>SUM('#1-Meritus:#5034-Mt Washington Pediatric'!K106:K106)</f>
        <v>0</v>
      </c>
      <c r="M87" s="84">
        <f>L87-J87</f>
        <v>0</v>
      </c>
      <c r="N87" s="45"/>
      <c r="O87" s="45"/>
    </row>
    <row r="88" spans="1:15" ht="13" x14ac:dyDescent="0.3">
      <c r="A88" s="50"/>
      <c r="B88" s="50"/>
      <c r="C88" s="44"/>
      <c r="G88" s="72"/>
      <c r="H88" s="73"/>
      <c r="I88" s="73"/>
      <c r="J88" s="73"/>
      <c r="K88" s="73"/>
      <c r="L88" s="73"/>
      <c r="N88" s="45"/>
      <c r="O88" s="45"/>
    </row>
    <row r="89" spans="1:15" ht="13" x14ac:dyDescent="0.3">
      <c r="A89" s="44" t="s">
        <v>153</v>
      </c>
      <c r="B89" s="39"/>
      <c r="C89" s="44" t="s">
        <v>234</v>
      </c>
      <c r="D89" s="45"/>
      <c r="E89" s="45"/>
      <c r="F89" s="45"/>
      <c r="G89" s="70">
        <f>SUM(G83:G87)</f>
        <v>128480.08124999999</v>
      </c>
      <c r="H89" s="70">
        <f t="shared" ref="H89:M89" si="8">SUM(H83:H87)</f>
        <v>12902</v>
      </c>
      <c r="I89" s="70">
        <f t="shared" si="8"/>
        <v>9127652.3095642682</v>
      </c>
      <c r="J89" s="70">
        <f t="shared" si="8"/>
        <v>5331874.965025086</v>
      </c>
      <c r="K89" s="70">
        <f t="shared" si="8"/>
        <v>148586.32550000001</v>
      </c>
      <c r="L89" s="70">
        <f t="shared" si="8"/>
        <v>14310940.949089352</v>
      </c>
      <c r="M89" s="70">
        <f t="shared" si="8"/>
        <v>8979065.9840642642</v>
      </c>
      <c r="N89" s="45"/>
      <c r="O89" s="45"/>
    </row>
    <row r="90" spans="1:15" ht="13" x14ac:dyDescent="0.3">
      <c r="A90" s="39"/>
      <c r="B90" s="39"/>
      <c r="C90" s="44"/>
      <c r="D90" s="45"/>
      <c r="E90" s="45"/>
      <c r="F90" s="45"/>
      <c r="G90" s="74"/>
      <c r="H90" s="74"/>
      <c r="I90" s="74"/>
      <c r="J90" s="74"/>
      <c r="K90" s="74"/>
      <c r="L90" s="74"/>
      <c r="M90" s="45"/>
      <c r="N90" s="45"/>
      <c r="O90" s="45"/>
    </row>
    <row r="91" spans="1:15" ht="13" x14ac:dyDescent="0.3">
      <c r="A91" s="39"/>
      <c r="B91" s="39"/>
      <c r="C91" s="44"/>
      <c r="D91" s="45"/>
      <c r="E91" s="45"/>
      <c r="F91" s="45"/>
      <c r="K91" s="48"/>
      <c r="L91" s="49"/>
      <c r="M91" s="45"/>
      <c r="N91" s="45"/>
      <c r="O91" s="45"/>
    </row>
    <row r="92" spans="1:15" ht="13" x14ac:dyDescent="0.3">
      <c r="A92" s="38" t="s">
        <v>500</v>
      </c>
      <c r="B92" s="39"/>
      <c r="C92" s="44" t="s">
        <v>39</v>
      </c>
      <c r="K92" s="48"/>
      <c r="L92" s="49"/>
      <c r="N92" s="45"/>
      <c r="O92" s="45"/>
    </row>
    <row r="93" spans="1:15" ht="13" x14ac:dyDescent="0.3">
      <c r="B93" s="39"/>
      <c r="G93" s="53">
        <f>SUM('#1-Meritus:#5034-Mt Washington Pediatric'!F111)</f>
        <v>287451403.46000004</v>
      </c>
      <c r="I93" s="66"/>
      <c r="J93" s="66"/>
      <c r="K93" s="48"/>
      <c r="L93" s="49"/>
      <c r="N93" s="45"/>
      <c r="O93" s="45"/>
    </row>
    <row r="94" spans="1:15" ht="13" x14ac:dyDescent="0.3">
      <c r="B94" s="38"/>
      <c r="C94" s="44"/>
      <c r="K94" s="48"/>
      <c r="L94" s="49"/>
      <c r="N94" s="45"/>
      <c r="O94" s="45"/>
    </row>
    <row r="95" spans="1:15" x14ac:dyDescent="0.25">
      <c r="A95" s="39"/>
      <c r="B95" s="39"/>
      <c r="K95" s="48"/>
      <c r="L95" s="49"/>
      <c r="N95" s="45"/>
      <c r="O95" s="45"/>
    </row>
    <row r="96" spans="1:15" ht="44.25" customHeight="1" x14ac:dyDescent="0.3">
      <c r="A96" s="39"/>
      <c r="B96" s="39"/>
      <c r="G96" s="41" t="s">
        <v>9</v>
      </c>
      <c r="H96" s="41" t="s">
        <v>37</v>
      </c>
      <c r="I96" s="41" t="s">
        <v>485</v>
      </c>
      <c r="J96" s="41" t="s">
        <v>486</v>
      </c>
      <c r="K96" s="42" t="s">
        <v>224</v>
      </c>
      <c r="L96" s="47" t="s">
        <v>483</v>
      </c>
      <c r="M96" s="41" t="s">
        <v>484</v>
      </c>
      <c r="N96" s="45"/>
      <c r="O96" s="45"/>
    </row>
    <row r="97" spans="1:15" ht="13" x14ac:dyDescent="0.3">
      <c r="A97" s="38" t="s">
        <v>501</v>
      </c>
      <c r="B97" s="50"/>
      <c r="C97" s="44" t="s">
        <v>23</v>
      </c>
      <c r="K97" s="48"/>
      <c r="L97" s="49"/>
      <c r="N97" s="45"/>
      <c r="O97" s="45"/>
    </row>
    <row r="98" spans="1:15" ht="13" x14ac:dyDescent="0.3">
      <c r="B98" s="39"/>
      <c r="C98" s="44"/>
      <c r="G98" s="75"/>
      <c r="H98" s="75"/>
      <c r="I98" s="76"/>
      <c r="J98" s="76"/>
      <c r="K98" s="76"/>
      <c r="L98" s="76"/>
      <c r="M98" s="76"/>
      <c r="N98" s="45"/>
      <c r="O98" s="45"/>
    </row>
    <row r="99" spans="1:15" ht="13" x14ac:dyDescent="0.3">
      <c r="A99" s="50" t="s">
        <v>319</v>
      </c>
      <c r="B99" s="38"/>
      <c r="C99" s="44" t="s">
        <v>24</v>
      </c>
      <c r="G99" s="70">
        <f>SUM('#1-Meritus:#5034-Mt Washington Pediatric'!F131)</f>
        <v>8172</v>
      </c>
      <c r="H99" s="70">
        <f>SUM('#1-Meritus:#5034-Mt Washington Pediatric'!G131)</f>
        <v>11928</v>
      </c>
      <c r="I99" s="70">
        <f>SUM('#1-Meritus:#5034-Mt Washington Pediatric'!H131)</f>
        <v>956931</v>
      </c>
      <c r="J99" s="70">
        <f>SUM('#1-Meritus:#5034-Mt Washington Pediatric'!I131)</f>
        <v>79343.467432437552</v>
      </c>
      <c r="K99" s="70">
        <f>SUM('#1-Meritus:#5034-Mt Washington Pediatric'!J131)</f>
        <v>202966</v>
      </c>
      <c r="L99" s="70">
        <f>SUM('#1-Meritus:#5034-Mt Washington Pediatric'!K131)</f>
        <v>833308.46743243746</v>
      </c>
      <c r="M99" s="84">
        <f>L99-J99</f>
        <v>753964.99999999988</v>
      </c>
      <c r="N99" s="45"/>
      <c r="O99" s="45"/>
    </row>
    <row r="100" spans="1:15" ht="13" x14ac:dyDescent="0.3">
      <c r="A100" s="50" t="s">
        <v>320</v>
      </c>
      <c r="B100" s="50"/>
      <c r="C100" s="44" t="s">
        <v>25</v>
      </c>
      <c r="G100" s="70">
        <f>SUM('#1-Meritus:#5034-Mt Washington Pediatric'!F132)</f>
        <v>65110</v>
      </c>
      <c r="H100" s="70">
        <f>SUM('#1-Meritus:#5034-Mt Washington Pediatric'!G132)</f>
        <v>11940</v>
      </c>
      <c r="I100" s="70">
        <f>SUM('#1-Meritus:#5034-Mt Washington Pediatric'!H132)</f>
        <v>2886877</v>
      </c>
      <c r="J100" s="70">
        <f>SUM('#1-Meritus:#5034-Mt Washington Pediatric'!I132)</f>
        <v>55657.100831919277</v>
      </c>
      <c r="K100" s="70">
        <f>SUM('#1-Meritus:#5034-Mt Washington Pediatric'!J132)</f>
        <v>1966463</v>
      </c>
      <c r="L100" s="70">
        <f>SUM('#1-Meritus:#5034-Mt Washington Pediatric'!K132)</f>
        <v>976071.10083191935</v>
      </c>
      <c r="M100" s="84">
        <f>L100-J100</f>
        <v>920414.00000000012</v>
      </c>
      <c r="N100" s="45"/>
      <c r="O100" s="45"/>
    </row>
    <row r="101" spans="1:15" ht="13" x14ac:dyDescent="0.3">
      <c r="A101" s="50" t="s">
        <v>515</v>
      </c>
      <c r="B101" s="50"/>
      <c r="C101" s="44" t="s">
        <v>279</v>
      </c>
      <c r="G101" s="70">
        <f>SUM('#1-Meritus:#5034-Mt Washington Pediatric'!F133)</f>
        <v>0</v>
      </c>
      <c r="H101" s="70">
        <f>SUM('#1-Meritus:#5034-Mt Washington Pediatric'!G133)</f>
        <v>0</v>
      </c>
      <c r="I101" s="70">
        <f>SUM('#1-Meritus:#5034-Mt Washington Pediatric'!H133)</f>
        <v>0</v>
      </c>
      <c r="J101" s="70">
        <f>SUM('#1-Meritus:#5034-Mt Washington Pediatric'!I133)</f>
        <v>0</v>
      </c>
      <c r="K101" s="70">
        <f>SUM('#1-Meritus:#5034-Mt Washington Pediatric'!J133)</f>
        <v>0</v>
      </c>
      <c r="L101" s="70">
        <f>SUM('#1-Meritus:#5034-Mt Washington Pediatric'!K133)</f>
        <v>0</v>
      </c>
      <c r="M101" s="84">
        <f>L101-J101</f>
        <v>0</v>
      </c>
      <c r="N101" s="45"/>
      <c r="O101" s="45"/>
    </row>
    <row r="102" spans="1:15" ht="13" x14ac:dyDescent="0.3">
      <c r="A102" s="50" t="s">
        <v>516</v>
      </c>
      <c r="B102" s="50"/>
      <c r="C102" s="44" t="s">
        <v>279</v>
      </c>
      <c r="G102" s="70">
        <f>SUM('#1-Meritus:#5034-Mt Washington Pediatric'!F134)</f>
        <v>0</v>
      </c>
      <c r="H102" s="70">
        <f>SUM('#1-Meritus:#5034-Mt Washington Pediatric'!G134)</f>
        <v>0</v>
      </c>
      <c r="I102" s="70">
        <f>SUM('#1-Meritus:#5034-Mt Washington Pediatric'!H134)</f>
        <v>0</v>
      </c>
      <c r="J102" s="70">
        <f>SUM('#1-Meritus:#5034-Mt Washington Pediatric'!I134)</f>
        <v>0</v>
      </c>
      <c r="K102" s="70">
        <f>SUM('#1-Meritus:#5034-Mt Washington Pediatric'!J134)</f>
        <v>0</v>
      </c>
      <c r="L102" s="70">
        <f>SUM('#1-Meritus:#5034-Mt Washington Pediatric'!K134)</f>
        <v>0</v>
      </c>
      <c r="M102" s="84">
        <f>L102-J102</f>
        <v>0</v>
      </c>
      <c r="N102" s="45"/>
      <c r="O102" s="45"/>
    </row>
    <row r="103" spans="1:15" ht="13" x14ac:dyDescent="0.3">
      <c r="A103" s="50" t="s">
        <v>517</v>
      </c>
      <c r="B103" s="50"/>
      <c r="C103" s="44" t="s">
        <v>279</v>
      </c>
      <c r="G103" s="70">
        <f>SUM('#1-Meritus:#5034-Mt Washington Pediatric'!F135)</f>
        <v>0</v>
      </c>
      <c r="H103" s="70">
        <f>SUM('#1-Meritus:#5034-Mt Washington Pediatric'!G135)</f>
        <v>0</v>
      </c>
      <c r="I103" s="70">
        <f>SUM('#1-Meritus:#5034-Mt Washington Pediatric'!H135)</f>
        <v>0</v>
      </c>
      <c r="J103" s="70">
        <f>SUM('#1-Meritus:#5034-Mt Washington Pediatric'!I135)</f>
        <v>0</v>
      </c>
      <c r="K103" s="70">
        <f>SUM('#1-Meritus:#5034-Mt Washington Pediatric'!J135)</f>
        <v>0</v>
      </c>
      <c r="L103" s="70">
        <f>SUM('#1-Meritus:#5034-Mt Washington Pediatric'!K135)</f>
        <v>0</v>
      </c>
      <c r="M103" s="84">
        <f>L103-J103</f>
        <v>0</v>
      </c>
      <c r="N103" s="45"/>
      <c r="O103" s="45"/>
    </row>
    <row r="104" spans="1:15" ht="13" x14ac:dyDescent="0.3">
      <c r="A104" s="50" t="s">
        <v>163</v>
      </c>
      <c r="B104" s="50"/>
      <c r="C104" s="44" t="s">
        <v>234</v>
      </c>
      <c r="G104" s="46">
        <f t="shared" ref="G104:M104" si="9">SUM(G98:G102)</f>
        <v>73282</v>
      </c>
      <c r="H104" s="46">
        <f t="shared" si="9"/>
        <v>23868</v>
      </c>
      <c r="I104" s="53">
        <f t="shared" si="9"/>
        <v>3843808</v>
      </c>
      <c r="J104" s="53">
        <f t="shared" si="9"/>
        <v>135000.56826435681</v>
      </c>
      <c r="K104" s="53">
        <f t="shared" si="9"/>
        <v>2169429</v>
      </c>
      <c r="L104" s="53">
        <f t="shared" si="9"/>
        <v>1809379.5682643568</v>
      </c>
      <c r="M104" s="53">
        <f t="shared" si="9"/>
        <v>1674379</v>
      </c>
      <c r="N104" s="45"/>
      <c r="O104" s="45"/>
    </row>
    <row r="105" spans="1:15" ht="13" x14ac:dyDescent="0.3">
      <c r="A105" s="38"/>
      <c r="B105" s="38"/>
      <c r="G105" s="57"/>
      <c r="H105" s="57"/>
      <c r="I105" s="57"/>
      <c r="J105" s="57"/>
      <c r="K105" s="57"/>
      <c r="L105" s="57"/>
      <c r="M105" s="57"/>
    </row>
    <row r="106" spans="1:15" x14ac:dyDescent="0.25">
      <c r="A106" s="39"/>
      <c r="B106" s="39"/>
      <c r="K106" s="48"/>
      <c r="L106" s="49"/>
    </row>
    <row r="107" spans="1:15" ht="46.5" customHeight="1" x14ac:dyDescent="0.3">
      <c r="A107" s="44"/>
      <c r="G107" s="41" t="s">
        <v>9</v>
      </c>
      <c r="H107" s="41" t="s">
        <v>37</v>
      </c>
      <c r="I107" s="41" t="s">
        <v>485</v>
      </c>
      <c r="J107" s="41" t="s">
        <v>486</v>
      </c>
      <c r="K107" s="42" t="s">
        <v>224</v>
      </c>
      <c r="L107" s="47" t="s">
        <v>483</v>
      </c>
      <c r="M107" s="41" t="s">
        <v>484</v>
      </c>
    </row>
    <row r="108" spans="1:15" ht="13" x14ac:dyDescent="0.3">
      <c r="A108" s="36" t="s">
        <v>502</v>
      </c>
      <c r="C108" s="44" t="s">
        <v>26</v>
      </c>
      <c r="K108" s="48"/>
      <c r="L108" s="49"/>
    </row>
    <row r="109" spans="1:15" ht="13" x14ac:dyDescent="0.3">
      <c r="A109" s="50" t="s">
        <v>503</v>
      </c>
      <c r="B109" s="38"/>
      <c r="C109" s="44" t="s">
        <v>64</v>
      </c>
      <c r="G109" s="70">
        <f>+G24</f>
        <v>1160675.2005455389</v>
      </c>
      <c r="H109" s="70">
        <f>+H24</f>
        <v>4285789.18</v>
      </c>
      <c r="I109" s="87">
        <f>+I24</f>
        <v>89171734.932485119</v>
      </c>
      <c r="J109" s="87">
        <f>+J24</f>
        <v>50526494.083727099</v>
      </c>
      <c r="K109" s="87">
        <f>+K24</f>
        <v>22257993.045910001</v>
      </c>
      <c r="L109" s="84">
        <f t="shared" ref="L109:L118" si="10">+I109+J109-K109</f>
        <v>117440235.97030222</v>
      </c>
      <c r="M109" s="84">
        <f t="shared" ref="M109:M118" si="11">+I109-K109</f>
        <v>66913741.886575118</v>
      </c>
      <c r="N109" s="45"/>
      <c r="O109" s="45"/>
    </row>
    <row r="110" spans="1:15" ht="13" x14ac:dyDescent="0.3">
      <c r="A110" s="50" t="s">
        <v>504</v>
      </c>
      <c r="B110" s="50"/>
      <c r="C110" s="44" t="s">
        <v>65</v>
      </c>
      <c r="G110" s="70">
        <f>+G38</f>
        <v>5184061.1427334053</v>
      </c>
      <c r="H110" s="70">
        <f>+H38</f>
        <v>174419.6671275869</v>
      </c>
      <c r="I110" s="87">
        <f>+I38</f>
        <v>398613198.47356778</v>
      </c>
      <c r="J110" s="87">
        <f>+J38</f>
        <v>89702025.141628101</v>
      </c>
      <c r="K110" s="87">
        <f>+K38</f>
        <v>3042770.9190000002</v>
      </c>
      <c r="L110" s="84">
        <f t="shared" si="10"/>
        <v>485272452.69619584</v>
      </c>
      <c r="M110" s="84">
        <f t="shared" si="11"/>
        <v>395570427.55456775</v>
      </c>
      <c r="N110" s="45"/>
      <c r="O110" s="45"/>
    </row>
    <row r="111" spans="1:15" ht="13" x14ac:dyDescent="0.3">
      <c r="A111" s="50" t="s">
        <v>505</v>
      </c>
      <c r="B111" s="50"/>
      <c r="C111" s="44" t="s">
        <v>66</v>
      </c>
      <c r="G111" s="70">
        <f>+G43</f>
        <v>3460700.0798235075</v>
      </c>
      <c r="H111" s="70">
        <f>+H43</f>
        <v>1486387.452</v>
      </c>
      <c r="I111" s="87">
        <f>+I43</f>
        <v>621094180.88136077</v>
      </c>
      <c r="J111" s="87">
        <f>+J43</f>
        <v>92190197.7058395</v>
      </c>
      <c r="K111" s="87">
        <f>+K43</f>
        <v>181612253.92666668</v>
      </c>
      <c r="L111" s="84">
        <f t="shared" si="10"/>
        <v>531672124.66053361</v>
      </c>
      <c r="M111" s="84">
        <f t="shared" si="11"/>
        <v>439481926.95469409</v>
      </c>
      <c r="N111" s="45"/>
      <c r="O111" s="45"/>
    </row>
    <row r="112" spans="1:15" ht="13" x14ac:dyDescent="0.3">
      <c r="A112" s="50" t="s">
        <v>506</v>
      </c>
      <c r="B112" s="50"/>
      <c r="C112" s="44" t="s">
        <v>67</v>
      </c>
      <c r="G112" s="70">
        <f>+G51</f>
        <v>131883.37</v>
      </c>
      <c r="H112" s="70">
        <f>+H51</f>
        <v>5795</v>
      </c>
      <c r="I112" s="87">
        <f>+I51</f>
        <v>13935342.80143304</v>
      </c>
      <c r="J112" s="87">
        <f>+J51</f>
        <v>2563414.0403663372</v>
      </c>
      <c r="K112" s="87">
        <f>+K51</f>
        <v>7299517.1885497961</v>
      </c>
      <c r="L112" s="84">
        <f t="shared" si="10"/>
        <v>9199239.6532495804</v>
      </c>
      <c r="M112" s="84">
        <f t="shared" si="11"/>
        <v>6635825.6128832437</v>
      </c>
      <c r="N112" s="45"/>
      <c r="O112" s="45"/>
    </row>
    <row r="113" spans="1:15" ht="13" x14ac:dyDescent="0.3">
      <c r="A113" s="50" t="s">
        <v>507</v>
      </c>
      <c r="B113" s="50"/>
      <c r="C113" s="44" t="s">
        <v>68</v>
      </c>
      <c r="G113" s="70">
        <f>+G60</f>
        <v>62729.080000000009</v>
      </c>
      <c r="H113" s="70">
        <f>+H60</f>
        <v>135731</v>
      </c>
      <c r="I113" s="87">
        <f>+I60</f>
        <v>15897395.477332108</v>
      </c>
      <c r="J113" s="87">
        <f>+J60</f>
        <v>685459.02862303692</v>
      </c>
      <c r="K113" s="87">
        <f>+K60</f>
        <v>1030496</v>
      </c>
      <c r="L113" s="84">
        <f t="shared" si="10"/>
        <v>15552358.505955145</v>
      </c>
      <c r="M113" s="84">
        <f t="shared" si="11"/>
        <v>14866899.477332108</v>
      </c>
      <c r="N113" s="45"/>
      <c r="O113" s="45"/>
    </row>
    <row r="114" spans="1:15" ht="13" x14ac:dyDescent="0.3">
      <c r="A114" s="50" t="s">
        <v>508</v>
      </c>
      <c r="B114" s="50"/>
      <c r="C114" s="44" t="s">
        <v>69</v>
      </c>
      <c r="G114" s="70">
        <f>+G78</f>
        <v>288298.99126384663</v>
      </c>
      <c r="H114" s="70">
        <f>+H78</f>
        <v>208516.9201997713</v>
      </c>
      <c r="I114" s="87">
        <f>+I78</f>
        <v>21531874.306598175</v>
      </c>
      <c r="J114" s="87">
        <f>+J78</f>
        <v>12255831.927808901</v>
      </c>
      <c r="K114" s="87">
        <f>+K78</f>
        <v>4678955.6399999997</v>
      </c>
      <c r="L114" s="84">
        <f t="shared" si="10"/>
        <v>29108750.594407074</v>
      </c>
      <c r="M114" s="84">
        <f t="shared" si="11"/>
        <v>16852918.666598175</v>
      </c>
      <c r="N114" s="45"/>
      <c r="O114" s="45"/>
    </row>
    <row r="115" spans="1:15" ht="13" x14ac:dyDescent="0.3">
      <c r="A115" s="50" t="s">
        <v>509</v>
      </c>
      <c r="B115" s="50"/>
      <c r="C115" s="44" t="s">
        <v>61</v>
      </c>
      <c r="G115" s="70">
        <f>+G89</f>
        <v>128480.08124999999</v>
      </c>
      <c r="H115" s="70">
        <f>+H89</f>
        <v>12902</v>
      </c>
      <c r="I115" s="87">
        <f>+I89</f>
        <v>9127652.3095642682</v>
      </c>
      <c r="J115" s="87">
        <f>+J89</f>
        <v>5331874.965025086</v>
      </c>
      <c r="K115" s="87">
        <f>+K89</f>
        <v>148586.32550000001</v>
      </c>
      <c r="L115" s="84">
        <f t="shared" si="10"/>
        <v>14310940.949089354</v>
      </c>
      <c r="M115" s="84">
        <f t="shared" si="11"/>
        <v>8979065.9840642679</v>
      </c>
      <c r="N115" s="45"/>
      <c r="O115" s="45"/>
    </row>
    <row r="116" spans="1:15" ht="13" x14ac:dyDescent="0.3">
      <c r="A116" s="50" t="s">
        <v>510</v>
      </c>
      <c r="B116" s="50"/>
      <c r="C116" s="44" t="s">
        <v>70</v>
      </c>
      <c r="G116" s="131">
        <v>0</v>
      </c>
      <c r="H116" s="757">
        <v>0</v>
      </c>
      <c r="I116" s="132">
        <f>+G93</f>
        <v>287451403.46000004</v>
      </c>
      <c r="J116" s="131">
        <v>0</v>
      </c>
      <c r="K116" s="132">
        <v>0</v>
      </c>
      <c r="L116" s="133">
        <f>+I116+J116-K116</f>
        <v>287451403.46000004</v>
      </c>
      <c r="M116" s="133">
        <f>+I116-K116</f>
        <v>287451403.46000004</v>
      </c>
      <c r="N116" s="45"/>
      <c r="O116" s="45"/>
    </row>
    <row r="117" spans="1:15" ht="13" x14ac:dyDescent="0.3">
      <c r="A117" s="50" t="s">
        <v>511</v>
      </c>
      <c r="B117" s="50"/>
      <c r="C117" s="44" t="s">
        <v>71</v>
      </c>
      <c r="G117" s="70">
        <f>+G104</f>
        <v>73282</v>
      </c>
      <c r="H117" s="70">
        <f>+H104</f>
        <v>23868</v>
      </c>
      <c r="I117" s="87">
        <f>+I104</f>
        <v>3843808</v>
      </c>
      <c r="J117" s="87">
        <f>+J104</f>
        <v>135000.56826435681</v>
      </c>
      <c r="K117" s="87">
        <f>+K104</f>
        <v>2169429</v>
      </c>
      <c r="L117" s="84">
        <f t="shared" si="10"/>
        <v>1809379.5682643568</v>
      </c>
      <c r="M117" s="84">
        <f t="shared" si="11"/>
        <v>1674379</v>
      </c>
      <c r="N117" s="45"/>
      <c r="O117" s="45"/>
    </row>
    <row r="118" spans="1:15" ht="13" x14ac:dyDescent="0.3">
      <c r="A118" s="50" t="s">
        <v>185</v>
      </c>
      <c r="B118" s="50"/>
      <c r="C118" s="44" t="s">
        <v>183</v>
      </c>
      <c r="G118" s="70">
        <f>+G6</f>
        <v>0</v>
      </c>
      <c r="H118" s="70">
        <f>+H6</f>
        <v>0</v>
      </c>
      <c r="I118" s="87">
        <f>+I6</f>
        <v>364824998.86203498</v>
      </c>
      <c r="J118" s="87">
        <f>+J6</f>
        <v>0</v>
      </c>
      <c r="K118" s="87">
        <f>+K6</f>
        <v>294126673.37904972</v>
      </c>
      <c r="L118" s="84">
        <f t="shared" si="10"/>
        <v>70698325.482985258</v>
      </c>
      <c r="M118" s="84">
        <f t="shared" si="11"/>
        <v>70698325.482985258</v>
      </c>
      <c r="N118" s="45"/>
      <c r="O118" s="45"/>
    </row>
    <row r="119" spans="1:15" ht="13" x14ac:dyDescent="0.3">
      <c r="A119" s="50"/>
      <c r="B119" s="50"/>
      <c r="C119" s="44"/>
      <c r="G119" s="77"/>
      <c r="H119" s="77"/>
      <c r="I119" s="57"/>
      <c r="J119" s="57"/>
      <c r="K119" s="57"/>
      <c r="L119" s="57"/>
      <c r="M119" s="45"/>
    </row>
    <row r="120" spans="1:15" ht="13" x14ac:dyDescent="0.3">
      <c r="A120" s="50" t="s">
        <v>165</v>
      </c>
      <c r="B120" s="39"/>
      <c r="C120" s="44" t="s">
        <v>26</v>
      </c>
      <c r="G120" s="70">
        <f>SUM(G109:G118)</f>
        <v>10490109.945616297</v>
      </c>
      <c r="H120" s="70">
        <f t="shared" ref="H120:M120" si="12">SUM(H109:H118)</f>
        <v>6333409.2193273576</v>
      </c>
      <c r="I120" s="87">
        <f t="shared" si="12"/>
        <v>1825491589.5043764</v>
      </c>
      <c r="J120" s="87">
        <f t="shared" si="12"/>
        <v>253390297.46128249</v>
      </c>
      <c r="K120" s="87">
        <f t="shared" si="12"/>
        <v>516366675.42467618</v>
      </c>
      <c r="L120" s="87">
        <f>SUM(L109:L118)</f>
        <v>1562515211.5409822</v>
      </c>
      <c r="M120" s="87">
        <f t="shared" si="12"/>
        <v>1309124914.0797</v>
      </c>
    </row>
    <row r="121" spans="1:15" ht="13" x14ac:dyDescent="0.3">
      <c r="A121" s="39"/>
      <c r="B121" s="38"/>
      <c r="C121" s="44"/>
      <c r="G121" s="61"/>
      <c r="H121" s="61"/>
      <c r="I121" s="61"/>
      <c r="J121" s="61"/>
      <c r="K121" s="77"/>
      <c r="L121" s="77"/>
      <c r="M121" s="77"/>
    </row>
    <row r="122" spans="1:15" ht="13" x14ac:dyDescent="0.3">
      <c r="A122" s="38"/>
      <c r="B122" s="38"/>
      <c r="C122" s="44" t="s">
        <v>512</v>
      </c>
      <c r="D122" s="78"/>
      <c r="E122" s="78"/>
      <c r="F122" s="78"/>
      <c r="G122" s="53">
        <f>SUM('#1-Meritus:#5034-Mt Washington Pediatric'!F121)</f>
        <v>15834408260.351</v>
      </c>
      <c r="K122" s="45"/>
      <c r="L122" s="45"/>
    </row>
    <row r="123" spans="1:15" ht="13" x14ac:dyDescent="0.3">
      <c r="A123" s="38"/>
      <c r="B123" s="38"/>
      <c r="D123" s="44"/>
      <c r="E123" s="44"/>
      <c r="F123" s="44"/>
      <c r="I123" s="45"/>
      <c r="K123" s="45"/>
      <c r="N123" s="49"/>
    </row>
    <row r="124" spans="1:15" ht="13" x14ac:dyDescent="0.3">
      <c r="A124" s="38"/>
      <c r="B124" s="39"/>
      <c r="C124" s="44" t="s">
        <v>513</v>
      </c>
      <c r="D124" s="79"/>
      <c r="E124" s="79"/>
      <c r="F124" s="79"/>
      <c r="G124" s="80">
        <f>L120/G122</f>
        <v>9.8678471961183734E-2</v>
      </c>
      <c r="K124" s="45"/>
      <c r="L124" s="81"/>
      <c r="M124" s="48"/>
      <c r="N124" s="49"/>
    </row>
    <row r="125" spans="1:15" ht="13" x14ac:dyDescent="0.3">
      <c r="A125" s="39"/>
      <c r="B125" s="39"/>
      <c r="D125" s="44"/>
      <c r="E125" s="44"/>
      <c r="F125" s="44"/>
      <c r="L125" s="44"/>
      <c r="M125" s="48"/>
      <c r="N125" s="49"/>
    </row>
    <row r="126" spans="1:15" ht="13" x14ac:dyDescent="0.3">
      <c r="A126" s="39"/>
      <c r="B126" s="39"/>
      <c r="C126" s="44" t="s">
        <v>514</v>
      </c>
      <c r="D126" s="82"/>
      <c r="E126" s="82"/>
      <c r="F126" s="82"/>
      <c r="G126" s="80">
        <f>M120/G122</f>
        <v>8.2675960639319826E-2</v>
      </c>
      <c r="L126" s="83"/>
      <c r="M126" s="48"/>
      <c r="N126" s="49"/>
    </row>
    <row r="127" spans="1:15" x14ac:dyDescent="0.25">
      <c r="A127" s="39"/>
      <c r="M127" s="48"/>
      <c r="N127" s="48"/>
      <c r="O127" s="49"/>
    </row>
  </sheetData>
  <sheetProtection sheet="1" objects="1" scenarios="1"/>
  <mergeCells count="9">
    <mergeCell ref="A1:M1"/>
    <mergeCell ref="C35:E35"/>
    <mergeCell ref="C36:E36"/>
    <mergeCell ref="C76:E76"/>
    <mergeCell ref="B18:D18"/>
    <mergeCell ref="B19:D19"/>
    <mergeCell ref="B22:D22"/>
    <mergeCell ref="C33:E33"/>
    <mergeCell ref="C34:E34"/>
  </mergeCells>
  <pageMargins left="0.7" right="0.7" top="0.75" bottom="0.75" header="0.3" footer="0.3"/>
  <pageSetup scale="59" fitToHeight="0" orientation="landscape" r:id="rId1"/>
  <headerFooter>
    <oddFooter>&amp;CAttachment III Page &amp;P</oddFooter>
  </headerFooter>
  <rowBreaks count="2" manualBreakCount="2">
    <brk id="44"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56"/>
  <sheetViews>
    <sheetView showGridLines="0" zoomScale="85" zoomScaleNormal="85" zoomScaleSheetLayoutView="80" workbookViewId="0">
      <selection activeCell="H145" sqref="H145"/>
    </sheetView>
  </sheetViews>
  <sheetFormatPr defaultColWidth="9.26953125" defaultRowHeight="18" customHeight="1" x14ac:dyDescent="0.25"/>
  <cols>
    <col min="1" max="1" width="8.269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5" spans="1:11" ht="18" customHeight="1" x14ac:dyDescent="0.3">
      <c r="A5" s="742"/>
      <c r="B5" s="733" t="s">
        <v>40</v>
      </c>
      <c r="C5" s="1361" t="s">
        <v>197</v>
      </c>
      <c r="D5" s="1362"/>
      <c r="E5" s="1362"/>
      <c r="F5" s="1362"/>
      <c r="G5" s="1364"/>
      <c r="H5" s="742"/>
      <c r="I5" s="742"/>
      <c r="J5" s="742"/>
      <c r="K5" s="742"/>
    </row>
    <row r="6" spans="1:11" ht="18" customHeight="1" x14ac:dyDescent="0.3">
      <c r="A6" s="742"/>
      <c r="B6" s="733" t="s">
        <v>3</v>
      </c>
      <c r="C6" s="1365">
        <v>210001</v>
      </c>
      <c r="D6" s="1366"/>
      <c r="E6" s="1366"/>
      <c r="F6" s="1366"/>
      <c r="G6" s="1367"/>
      <c r="H6" s="742"/>
      <c r="I6" s="742"/>
      <c r="J6" s="742"/>
      <c r="K6" s="742"/>
    </row>
    <row r="7" spans="1:11" ht="18" customHeight="1" x14ac:dyDescent="0.3">
      <c r="A7" s="742"/>
      <c r="B7" s="733" t="s">
        <v>4</v>
      </c>
      <c r="C7" s="1368">
        <v>2579</v>
      </c>
      <c r="D7" s="1369"/>
      <c r="E7" s="1369"/>
      <c r="F7" s="1369"/>
      <c r="G7" s="1370"/>
      <c r="H7" s="742"/>
      <c r="I7" s="742"/>
      <c r="J7" s="742"/>
      <c r="K7" s="742"/>
    </row>
    <row r="9" spans="1:11" ht="18" customHeight="1" x14ac:dyDescent="0.3">
      <c r="A9" s="742"/>
      <c r="B9" s="733" t="s">
        <v>1</v>
      </c>
      <c r="C9" s="1361" t="s">
        <v>701</v>
      </c>
      <c r="D9" s="1362"/>
      <c r="E9" s="1362"/>
      <c r="F9" s="1362"/>
      <c r="G9" s="1364"/>
      <c r="H9" s="742"/>
      <c r="I9" s="742"/>
      <c r="J9" s="742"/>
      <c r="K9" s="742"/>
    </row>
    <row r="10" spans="1:11" ht="18" customHeight="1" x14ac:dyDescent="0.3">
      <c r="A10" s="742"/>
      <c r="B10" s="733" t="s">
        <v>2</v>
      </c>
      <c r="C10" s="1371" t="s">
        <v>530</v>
      </c>
      <c r="D10" s="1372"/>
      <c r="E10" s="1372"/>
      <c r="F10" s="1372"/>
      <c r="G10" s="1373"/>
      <c r="H10" s="742"/>
      <c r="I10" s="742"/>
      <c r="J10" s="742"/>
      <c r="K10" s="742"/>
    </row>
    <row r="11" spans="1:11" ht="18" customHeight="1" x14ac:dyDescent="0.3">
      <c r="A11" s="742"/>
      <c r="B11" s="733" t="s">
        <v>32</v>
      </c>
      <c r="C11" s="1361" t="s">
        <v>529</v>
      </c>
      <c r="D11" s="1362"/>
      <c r="E11" s="1362"/>
      <c r="F11" s="1362"/>
      <c r="G11" s="1362"/>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282" t="s">
        <v>73</v>
      </c>
      <c r="G18" s="282" t="s">
        <v>73</v>
      </c>
      <c r="H18" s="283">
        <v>7021189</v>
      </c>
      <c r="I18" s="306">
        <v>0</v>
      </c>
      <c r="J18" s="283">
        <v>5934290</v>
      </c>
      <c r="K18" s="284">
        <f>(H18+I18)-J18</f>
        <v>1086899</v>
      </c>
    </row>
    <row r="19" spans="1:11" ht="45"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282">
        <v>6467</v>
      </c>
      <c r="G21" s="282">
        <v>28074</v>
      </c>
      <c r="H21" s="283">
        <v>287068</v>
      </c>
      <c r="I21" s="306">
        <v>193221</v>
      </c>
      <c r="J21" s="283">
        <v>11331</v>
      </c>
      <c r="K21" s="284">
        <f t="shared" ref="K21:K34" si="0">(H21+I21)-J21</f>
        <v>468958</v>
      </c>
    </row>
    <row r="22" spans="1:11" ht="18" customHeight="1" x14ac:dyDescent="0.3">
      <c r="A22" s="733" t="s">
        <v>76</v>
      </c>
      <c r="B22" s="742" t="s">
        <v>6</v>
      </c>
      <c r="C22" s="742"/>
      <c r="D22" s="742"/>
      <c r="E22" s="742"/>
      <c r="F22" s="282">
        <v>362</v>
      </c>
      <c r="G22" s="282">
        <v>3424</v>
      </c>
      <c r="H22" s="283">
        <v>26361</v>
      </c>
      <c r="I22" s="306">
        <v>17747</v>
      </c>
      <c r="J22" s="283">
        <v>2706</v>
      </c>
      <c r="K22" s="284">
        <f t="shared" si="0"/>
        <v>41402</v>
      </c>
    </row>
    <row r="23" spans="1:11" ht="18" customHeight="1" x14ac:dyDescent="0.3">
      <c r="A23" s="733" t="s">
        <v>77</v>
      </c>
      <c r="B23" s="742" t="s">
        <v>43</v>
      </c>
      <c r="C23" s="742"/>
      <c r="D23" s="742"/>
      <c r="E23" s="742"/>
      <c r="F23" s="282">
        <v>0</v>
      </c>
      <c r="G23" s="282">
        <v>0</v>
      </c>
      <c r="H23" s="283">
        <v>0</v>
      </c>
      <c r="I23" s="306">
        <f t="shared" ref="I23:I34" si="1">H23*F$114</f>
        <v>0</v>
      </c>
      <c r="J23" s="283">
        <v>0</v>
      </c>
      <c r="K23" s="284">
        <f t="shared" si="0"/>
        <v>0</v>
      </c>
    </row>
    <row r="24" spans="1:11" ht="18" customHeight="1" x14ac:dyDescent="0.3">
      <c r="A24" s="733" t="s">
        <v>78</v>
      </c>
      <c r="B24" s="742" t="s">
        <v>44</v>
      </c>
      <c r="C24" s="742"/>
      <c r="D24" s="742"/>
      <c r="E24" s="742"/>
      <c r="F24" s="282">
        <v>0</v>
      </c>
      <c r="G24" s="282">
        <v>0</v>
      </c>
      <c r="H24" s="283">
        <v>0</v>
      </c>
      <c r="I24" s="306">
        <f t="shared" si="1"/>
        <v>0</v>
      </c>
      <c r="J24" s="283">
        <v>0</v>
      </c>
      <c r="K24" s="284">
        <f t="shared" si="0"/>
        <v>0</v>
      </c>
    </row>
    <row r="25" spans="1:11" ht="18" customHeight="1" x14ac:dyDescent="0.3">
      <c r="A25" s="733" t="s">
        <v>79</v>
      </c>
      <c r="B25" s="742" t="s">
        <v>5</v>
      </c>
      <c r="C25" s="742"/>
      <c r="D25" s="742"/>
      <c r="E25" s="742"/>
      <c r="F25" s="282">
        <v>614</v>
      </c>
      <c r="G25" s="282">
        <v>3334</v>
      </c>
      <c r="H25" s="283">
        <v>25202</v>
      </c>
      <c r="I25" s="306">
        <v>16964</v>
      </c>
      <c r="J25" s="283">
        <v>0</v>
      </c>
      <c r="K25" s="284">
        <f t="shared" si="0"/>
        <v>42166</v>
      </c>
    </row>
    <row r="26" spans="1:11" ht="18" customHeight="1" x14ac:dyDescent="0.3">
      <c r="A26" s="733" t="s">
        <v>80</v>
      </c>
      <c r="B26" s="742" t="s">
        <v>45</v>
      </c>
      <c r="C26" s="742"/>
      <c r="D26" s="742"/>
      <c r="E26" s="742"/>
      <c r="F26" s="282">
        <v>0</v>
      </c>
      <c r="G26" s="282">
        <v>0</v>
      </c>
      <c r="H26" s="283">
        <v>0</v>
      </c>
      <c r="I26" s="306">
        <v>0</v>
      </c>
      <c r="J26" s="283">
        <v>0</v>
      </c>
      <c r="K26" s="284">
        <f t="shared" si="0"/>
        <v>0</v>
      </c>
    </row>
    <row r="27" spans="1:11" ht="18" customHeight="1" x14ac:dyDescent="0.3">
      <c r="A27" s="733" t="s">
        <v>81</v>
      </c>
      <c r="B27" s="742" t="s">
        <v>46</v>
      </c>
      <c r="C27" s="742"/>
      <c r="D27" s="742"/>
      <c r="E27" s="742"/>
      <c r="F27" s="282">
        <v>0</v>
      </c>
      <c r="G27" s="282">
        <v>0</v>
      </c>
      <c r="H27" s="283">
        <v>0</v>
      </c>
      <c r="I27" s="306">
        <f t="shared" si="1"/>
        <v>0</v>
      </c>
      <c r="J27" s="283">
        <v>0</v>
      </c>
      <c r="K27" s="284">
        <f t="shared" si="0"/>
        <v>0</v>
      </c>
    </row>
    <row r="28" spans="1:11" ht="18" customHeight="1" x14ac:dyDescent="0.3">
      <c r="A28" s="733" t="s">
        <v>82</v>
      </c>
      <c r="B28" s="742" t="s">
        <v>47</v>
      </c>
      <c r="C28" s="742"/>
      <c r="D28" s="742"/>
      <c r="E28" s="742"/>
      <c r="F28" s="282">
        <v>0</v>
      </c>
      <c r="G28" s="282">
        <v>0</v>
      </c>
      <c r="H28" s="283">
        <v>0</v>
      </c>
      <c r="I28" s="306">
        <f t="shared" si="1"/>
        <v>0</v>
      </c>
      <c r="J28" s="283">
        <v>0</v>
      </c>
      <c r="K28" s="284">
        <f t="shared" si="0"/>
        <v>0</v>
      </c>
    </row>
    <row r="29" spans="1:11" ht="18" customHeight="1" x14ac:dyDescent="0.3">
      <c r="A29" s="733" t="s">
        <v>83</v>
      </c>
      <c r="B29" s="742" t="s">
        <v>48</v>
      </c>
      <c r="C29" s="742"/>
      <c r="D29" s="742"/>
      <c r="E29" s="742"/>
      <c r="F29" s="282">
        <v>12701</v>
      </c>
      <c r="G29" s="282">
        <v>9458</v>
      </c>
      <c r="H29" s="283">
        <v>630918</v>
      </c>
      <c r="I29" s="306">
        <v>171808</v>
      </c>
      <c r="J29" s="283">
        <v>0</v>
      </c>
      <c r="K29" s="284">
        <f t="shared" si="0"/>
        <v>802726</v>
      </c>
    </row>
    <row r="30" spans="1:11" ht="18" customHeight="1" x14ac:dyDescent="0.3">
      <c r="A30" s="733" t="s">
        <v>84</v>
      </c>
      <c r="B30" s="1351"/>
      <c r="C30" s="1352"/>
      <c r="D30" s="1353"/>
      <c r="E30" s="742"/>
      <c r="F30" s="282"/>
      <c r="G30" s="282"/>
      <c r="H30" s="283"/>
      <c r="I30" s="306">
        <f>H30*F$114</f>
        <v>0</v>
      </c>
      <c r="J30" s="283"/>
      <c r="K30" s="284">
        <f t="shared" si="0"/>
        <v>0</v>
      </c>
    </row>
    <row r="31" spans="1:11" ht="18" customHeight="1" x14ac:dyDescent="0.3">
      <c r="A31" s="733" t="s">
        <v>133</v>
      </c>
      <c r="B31" s="1351"/>
      <c r="C31" s="1352"/>
      <c r="D31" s="1353"/>
      <c r="E31" s="742"/>
      <c r="F31" s="282"/>
      <c r="G31" s="282"/>
      <c r="H31" s="283"/>
      <c r="I31" s="306">
        <f t="shared" si="1"/>
        <v>0</v>
      </c>
      <c r="J31" s="283"/>
      <c r="K31" s="284">
        <f t="shared" si="0"/>
        <v>0</v>
      </c>
    </row>
    <row r="32" spans="1:11" ht="18" customHeight="1" x14ac:dyDescent="0.3">
      <c r="A32" s="733" t="s">
        <v>134</v>
      </c>
      <c r="B32" s="837"/>
      <c r="C32" s="838"/>
      <c r="D32" s="839"/>
      <c r="E32" s="742"/>
      <c r="F32" s="282"/>
      <c r="G32" s="308" t="s">
        <v>85</v>
      </c>
      <c r="H32" s="283"/>
      <c r="I32" s="306">
        <f t="shared" si="1"/>
        <v>0</v>
      </c>
      <c r="J32" s="283"/>
      <c r="K32" s="284">
        <f t="shared" si="0"/>
        <v>0</v>
      </c>
    </row>
    <row r="33" spans="1:11" ht="18" customHeight="1" x14ac:dyDescent="0.3">
      <c r="A33" s="733" t="s">
        <v>135</v>
      </c>
      <c r="B33" s="837"/>
      <c r="C33" s="838"/>
      <c r="D33" s="839"/>
      <c r="E33" s="742"/>
      <c r="F33" s="282"/>
      <c r="G33" s="308" t="s">
        <v>85</v>
      </c>
      <c r="H33" s="283"/>
      <c r="I33" s="306">
        <f t="shared" si="1"/>
        <v>0</v>
      </c>
      <c r="J33" s="283"/>
      <c r="K33" s="284">
        <f t="shared" si="0"/>
        <v>0</v>
      </c>
    </row>
    <row r="34" spans="1:11" ht="18" customHeight="1" x14ac:dyDescent="0.3">
      <c r="A34" s="733" t="s">
        <v>136</v>
      </c>
      <c r="B34" s="1351"/>
      <c r="C34" s="1352"/>
      <c r="D34" s="1353"/>
      <c r="E34" s="742"/>
      <c r="F34" s="282"/>
      <c r="G34" s="308" t="s">
        <v>85</v>
      </c>
      <c r="H34" s="283"/>
      <c r="I34" s="306">
        <f t="shared" si="1"/>
        <v>0</v>
      </c>
      <c r="J34" s="283"/>
      <c r="K34" s="284">
        <f t="shared" si="0"/>
        <v>0</v>
      </c>
    </row>
    <row r="35" spans="1:11" ht="18" customHeight="1" x14ac:dyDescent="0.25">
      <c r="A35" s="742"/>
      <c r="B35" s="742"/>
      <c r="C35" s="742"/>
      <c r="D35" s="742"/>
      <c r="E35" s="742"/>
      <c r="F35" s="742"/>
      <c r="G35" s="742"/>
      <c r="H35" s="742"/>
      <c r="I35" s="742"/>
      <c r="J35" s="742"/>
      <c r="K35" s="315"/>
    </row>
    <row r="36" spans="1:11" ht="18" customHeight="1" x14ac:dyDescent="0.3">
      <c r="A36" s="639" t="s">
        <v>137</v>
      </c>
      <c r="B36" s="636" t="s">
        <v>138</v>
      </c>
      <c r="C36" s="742"/>
      <c r="D36" s="742"/>
      <c r="E36" s="636" t="s">
        <v>7</v>
      </c>
      <c r="F36" s="286">
        <f t="shared" ref="F36:K36" si="2">SUM(F21:F34)</f>
        <v>20144</v>
      </c>
      <c r="G36" s="286">
        <f t="shared" si="2"/>
        <v>44290</v>
      </c>
      <c r="H36" s="286">
        <f t="shared" si="2"/>
        <v>969549</v>
      </c>
      <c r="I36" s="284">
        <f t="shared" si="2"/>
        <v>399740</v>
      </c>
      <c r="J36" s="284">
        <f t="shared" si="2"/>
        <v>14037</v>
      </c>
      <c r="K36" s="284">
        <f t="shared" si="2"/>
        <v>1355252</v>
      </c>
    </row>
    <row r="37" spans="1:11" ht="18" customHeight="1" thickBot="1" x14ac:dyDescent="0.35">
      <c r="A37" s="742"/>
      <c r="B37" s="636"/>
      <c r="C37" s="742"/>
      <c r="D37" s="742"/>
      <c r="E37" s="742"/>
      <c r="F37" s="287"/>
      <c r="G37" s="287"/>
      <c r="H37" s="288"/>
      <c r="I37" s="288"/>
      <c r="J37" s="288"/>
      <c r="K37" s="303"/>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282">
        <v>0</v>
      </c>
      <c r="G40" s="282">
        <v>0</v>
      </c>
      <c r="H40" s="283">
        <v>0</v>
      </c>
      <c r="I40" s="306">
        <v>0</v>
      </c>
      <c r="J40" s="283">
        <v>0</v>
      </c>
      <c r="K40" s="284">
        <f t="shared" ref="K40:K47" si="3">(H40+I40)-J40</f>
        <v>0</v>
      </c>
    </row>
    <row r="41" spans="1:11" ht="18" customHeight="1" x14ac:dyDescent="0.3">
      <c r="A41" s="733" t="s">
        <v>88</v>
      </c>
      <c r="B41" s="1359" t="s">
        <v>50</v>
      </c>
      <c r="C41" s="1359"/>
      <c r="D41" s="742"/>
      <c r="E41" s="742"/>
      <c r="F41" s="282">
        <v>453</v>
      </c>
      <c r="G41" s="282">
        <v>518</v>
      </c>
      <c r="H41" s="283">
        <v>18386</v>
      </c>
      <c r="I41" s="306">
        <v>0</v>
      </c>
      <c r="J41" s="283">
        <v>0</v>
      </c>
      <c r="K41" s="284">
        <f t="shared" si="3"/>
        <v>18386</v>
      </c>
    </row>
    <row r="42" spans="1:11" ht="18" customHeight="1" x14ac:dyDescent="0.3">
      <c r="A42" s="733" t="s">
        <v>89</v>
      </c>
      <c r="B42" s="635" t="s">
        <v>11</v>
      </c>
      <c r="C42" s="742"/>
      <c r="D42" s="742"/>
      <c r="E42" s="742"/>
      <c r="F42" s="282">
        <v>4057.5</v>
      </c>
      <c r="G42" s="282">
        <v>1337</v>
      </c>
      <c r="H42" s="283">
        <v>165253</v>
      </c>
      <c r="I42" s="306">
        <v>0</v>
      </c>
      <c r="J42" s="283">
        <v>0</v>
      </c>
      <c r="K42" s="284">
        <f t="shared" si="3"/>
        <v>165253</v>
      </c>
    </row>
    <row r="43" spans="1:11" ht="18" customHeight="1" x14ac:dyDescent="0.3">
      <c r="A43" s="733" t="s">
        <v>90</v>
      </c>
      <c r="B43" s="670" t="s">
        <v>10</v>
      </c>
      <c r="C43" s="642"/>
      <c r="D43" s="642"/>
      <c r="E43" s="742"/>
      <c r="F43" s="282">
        <v>0</v>
      </c>
      <c r="G43" s="282">
        <v>0</v>
      </c>
      <c r="H43" s="283">
        <v>1200</v>
      </c>
      <c r="I43" s="306">
        <v>0</v>
      </c>
      <c r="J43" s="283">
        <v>0</v>
      </c>
      <c r="K43" s="284">
        <f t="shared" si="3"/>
        <v>1200</v>
      </c>
    </row>
    <row r="44" spans="1:11" ht="18" customHeight="1" x14ac:dyDescent="0.3">
      <c r="A44" s="733" t="s">
        <v>91</v>
      </c>
      <c r="B44" s="1351"/>
      <c r="C44" s="1352"/>
      <c r="D44" s="1353"/>
      <c r="E44" s="742"/>
      <c r="F44" s="324"/>
      <c r="G44" s="324"/>
      <c r="H44" s="324"/>
      <c r="I44" s="325">
        <v>0</v>
      </c>
      <c r="J44" s="324">
        <v>0</v>
      </c>
      <c r="K44" s="326">
        <f t="shared" si="3"/>
        <v>0</v>
      </c>
    </row>
    <row r="45" spans="1:11" ht="18" customHeight="1" x14ac:dyDescent="0.3">
      <c r="A45" s="733" t="s">
        <v>139</v>
      </c>
      <c r="B45" s="1351"/>
      <c r="C45" s="1352"/>
      <c r="D45" s="1353"/>
      <c r="E45" s="742"/>
      <c r="F45" s="282"/>
      <c r="G45" s="282"/>
      <c r="H45" s="283"/>
      <c r="I45" s="306">
        <v>0</v>
      </c>
      <c r="J45" s="283"/>
      <c r="K45" s="284">
        <f t="shared" si="3"/>
        <v>0</v>
      </c>
    </row>
    <row r="46" spans="1:11" ht="18" customHeight="1" x14ac:dyDescent="0.3">
      <c r="A46" s="733" t="s">
        <v>140</v>
      </c>
      <c r="B46" s="1351"/>
      <c r="C46" s="1352"/>
      <c r="D46" s="1353"/>
      <c r="E46" s="742"/>
      <c r="F46" s="282"/>
      <c r="G46" s="282"/>
      <c r="H46" s="283"/>
      <c r="I46" s="306">
        <v>0</v>
      </c>
      <c r="J46" s="283"/>
      <c r="K46" s="284">
        <f t="shared" si="3"/>
        <v>0</v>
      </c>
    </row>
    <row r="47" spans="1:11" ht="18" customHeight="1" x14ac:dyDescent="0.3">
      <c r="A47" s="733" t="s">
        <v>141</v>
      </c>
      <c r="B47" s="1351"/>
      <c r="C47" s="1352"/>
      <c r="D47" s="1353"/>
      <c r="E47" s="742"/>
      <c r="F47" s="282"/>
      <c r="G47" s="282"/>
      <c r="H47" s="283"/>
      <c r="I47" s="306">
        <v>0</v>
      </c>
      <c r="J47" s="283"/>
      <c r="K47" s="284">
        <f t="shared" si="3"/>
        <v>0</v>
      </c>
    </row>
    <row r="49" spans="1:11" ht="18" customHeight="1" x14ac:dyDescent="0.3">
      <c r="A49" s="639" t="s">
        <v>142</v>
      </c>
      <c r="B49" s="636" t="s">
        <v>143</v>
      </c>
      <c r="C49" s="742"/>
      <c r="D49" s="742"/>
      <c r="E49" s="636" t="s">
        <v>7</v>
      </c>
      <c r="F49" s="290">
        <f t="shared" ref="F49:K49" si="4">SUM(F40:F47)</f>
        <v>4510.5</v>
      </c>
      <c r="G49" s="290">
        <f t="shared" si="4"/>
        <v>1855</v>
      </c>
      <c r="H49" s="284">
        <f t="shared" si="4"/>
        <v>184839</v>
      </c>
      <c r="I49" s="284">
        <f t="shared" si="4"/>
        <v>0</v>
      </c>
      <c r="J49" s="284">
        <f t="shared" si="4"/>
        <v>0</v>
      </c>
      <c r="K49" s="284">
        <f t="shared" si="4"/>
        <v>184839</v>
      </c>
    </row>
    <row r="50" spans="1:11" ht="18" customHeight="1" thickBot="1" x14ac:dyDescent="0.3">
      <c r="A50" s="742"/>
      <c r="B50" s="742"/>
      <c r="C50" s="742"/>
      <c r="D50" s="742"/>
      <c r="E50" s="742"/>
      <c r="F50" s="742"/>
      <c r="G50" s="291"/>
      <c r="H50" s="291"/>
      <c r="I50" s="291"/>
      <c r="J50" s="291"/>
      <c r="K50" s="291"/>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702</v>
      </c>
      <c r="C53" s="1355"/>
      <c r="D53" s="1356"/>
      <c r="E53" s="742"/>
      <c r="F53" s="282">
        <v>13804</v>
      </c>
      <c r="G53" s="282">
        <v>9874</v>
      </c>
      <c r="H53" s="283">
        <v>1055792</v>
      </c>
      <c r="I53" s="306">
        <v>0</v>
      </c>
      <c r="J53" s="283">
        <v>159183</v>
      </c>
      <c r="K53" s="284">
        <f t="shared" ref="K53:K62" si="5">(H53+I53)-J53</f>
        <v>896609</v>
      </c>
    </row>
    <row r="54" spans="1:11" ht="18" customHeight="1" x14ac:dyDescent="0.3">
      <c r="A54" s="733" t="s">
        <v>93</v>
      </c>
      <c r="B54" s="840" t="s">
        <v>402</v>
      </c>
      <c r="C54" s="841"/>
      <c r="D54" s="842"/>
      <c r="E54" s="742"/>
      <c r="F54" s="282">
        <v>1840</v>
      </c>
      <c r="G54" s="282">
        <v>342</v>
      </c>
      <c r="H54" s="283">
        <v>57351</v>
      </c>
      <c r="I54" s="306">
        <v>0</v>
      </c>
      <c r="J54" s="283">
        <v>55643</v>
      </c>
      <c r="K54" s="284">
        <f t="shared" si="5"/>
        <v>1708</v>
      </c>
    </row>
    <row r="55" spans="1:11" ht="18" customHeight="1" x14ac:dyDescent="0.3">
      <c r="A55" s="733" t="s">
        <v>94</v>
      </c>
      <c r="B55" s="1354" t="s">
        <v>588</v>
      </c>
      <c r="C55" s="1355"/>
      <c r="D55" s="1356"/>
      <c r="E55" s="742"/>
      <c r="F55" s="282">
        <v>0</v>
      </c>
      <c r="G55" s="282">
        <v>0</v>
      </c>
      <c r="H55" s="283">
        <v>3200389</v>
      </c>
      <c r="I55" s="306">
        <v>0</v>
      </c>
      <c r="J55" s="283">
        <v>0</v>
      </c>
      <c r="K55" s="284">
        <f t="shared" si="5"/>
        <v>3200389</v>
      </c>
    </row>
    <row r="56" spans="1:11" ht="18" customHeight="1" x14ac:dyDescent="0.3">
      <c r="A56" s="733" t="s">
        <v>95</v>
      </c>
      <c r="B56" s="1354" t="s">
        <v>703</v>
      </c>
      <c r="C56" s="1355"/>
      <c r="D56" s="1356"/>
      <c r="E56" s="742"/>
      <c r="F56" s="282">
        <v>4159</v>
      </c>
      <c r="G56" s="282">
        <v>1328</v>
      </c>
      <c r="H56" s="283">
        <v>6167196</v>
      </c>
      <c r="I56" s="306">
        <v>0</v>
      </c>
      <c r="J56" s="283">
        <v>244094</v>
      </c>
      <c r="K56" s="284">
        <f t="shared" si="5"/>
        <v>5923102</v>
      </c>
    </row>
    <row r="57" spans="1:11" ht="18" customHeight="1" x14ac:dyDescent="0.3">
      <c r="A57" s="733" t="s">
        <v>96</v>
      </c>
      <c r="B57" s="1354" t="s">
        <v>403</v>
      </c>
      <c r="C57" s="1355"/>
      <c r="D57" s="1356"/>
      <c r="E57" s="742"/>
      <c r="F57" s="282">
        <v>14314</v>
      </c>
      <c r="G57" s="282">
        <v>11840</v>
      </c>
      <c r="H57" s="283">
        <v>1812776</v>
      </c>
      <c r="I57" s="306">
        <v>0</v>
      </c>
      <c r="J57" s="283">
        <v>766200</v>
      </c>
      <c r="K57" s="284">
        <f t="shared" si="5"/>
        <v>1046576</v>
      </c>
    </row>
    <row r="58" spans="1:11" ht="18" customHeight="1" x14ac:dyDescent="0.3">
      <c r="A58" s="733" t="s">
        <v>97</v>
      </c>
      <c r="B58" s="840" t="s">
        <v>704</v>
      </c>
      <c r="C58" s="841"/>
      <c r="D58" s="842"/>
      <c r="E58" s="742"/>
      <c r="F58" s="282">
        <v>0</v>
      </c>
      <c r="G58" s="282">
        <v>125</v>
      </c>
      <c r="H58" s="283">
        <v>250641</v>
      </c>
      <c r="I58" s="306">
        <v>0</v>
      </c>
      <c r="J58" s="283">
        <v>0</v>
      </c>
      <c r="K58" s="284">
        <f t="shared" si="5"/>
        <v>250641</v>
      </c>
    </row>
    <row r="59" spans="1:11" ht="18" customHeight="1" x14ac:dyDescent="0.3">
      <c r="A59" s="733" t="s">
        <v>98</v>
      </c>
      <c r="B59" s="1354" t="s">
        <v>705</v>
      </c>
      <c r="C59" s="1355"/>
      <c r="D59" s="1356"/>
      <c r="E59" s="742"/>
      <c r="F59" s="282">
        <v>0</v>
      </c>
      <c r="G59" s="282">
        <v>0</v>
      </c>
      <c r="H59" s="283">
        <v>2850830</v>
      </c>
      <c r="I59" s="306">
        <v>0</v>
      </c>
      <c r="J59" s="283">
        <v>0</v>
      </c>
      <c r="K59" s="284">
        <f t="shared" si="5"/>
        <v>2850830</v>
      </c>
    </row>
    <row r="60" spans="1:11" ht="18" customHeight="1" x14ac:dyDescent="0.3">
      <c r="A60" s="733" t="s">
        <v>99</v>
      </c>
      <c r="B60" s="840" t="s">
        <v>706</v>
      </c>
      <c r="C60" s="841"/>
      <c r="D60" s="842"/>
      <c r="E60" s="742"/>
      <c r="F60" s="282">
        <v>98674</v>
      </c>
      <c r="G60" s="282">
        <v>414947</v>
      </c>
      <c r="H60" s="283">
        <v>2822859</v>
      </c>
      <c r="I60" s="306">
        <v>0</v>
      </c>
      <c r="J60" s="283">
        <v>3054741</v>
      </c>
      <c r="K60" s="284">
        <f t="shared" si="5"/>
        <v>-231882</v>
      </c>
    </row>
    <row r="61" spans="1:11" ht="18" customHeight="1" x14ac:dyDescent="0.3">
      <c r="A61" s="733" t="s">
        <v>100</v>
      </c>
      <c r="B61" s="840" t="s">
        <v>707</v>
      </c>
      <c r="C61" s="841"/>
      <c r="D61" s="842"/>
      <c r="E61" s="742"/>
      <c r="F61" s="282">
        <v>17949</v>
      </c>
      <c r="G61" s="282">
        <v>6218</v>
      </c>
      <c r="H61" s="283">
        <v>1230596</v>
      </c>
      <c r="I61" s="306">
        <v>0</v>
      </c>
      <c r="J61" s="283">
        <v>540717</v>
      </c>
      <c r="K61" s="284">
        <f t="shared" si="5"/>
        <v>689879</v>
      </c>
    </row>
    <row r="62" spans="1:11" ht="18" customHeight="1" x14ac:dyDescent="0.3">
      <c r="A62" s="733" t="s">
        <v>101</v>
      </c>
      <c r="B62" s="1354"/>
      <c r="C62" s="1355"/>
      <c r="D62" s="1356"/>
      <c r="E62" s="742"/>
      <c r="F62" s="282"/>
      <c r="G62" s="282"/>
      <c r="H62" s="283"/>
      <c r="I62" s="306">
        <v>0</v>
      </c>
      <c r="J62" s="283"/>
      <c r="K62" s="284">
        <f t="shared" si="5"/>
        <v>0</v>
      </c>
    </row>
    <row r="63" spans="1:11" ht="18" customHeight="1" x14ac:dyDescent="0.3">
      <c r="A63" s="733"/>
      <c r="B63" s="742"/>
      <c r="C63" s="742"/>
      <c r="D63" s="742"/>
      <c r="E63" s="742"/>
      <c r="F63" s="742"/>
      <c r="G63" s="742"/>
      <c r="H63" s="742"/>
      <c r="I63" s="276"/>
      <c r="J63" s="742"/>
      <c r="K63" s="742"/>
    </row>
    <row r="64" spans="1:11" ht="18" customHeight="1" x14ac:dyDescent="0.3">
      <c r="A64" s="733" t="s">
        <v>144</v>
      </c>
      <c r="B64" s="636" t="s">
        <v>145</v>
      </c>
      <c r="C64" s="742"/>
      <c r="D64" s="742"/>
      <c r="E64" s="636" t="s">
        <v>7</v>
      </c>
      <c r="F64" s="286">
        <f t="shared" ref="F64:K64" si="6">SUM(F53:F62)</f>
        <v>150740</v>
      </c>
      <c r="G64" s="286">
        <f t="shared" si="6"/>
        <v>444674</v>
      </c>
      <c r="H64" s="284">
        <f t="shared" si="6"/>
        <v>19448430</v>
      </c>
      <c r="I64" s="284">
        <f t="shared" si="6"/>
        <v>0</v>
      </c>
      <c r="J64" s="284">
        <f t="shared" si="6"/>
        <v>4820578</v>
      </c>
      <c r="K64" s="284">
        <f t="shared" si="6"/>
        <v>14627852</v>
      </c>
    </row>
    <row r="65" spans="1:11" ht="18" customHeight="1" x14ac:dyDescent="0.25">
      <c r="A65" s="742"/>
      <c r="B65" s="742"/>
      <c r="C65" s="742"/>
      <c r="D65" s="742"/>
      <c r="E65" s="742"/>
      <c r="F65" s="304"/>
      <c r="G65" s="304"/>
      <c r="H65" s="304"/>
      <c r="I65" s="304"/>
      <c r="J65" s="304"/>
      <c r="K65" s="304"/>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307">
        <v>4434</v>
      </c>
      <c r="G68" s="307">
        <v>410</v>
      </c>
      <c r="H68" s="307">
        <v>361788</v>
      </c>
      <c r="I68" s="306">
        <v>0</v>
      </c>
      <c r="J68" s="307">
        <v>352874</v>
      </c>
      <c r="K68" s="284">
        <f>(H68+I68)-J68</f>
        <v>8914</v>
      </c>
    </row>
    <row r="69" spans="1:11" ht="18" customHeight="1" x14ac:dyDescent="0.3">
      <c r="A69" s="733" t="s">
        <v>104</v>
      </c>
      <c r="B69" s="635" t="s">
        <v>53</v>
      </c>
      <c r="C69" s="742"/>
      <c r="D69" s="742"/>
      <c r="E69" s="742"/>
      <c r="F69" s="307">
        <v>0</v>
      </c>
      <c r="G69" s="307">
        <v>0</v>
      </c>
      <c r="H69" s="307">
        <v>0</v>
      </c>
      <c r="I69" s="306">
        <v>0</v>
      </c>
      <c r="J69" s="307">
        <v>0</v>
      </c>
      <c r="K69" s="284">
        <f>(H69+I69)-J69</f>
        <v>0</v>
      </c>
    </row>
    <row r="70" spans="1:11" ht="18" customHeight="1" x14ac:dyDescent="0.3">
      <c r="A70" s="733" t="s">
        <v>178</v>
      </c>
      <c r="B70" s="840"/>
      <c r="C70" s="841"/>
      <c r="D70" s="842"/>
      <c r="E70" s="636"/>
      <c r="F70" s="294"/>
      <c r="G70" s="294"/>
      <c r="H70" s="295"/>
      <c r="I70" s="306">
        <v>0</v>
      </c>
      <c r="J70" s="295"/>
      <c r="K70" s="284">
        <f>(H70+I70)-J70</f>
        <v>0</v>
      </c>
    </row>
    <row r="71" spans="1:11" ht="18" customHeight="1" x14ac:dyDescent="0.3">
      <c r="A71" s="733" t="s">
        <v>179</v>
      </c>
      <c r="B71" s="840"/>
      <c r="C71" s="841"/>
      <c r="D71" s="842"/>
      <c r="E71" s="636"/>
      <c r="F71" s="294"/>
      <c r="G71" s="294"/>
      <c r="H71" s="295"/>
      <c r="I71" s="306">
        <v>0</v>
      </c>
      <c r="J71" s="295"/>
      <c r="K71" s="284">
        <f>(H71+I71)-J71</f>
        <v>0</v>
      </c>
    </row>
    <row r="72" spans="1:11" ht="18" customHeight="1" x14ac:dyDescent="0.3">
      <c r="A72" s="733" t="s">
        <v>180</v>
      </c>
      <c r="B72" s="843"/>
      <c r="C72" s="844"/>
      <c r="D72" s="293"/>
      <c r="E72" s="636"/>
      <c r="F72" s="282"/>
      <c r="G72" s="282"/>
      <c r="H72" s="283"/>
      <c r="I72" s="306">
        <v>0</v>
      </c>
      <c r="J72" s="283"/>
      <c r="K72" s="284">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289">
        <f t="shared" ref="F74:K74" si="7">SUM(F68:F72)</f>
        <v>4434</v>
      </c>
      <c r="G74" s="289">
        <f t="shared" si="7"/>
        <v>410</v>
      </c>
      <c r="H74" s="289">
        <f t="shared" si="7"/>
        <v>361788</v>
      </c>
      <c r="I74" s="309">
        <f t="shared" si="7"/>
        <v>0</v>
      </c>
      <c r="J74" s="289">
        <f t="shared" si="7"/>
        <v>352874</v>
      </c>
      <c r="K74" s="285">
        <f t="shared" si="7"/>
        <v>8914</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282">
        <v>0</v>
      </c>
      <c r="G77" s="282">
        <v>0</v>
      </c>
      <c r="H77" s="283">
        <v>0</v>
      </c>
      <c r="I77" s="306">
        <v>0</v>
      </c>
      <c r="J77" s="283">
        <v>0</v>
      </c>
      <c r="K77" s="284">
        <f>(H77+I77)-J77</f>
        <v>0</v>
      </c>
    </row>
    <row r="78" spans="1:11" ht="18" customHeight="1" x14ac:dyDescent="0.3">
      <c r="A78" s="733" t="s">
        <v>108</v>
      </c>
      <c r="B78" s="635" t="s">
        <v>55</v>
      </c>
      <c r="C78" s="742"/>
      <c r="D78" s="742"/>
      <c r="E78" s="742"/>
      <c r="F78" s="282">
        <v>0</v>
      </c>
      <c r="G78" s="282">
        <v>199</v>
      </c>
      <c r="H78" s="283">
        <v>267564</v>
      </c>
      <c r="I78" s="306">
        <v>0</v>
      </c>
      <c r="J78" s="283">
        <v>211329</v>
      </c>
      <c r="K78" s="284">
        <f>(H78+I78)-J78</f>
        <v>56235</v>
      </c>
    </row>
    <row r="79" spans="1:11" ht="18" customHeight="1" x14ac:dyDescent="0.3">
      <c r="A79" s="733" t="s">
        <v>109</v>
      </c>
      <c r="B79" s="635" t="s">
        <v>13</v>
      </c>
      <c r="C79" s="742"/>
      <c r="D79" s="742"/>
      <c r="E79" s="742"/>
      <c r="F79" s="282">
        <v>462</v>
      </c>
      <c r="G79" s="282">
        <v>3703</v>
      </c>
      <c r="H79" s="283">
        <v>188838</v>
      </c>
      <c r="I79" s="306">
        <v>0</v>
      </c>
      <c r="J79" s="283">
        <v>427</v>
      </c>
      <c r="K79" s="284">
        <f>(H79+I79)-J79</f>
        <v>188411</v>
      </c>
    </row>
    <row r="80" spans="1:11" ht="18" customHeight="1" x14ac:dyDescent="0.3">
      <c r="A80" s="733" t="s">
        <v>110</v>
      </c>
      <c r="B80" s="635" t="s">
        <v>56</v>
      </c>
      <c r="C80" s="742"/>
      <c r="D80" s="742"/>
      <c r="E80" s="742"/>
      <c r="F80" s="282">
        <v>0</v>
      </c>
      <c r="G80" s="282">
        <v>0</v>
      </c>
      <c r="H80" s="283">
        <v>0</v>
      </c>
      <c r="I80" s="306">
        <v>0</v>
      </c>
      <c r="J80" s="283">
        <v>0</v>
      </c>
      <c r="K80" s="284">
        <f>(H80+I80)-J80</f>
        <v>0</v>
      </c>
    </row>
    <row r="81" spans="1:11" ht="18" customHeight="1" x14ac:dyDescent="0.3">
      <c r="A81" s="733"/>
      <c r="B81" s="742"/>
      <c r="C81" s="742"/>
      <c r="D81" s="742"/>
      <c r="E81" s="742"/>
      <c r="F81" s="742"/>
      <c r="G81" s="742"/>
      <c r="H81" s="742"/>
      <c r="I81" s="742"/>
      <c r="J81" s="742"/>
      <c r="K81" s="299"/>
    </row>
    <row r="82" spans="1:11" ht="18" customHeight="1" x14ac:dyDescent="0.3">
      <c r="A82" s="733" t="s">
        <v>148</v>
      </c>
      <c r="B82" s="636" t="s">
        <v>149</v>
      </c>
      <c r="C82" s="742"/>
      <c r="D82" s="742"/>
      <c r="E82" s="636" t="s">
        <v>7</v>
      </c>
      <c r="F82" s="289">
        <f t="shared" ref="F82:K82" si="8">SUM(F77:F80)</f>
        <v>462</v>
      </c>
      <c r="G82" s="289">
        <f t="shared" si="8"/>
        <v>3902</v>
      </c>
      <c r="H82" s="285">
        <f t="shared" si="8"/>
        <v>456402</v>
      </c>
      <c r="I82" s="285">
        <f t="shared" si="8"/>
        <v>0</v>
      </c>
      <c r="J82" s="285">
        <f t="shared" si="8"/>
        <v>211756</v>
      </c>
      <c r="K82" s="285">
        <f t="shared" si="8"/>
        <v>244646</v>
      </c>
    </row>
    <row r="83" spans="1:11" ht="18" customHeight="1" thickBot="1" x14ac:dyDescent="0.35">
      <c r="A83" s="733"/>
      <c r="B83" s="742"/>
      <c r="C83" s="742"/>
      <c r="D83" s="742"/>
      <c r="E83" s="742"/>
      <c r="F83" s="291"/>
      <c r="G83" s="291"/>
      <c r="H83" s="291"/>
      <c r="I83" s="291"/>
      <c r="J83" s="291"/>
      <c r="K83" s="291"/>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282">
        <v>0</v>
      </c>
      <c r="G86" s="282">
        <v>0</v>
      </c>
      <c r="H86" s="283">
        <v>0</v>
      </c>
      <c r="I86" s="306">
        <f t="shared" ref="I86:I96" si="9">H86*F$114</f>
        <v>0</v>
      </c>
      <c r="J86" s="283">
        <v>0</v>
      </c>
      <c r="K86" s="284">
        <f t="shared" ref="K86:K96" si="10">(H86+I86)-J86</f>
        <v>0</v>
      </c>
    </row>
    <row r="87" spans="1:11" ht="18" customHeight="1" x14ac:dyDescent="0.3">
      <c r="A87" s="733" t="s">
        <v>114</v>
      </c>
      <c r="B87" s="635" t="s">
        <v>14</v>
      </c>
      <c r="C87" s="742"/>
      <c r="D87" s="742"/>
      <c r="E87" s="742"/>
      <c r="F87" s="282">
        <v>4</v>
      </c>
      <c r="G87" s="282">
        <v>0</v>
      </c>
      <c r="H87" s="283">
        <v>164</v>
      </c>
      <c r="I87" s="306">
        <v>112</v>
      </c>
      <c r="J87" s="283">
        <v>0</v>
      </c>
      <c r="K87" s="284">
        <f t="shared" si="10"/>
        <v>276</v>
      </c>
    </row>
    <row r="88" spans="1:11" ht="18" customHeight="1" x14ac:dyDescent="0.3">
      <c r="A88" s="733" t="s">
        <v>115</v>
      </c>
      <c r="B88" s="635" t="s">
        <v>116</v>
      </c>
      <c r="C88" s="742"/>
      <c r="D88" s="742"/>
      <c r="E88" s="742"/>
      <c r="F88" s="282">
        <v>7</v>
      </c>
      <c r="G88" s="282">
        <v>40</v>
      </c>
      <c r="H88" s="283">
        <v>283</v>
      </c>
      <c r="I88" s="306">
        <v>190</v>
      </c>
      <c r="J88" s="283">
        <v>0</v>
      </c>
      <c r="K88" s="284">
        <f t="shared" si="10"/>
        <v>473</v>
      </c>
    </row>
    <row r="89" spans="1:11" ht="18" customHeight="1" x14ac:dyDescent="0.3">
      <c r="A89" s="733" t="s">
        <v>117</v>
      </c>
      <c r="B89" s="635" t="s">
        <v>58</v>
      </c>
      <c r="C89" s="742"/>
      <c r="D89" s="742"/>
      <c r="E89" s="742"/>
      <c r="F89" s="282">
        <v>0</v>
      </c>
      <c r="G89" s="282">
        <v>0</v>
      </c>
      <c r="H89" s="283">
        <v>0</v>
      </c>
      <c r="I89" s="306">
        <f t="shared" si="9"/>
        <v>0</v>
      </c>
      <c r="J89" s="283">
        <v>0</v>
      </c>
      <c r="K89" s="284">
        <f t="shared" si="10"/>
        <v>0</v>
      </c>
    </row>
    <row r="90" spans="1:11" ht="18" customHeight="1" x14ac:dyDescent="0.3">
      <c r="A90" s="733" t="s">
        <v>118</v>
      </c>
      <c r="B90" s="1359" t="s">
        <v>59</v>
      </c>
      <c r="C90" s="1359"/>
      <c r="D90" s="742"/>
      <c r="E90" s="742"/>
      <c r="F90" s="282">
        <v>0</v>
      </c>
      <c r="G90" s="282">
        <v>0</v>
      </c>
      <c r="H90" s="283">
        <v>0</v>
      </c>
      <c r="I90" s="306">
        <f t="shared" si="9"/>
        <v>0</v>
      </c>
      <c r="J90" s="283">
        <v>0</v>
      </c>
      <c r="K90" s="284">
        <f t="shared" si="10"/>
        <v>0</v>
      </c>
    </row>
    <row r="91" spans="1:11" ht="18" customHeight="1" x14ac:dyDescent="0.3">
      <c r="A91" s="733" t="s">
        <v>119</v>
      </c>
      <c r="B91" s="635" t="s">
        <v>60</v>
      </c>
      <c r="C91" s="742"/>
      <c r="D91" s="742"/>
      <c r="E91" s="742"/>
      <c r="F91" s="282">
        <v>41.5</v>
      </c>
      <c r="G91" s="282">
        <v>14</v>
      </c>
      <c r="H91" s="283">
        <v>1686</v>
      </c>
      <c r="I91" s="306">
        <v>1137</v>
      </c>
      <c r="J91" s="283">
        <v>0</v>
      </c>
      <c r="K91" s="284">
        <f t="shared" si="10"/>
        <v>2823</v>
      </c>
    </row>
    <row r="92" spans="1:11" ht="18" customHeight="1" x14ac:dyDescent="0.3">
      <c r="A92" s="733" t="s">
        <v>120</v>
      </c>
      <c r="B92" s="635" t="s">
        <v>121</v>
      </c>
      <c r="C92" s="742"/>
      <c r="D92" s="742"/>
      <c r="E92" s="742"/>
      <c r="F92" s="297">
        <v>4</v>
      </c>
      <c r="G92" s="297">
        <v>0</v>
      </c>
      <c r="H92" s="298">
        <v>164</v>
      </c>
      <c r="I92" s="306">
        <v>112</v>
      </c>
      <c r="J92" s="298">
        <v>0</v>
      </c>
      <c r="K92" s="284">
        <f t="shared" si="10"/>
        <v>276</v>
      </c>
    </row>
    <row r="93" spans="1:11" ht="18" customHeight="1" x14ac:dyDescent="0.3">
      <c r="A93" s="733" t="s">
        <v>122</v>
      </c>
      <c r="B93" s="635" t="s">
        <v>123</v>
      </c>
      <c r="C93" s="742"/>
      <c r="D93" s="742"/>
      <c r="E93" s="742"/>
      <c r="F93" s="282">
        <v>345</v>
      </c>
      <c r="G93" s="282">
        <v>1694</v>
      </c>
      <c r="H93" s="283">
        <v>11119</v>
      </c>
      <c r="I93" s="306">
        <v>7483</v>
      </c>
      <c r="J93" s="283">
        <v>184</v>
      </c>
      <c r="K93" s="284">
        <f t="shared" si="10"/>
        <v>18418</v>
      </c>
    </row>
    <row r="94" spans="1:11" ht="18" customHeight="1" x14ac:dyDescent="0.3">
      <c r="A94" s="733" t="s">
        <v>124</v>
      </c>
      <c r="B94" s="1354"/>
      <c r="C94" s="1355"/>
      <c r="D94" s="1356"/>
      <c r="E94" s="742"/>
      <c r="F94" s="282"/>
      <c r="G94" s="282"/>
      <c r="H94" s="283"/>
      <c r="I94" s="306">
        <f t="shared" si="9"/>
        <v>0</v>
      </c>
      <c r="J94" s="283"/>
      <c r="K94" s="284">
        <f t="shared" si="10"/>
        <v>0</v>
      </c>
    </row>
    <row r="95" spans="1:11" ht="18" customHeight="1" x14ac:dyDescent="0.3">
      <c r="A95" s="733" t="s">
        <v>125</v>
      </c>
      <c r="B95" s="1354"/>
      <c r="C95" s="1355"/>
      <c r="D95" s="1356"/>
      <c r="E95" s="742"/>
      <c r="F95" s="282"/>
      <c r="G95" s="282"/>
      <c r="H95" s="283"/>
      <c r="I95" s="306">
        <f t="shared" si="9"/>
        <v>0</v>
      </c>
      <c r="J95" s="283"/>
      <c r="K95" s="284">
        <f t="shared" si="10"/>
        <v>0</v>
      </c>
    </row>
    <row r="96" spans="1:11" ht="18" customHeight="1" x14ac:dyDescent="0.3">
      <c r="A96" s="733" t="s">
        <v>126</v>
      </c>
      <c r="B96" s="1354"/>
      <c r="C96" s="1355"/>
      <c r="D96" s="1356"/>
      <c r="E96" s="742"/>
      <c r="F96" s="282"/>
      <c r="G96" s="282"/>
      <c r="H96" s="283"/>
      <c r="I96" s="306">
        <f t="shared" si="9"/>
        <v>0</v>
      </c>
      <c r="J96" s="283"/>
      <c r="K96" s="284">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286">
        <f t="shared" ref="F98:K98" si="11">SUM(F86:F96)</f>
        <v>401.5</v>
      </c>
      <c r="G98" s="286">
        <f t="shared" si="11"/>
        <v>1748</v>
      </c>
      <c r="H98" s="286">
        <f t="shared" si="11"/>
        <v>13416</v>
      </c>
      <c r="I98" s="286">
        <f t="shared" si="11"/>
        <v>9034</v>
      </c>
      <c r="J98" s="286">
        <f t="shared" si="11"/>
        <v>184</v>
      </c>
      <c r="K98" s="286">
        <f t="shared" si="11"/>
        <v>22266</v>
      </c>
    </row>
    <row r="99" spans="1:11" ht="18" customHeight="1" thickBot="1" x14ac:dyDescent="0.35">
      <c r="A99" s="742"/>
      <c r="B99" s="636"/>
      <c r="C99" s="742"/>
      <c r="D99" s="742"/>
      <c r="E99" s="742"/>
      <c r="F99" s="291"/>
      <c r="G99" s="291"/>
      <c r="H99" s="291"/>
      <c r="I99" s="291"/>
      <c r="J99" s="291"/>
      <c r="K99" s="291"/>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282">
        <v>825</v>
      </c>
      <c r="G102" s="282">
        <v>14</v>
      </c>
      <c r="H102" s="283">
        <v>33480</v>
      </c>
      <c r="I102" s="306">
        <v>22531</v>
      </c>
      <c r="J102" s="283">
        <v>0</v>
      </c>
      <c r="K102" s="284">
        <f>(H102+I102)-J102</f>
        <v>56011</v>
      </c>
    </row>
    <row r="103" spans="1:11" ht="18" customHeight="1" x14ac:dyDescent="0.3">
      <c r="A103" s="733" t="s">
        <v>132</v>
      </c>
      <c r="B103" s="1357" t="s">
        <v>62</v>
      </c>
      <c r="C103" s="1357"/>
      <c r="D103" s="742"/>
      <c r="E103" s="742"/>
      <c r="F103" s="282">
        <v>0</v>
      </c>
      <c r="G103" s="282">
        <v>0</v>
      </c>
      <c r="H103" s="283">
        <v>0</v>
      </c>
      <c r="I103" s="306">
        <v>0</v>
      </c>
      <c r="J103" s="283">
        <v>0</v>
      </c>
      <c r="K103" s="284">
        <f>(H103+I103)-J103</f>
        <v>0</v>
      </c>
    </row>
    <row r="104" spans="1:11" ht="18" customHeight="1" x14ac:dyDescent="0.3">
      <c r="A104" s="733" t="s">
        <v>128</v>
      </c>
      <c r="B104" s="1354"/>
      <c r="C104" s="1355"/>
      <c r="D104" s="1356"/>
      <c r="E104" s="742"/>
      <c r="F104" s="282"/>
      <c r="G104" s="282"/>
      <c r="H104" s="283"/>
      <c r="I104" s="306">
        <f>H104*F$114</f>
        <v>0</v>
      </c>
      <c r="J104" s="283"/>
      <c r="K104" s="284">
        <f>(H104+I104)-J104</f>
        <v>0</v>
      </c>
    </row>
    <row r="105" spans="1:11" ht="18" customHeight="1" x14ac:dyDescent="0.3">
      <c r="A105" s="733" t="s">
        <v>127</v>
      </c>
      <c r="B105" s="1354"/>
      <c r="C105" s="1355"/>
      <c r="D105" s="1356"/>
      <c r="E105" s="742"/>
      <c r="F105" s="282"/>
      <c r="G105" s="282"/>
      <c r="H105" s="283"/>
      <c r="I105" s="306">
        <f>H105*F$114</f>
        <v>0</v>
      </c>
      <c r="J105" s="283"/>
      <c r="K105" s="284">
        <f>(H105+I105)-J105</f>
        <v>0</v>
      </c>
    </row>
    <row r="106" spans="1:11" ht="18" customHeight="1" x14ac:dyDescent="0.3">
      <c r="A106" s="733" t="s">
        <v>129</v>
      </c>
      <c r="B106" s="1354"/>
      <c r="C106" s="1355"/>
      <c r="D106" s="1356"/>
      <c r="E106" s="742"/>
      <c r="F106" s="282"/>
      <c r="G106" s="282"/>
      <c r="H106" s="283"/>
      <c r="I106" s="306">
        <f>H106*F$114</f>
        <v>0</v>
      </c>
      <c r="J106" s="283"/>
      <c r="K106" s="284">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286">
        <f t="shared" ref="F108:K108" si="12">SUM(F102:F106)</f>
        <v>825</v>
      </c>
      <c r="G108" s="286">
        <f t="shared" si="12"/>
        <v>14</v>
      </c>
      <c r="H108" s="284">
        <f t="shared" si="12"/>
        <v>33480</v>
      </c>
      <c r="I108" s="284">
        <f t="shared" si="12"/>
        <v>22531</v>
      </c>
      <c r="J108" s="284">
        <f t="shared" si="12"/>
        <v>0</v>
      </c>
      <c r="K108" s="284">
        <f t="shared" si="12"/>
        <v>56011</v>
      </c>
    </row>
    <row r="109" spans="1:11" s="29" customFormat="1" ht="18" customHeight="1" thickBot="1" x14ac:dyDescent="0.35">
      <c r="A109" s="279"/>
      <c r="B109" s="280"/>
      <c r="C109" s="281"/>
      <c r="D109" s="281"/>
      <c r="E109" s="281"/>
      <c r="F109" s="291"/>
      <c r="G109" s="291"/>
      <c r="H109" s="291"/>
      <c r="I109" s="291"/>
      <c r="J109" s="291"/>
      <c r="K109" s="291"/>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283">
        <v>4596840.59</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6" ht="18" customHeight="1" x14ac:dyDescent="0.3">
      <c r="A113" s="639"/>
      <c r="B113" s="636" t="s">
        <v>15</v>
      </c>
      <c r="C113" s="742"/>
      <c r="D113" s="742"/>
      <c r="E113" s="742"/>
      <c r="F113" s="742"/>
    </row>
    <row r="114" spans="1:6" ht="18" customHeight="1" x14ac:dyDescent="0.3">
      <c r="A114" s="733" t="s">
        <v>171</v>
      </c>
      <c r="B114" s="635" t="s">
        <v>35</v>
      </c>
      <c r="C114" s="742"/>
      <c r="D114" s="742"/>
      <c r="E114" s="742"/>
      <c r="F114" s="292">
        <v>0.67320000000000002</v>
      </c>
    </row>
    <row r="115" spans="1:6" ht="18" customHeight="1" x14ac:dyDescent="0.3">
      <c r="A115" s="733"/>
      <c r="B115" s="636"/>
      <c r="C115" s="742"/>
      <c r="D115" s="742"/>
      <c r="E115" s="742"/>
      <c r="F115" s="742"/>
    </row>
    <row r="116" spans="1:6" ht="18" customHeight="1" x14ac:dyDescent="0.3">
      <c r="A116" s="733" t="s">
        <v>170</v>
      </c>
      <c r="B116" s="636" t="s">
        <v>16</v>
      </c>
      <c r="C116" s="742"/>
      <c r="D116" s="742"/>
      <c r="E116" s="742"/>
      <c r="F116" s="742"/>
    </row>
    <row r="117" spans="1:6" ht="18" customHeight="1" x14ac:dyDescent="0.3">
      <c r="A117" s="733" t="s">
        <v>172</v>
      </c>
      <c r="B117" s="635" t="s">
        <v>17</v>
      </c>
      <c r="C117" s="742"/>
      <c r="D117" s="742"/>
      <c r="E117" s="742"/>
      <c r="F117" s="283">
        <v>319198715</v>
      </c>
    </row>
    <row r="118" spans="1:6" ht="18" customHeight="1" x14ac:dyDescent="0.3">
      <c r="A118" s="733" t="s">
        <v>173</v>
      </c>
      <c r="B118" s="742" t="s">
        <v>18</v>
      </c>
      <c r="C118" s="742"/>
      <c r="D118" s="742"/>
      <c r="E118" s="742"/>
      <c r="F118" s="283">
        <v>14153298</v>
      </c>
    </row>
    <row r="119" spans="1:6" ht="18" customHeight="1" x14ac:dyDescent="0.3">
      <c r="A119" s="733" t="s">
        <v>174</v>
      </c>
      <c r="B119" s="636" t="s">
        <v>19</v>
      </c>
      <c r="C119" s="742"/>
      <c r="D119" s="742"/>
      <c r="E119" s="742"/>
      <c r="F119" s="285">
        <f>SUM(F117:F118)</f>
        <v>333352013</v>
      </c>
    </row>
    <row r="120" spans="1:6" ht="18" customHeight="1" x14ac:dyDescent="0.3">
      <c r="A120" s="733"/>
      <c r="B120" s="636"/>
      <c r="C120" s="742"/>
      <c r="D120" s="742"/>
      <c r="E120" s="742"/>
      <c r="F120" s="742"/>
    </row>
    <row r="121" spans="1:6" ht="18" customHeight="1" x14ac:dyDescent="0.3">
      <c r="A121" s="733" t="s">
        <v>167</v>
      </c>
      <c r="B121" s="636" t="s">
        <v>36</v>
      </c>
      <c r="C121" s="742"/>
      <c r="D121" s="742"/>
      <c r="E121" s="742"/>
      <c r="F121" s="283">
        <v>309163913</v>
      </c>
    </row>
    <row r="122" spans="1:6" ht="18" customHeight="1" x14ac:dyDescent="0.3">
      <c r="A122" s="733"/>
      <c r="B122" s="742"/>
      <c r="C122" s="742"/>
      <c r="D122" s="742"/>
      <c r="E122" s="742"/>
      <c r="F122" s="742"/>
    </row>
    <row r="123" spans="1:6" ht="18" customHeight="1" x14ac:dyDescent="0.3">
      <c r="A123" s="733" t="s">
        <v>175</v>
      </c>
      <c r="B123" s="636" t="s">
        <v>20</v>
      </c>
      <c r="C123" s="742"/>
      <c r="D123" s="742"/>
      <c r="E123" s="742"/>
      <c r="F123" s="283">
        <v>24188100</v>
      </c>
    </row>
    <row r="124" spans="1:6" ht="18" customHeight="1" x14ac:dyDescent="0.3">
      <c r="A124" s="733"/>
      <c r="B124" s="742"/>
      <c r="C124" s="742"/>
      <c r="D124" s="742"/>
      <c r="E124" s="742"/>
      <c r="F124" s="742"/>
    </row>
    <row r="125" spans="1:6" ht="18" customHeight="1" x14ac:dyDescent="0.3">
      <c r="A125" s="733" t="s">
        <v>176</v>
      </c>
      <c r="B125" s="636" t="s">
        <v>21</v>
      </c>
      <c r="C125" s="742"/>
      <c r="D125" s="742"/>
      <c r="E125" s="742"/>
      <c r="F125" s="283">
        <v>14073386</v>
      </c>
    </row>
    <row r="126" spans="1:6" ht="18" customHeight="1" x14ac:dyDescent="0.3">
      <c r="A126" s="733"/>
      <c r="B126" s="742"/>
      <c r="C126" s="742"/>
      <c r="D126" s="742"/>
      <c r="E126" s="742"/>
      <c r="F126" s="742"/>
    </row>
    <row r="127" spans="1:6" ht="18" customHeight="1" x14ac:dyDescent="0.3">
      <c r="A127" s="733" t="s">
        <v>177</v>
      </c>
      <c r="B127" s="636" t="s">
        <v>22</v>
      </c>
      <c r="C127" s="742"/>
      <c r="D127" s="742"/>
      <c r="E127" s="742"/>
      <c r="F127" s="283">
        <v>38261486</v>
      </c>
    </row>
    <row r="128" spans="1:6" ht="18" customHeight="1" x14ac:dyDescent="0.3">
      <c r="A128" s="733"/>
      <c r="B128" s="742"/>
      <c r="C128" s="742"/>
      <c r="D128" s="742"/>
      <c r="E128" s="742"/>
      <c r="F128" s="742"/>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282"/>
      <c r="G131" s="282"/>
      <c r="H131" s="283"/>
      <c r="I131" s="306">
        <v>0</v>
      </c>
      <c r="J131" s="283"/>
      <c r="K131" s="284">
        <f>(H131+I131)-J131</f>
        <v>0</v>
      </c>
    </row>
    <row r="132" spans="1:11" ht="18" customHeight="1" x14ac:dyDescent="0.3">
      <c r="A132" s="733" t="s">
        <v>159</v>
      </c>
      <c r="B132" s="742" t="s">
        <v>25</v>
      </c>
      <c r="C132" s="742"/>
      <c r="D132" s="742"/>
      <c r="E132" s="742"/>
      <c r="F132" s="282"/>
      <c r="G132" s="282"/>
      <c r="H132" s="283"/>
      <c r="I132" s="306">
        <v>0</v>
      </c>
      <c r="J132" s="283"/>
      <c r="K132" s="284">
        <f>(H132+I132)-J132</f>
        <v>0</v>
      </c>
    </row>
    <row r="133" spans="1:11" ht="18" customHeight="1" x14ac:dyDescent="0.3">
      <c r="A133" s="733" t="s">
        <v>160</v>
      </c>
      <c r="B133" s="1351"/>
      <c r="C133" s="1352"/>
      <c r="D133" s="1353"/>
      <c r="E133" s="742"/>
      <c r="F133" s="282"/>
      <c r="G133" s="282"/>
      <c r="H133" s="283"/>
      <c r="I133" s="306">
        <v>0</v>
      </c>
      <c r="J133" s="283"/>
      <c r="K133" s="284">
        <f>(H133+I133)-J133</f>
        <v>0</v>
      </c>
    </row>
    <row r="134" spans="1:11" ht="18" customHeight="1" x14ac:dyDescent="0.3">
      <c r="A134" s="733" t="s">
        <v>161</v>
      </c>
      <c r="B134" s="1351"/>
      <c r="C134" s="1352"/>
      <c r="D134" s="1353"/>
      <c r="E134" s="742"/>
      <c r="F134" s="282"/>
      <c r="G134" s="282"/>
      <c r="H134" s="283"/>
      <c r="I134" s="306">
        <v>0</v>
      </c>
      <c r="J134" s="283"/>
      <c r="K134" s="284">
        <f>(H134+I134)-J134</f>
        <v>0</v>
      </c>
    </row>
    <row r="135" spans="1:11" ht="18" customHeight="1" x14ac:dyDescent="0.3">
      <c r="A135" s="733" t="s">
        <v>162</v>
      </c>
      <c r="B135" s="1351"/>
      <c r="C135" s="1352"/>
      <c r="D135" s="1353"/>
      <c r="E135" s="742"/>
      <c r="F135" s="282"/>
      <c r="G135" s="282"/>
      <c r="H135" s="283"/>
      <c r="I135" s="306">
        <v>0</v>
      </c>
      <c r="J135" s="283"/>
      <c r="K135" s="284">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286">
        <f t="shared" ref="F137:K137" si="13">SUM(F131:F135)</f>
        <v>0</v>
      </c>
      <c r="G137" s="286">
        <f t="shared" si="13"/>
        <v>0</v>
      </c>
      <c r="H137" s="284">
        <f t="shared" si="13"/>
        <v>0</v>
      </c>
      <c r="I137" s="284">
        <f t="shared" si="13"/>
        <v>0</v>
      </c>
      <c r="J137" s="284">
        <f t="shared" si="13"/>
        <v>0</v>
      </c>
      <c r="K137" s="284">
        <f t="shared" si="13"/>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300">
        <f t="shared" ref="F141:K141" si="14">F36</f>
        <v>20144</v>
      </c>
      <c r="G141" s="300">
        <f t="shared" si="14"/>
        <v>44290</v>
      </c>
      <c r="H141" s="300">
        <f t="shared" si="14"/>
        <v>969549</v>
      </c>
      <c r="I141" s="300">
        <f t="shared" si="14"/>
        <v>399740</v>
      </c>
      <c r="J141" s="300">
        <f t="shared" si="14"/>
        <v>14037</v>
      </c>
      <c r="K141" s="300">
        <f t="shared" si="14"/>
        <v>1355252</v>
      </c>
    </row>
    <row r="142" spans="1:11" ht="18" customHeight="1" x14ac:dyDescent="0.3">
      <c r="A142" s="733" t="s">
        <v>142</v>
      </c>
      <c r="B142" s="636" t="s">
        <v>65</v>
      </c>
      <c r="C142" s="742"/>
      <c r="D142" s="742"/>
      <c r="E142" s="742"/>
      <c r="F142" s="300">
        <f t="shared" ref="F142:K142" si="15">F49</f>
        <v>4510.5</v>
      </c>
      <c r="G142" s="300">
        <f t="shared" si="15"/>
        <v>1855</v>
      </c>
      <c r="H142" s="300">
        <f t="shared" si="15"/>
        <v>184839</v>
      </c>
      <c r="I142" s="300">
        <f t="shared" si="15"/>
        <v>0</v>
      </c>
      <c r="J142" s="300">
        <f t="shared" si="15"/>
        <v>0</v>
      </c>
      <c r="K142" s="300">
        <f t="shared" si="15"/>
        <v>184839</v>
      </c>
    </row>
    <row r="143" spans="1:11" ht="18" customHeight="1" x14ac:dyDescent="0.3">
      <c r="A143" s="733" t="s">
        <v>144</v>
      </c>
      <c r="B143" s="636" t="s">
        <v>66</v>
      </c>
      <c r="C143" s="742"/>
      <c r="D143" s="742"/>
      <c r="E143" s="742"/>
      <c r="F143" s="300">
        <f t="shared" ref="F143:K143" si="16">F64</f>
        <v>150740</v>
      </c>
      <c r="G143" s="300">
        <f t="shared" si="16"/>
        <v>444674</v>
      </c>
      <c r="H143" s="300">
        <f t="shared" si="16"/>
        <v>19448430</v>
      </c>
      <c r="I143" s="300">
        <f t="shared" si="16"/>
        <v>0</v>
      </c>
      <c r="J143" s="300">
        <f t="shared" si="16"/>
        <v>4820578</v>
      </c>
      <c r="K143" s="300">
        <f t="shared" si="16"/>
        <v>14627852</v>
      </c>
    </row>
    <row r="144" spans="1:11" ht="18" customHeight="1" x14ac:dyDescent="0.3">
      <c r="A144" s="733" t="s">
        <v>146</v>
      </c>
      <c r="B144" s="636" t="s">
        <v>67</v>
      </c>
      <c r="C144" s="742"/>
      <c r="D144" s="742"/>
      <c r="E144" s="742"/>
      <c r="F144" s="300">
        <f t="shared" ref="F144:K144" si="17">F74</f>
        <v>4434</v>
      </c>
      <c r="G144" s="300">
        <f t="shared" si="17"/>
        <v>410</v>
      </c>
      <c r="H144" s="300">
        <f t="shared" si="17"/>
        <v>361788</v>
      </c>
      <c r="I144" s="300">
        <f t="shared" si="17"/>
        <v>0</v>
      </c>
      <c r="J144" s="300">
        <f t="shared" si="17"/>
        <v>352874</v>
      </c>
      <c r="K144" s="300">
        <f t="shared" si="17"/>
        <v>8914</v>
      </c>
    </row>
    <row r="145" spans="1:11" ht="18" customHeight="1" x14ac:dyDescent="0.3">
      <c r="A145" s="733" t="s">
        <v>148</v>
      </c>
      <c r="B145" s="636" t="s">
        <v>68</v>
      </c>
      <c r="C145" s="742"/>
      <c r="D145" s="742"/>
      <c r="E145" s="742"/>
      <c r="F145" s="300">
        <f t="shared" ref="F145:K145" si="18">F82</f>
        <v>462</v>
      </c>
      <c r="G145" s="300">
        <f t="shared" si="18"/>
        <v>3902</v>
      </c>
      <c r="H145" s="300">
        <f t="shared" si="18"/>
        <v>456402</v>
      </c>
      <c r="I145" s="300">
        <f t="shared" si="18"/>
        <v>0</v>
      </c>
      <c r="J145" s="300">
        <f t="shared" si="18"/>
        <v>211756</v>
      </c>
      <c r="K145" s="300">
        <f t="shared" si="18"/>
        <v>244646</v>
      </c>
    </row>
    <row r="146" spans="1:11" ht="18" customHeight="1" x14ac:dyDescent="0.3">
      <c r="A146" s="733" t="s">
        <v>150</v>
      </c>
      <c r="B146" s="636" t="s">
        <v>69</v>
      </c>
      <c r="C146" s="742"/>
      <c r="D146" s="742"/>
      <c r="E146" s="742"/>
      <c r="F146" s="300">
        <f t="shared" ref="F146:K146" si="19">F98</f>
        <v>401.5</v>
      </c>
      <c r="G146" s="300">
        <f t="shared" si="19"/>
        <v>1748</v>
      </c>
      <c r="H146" s="300">
        <f t="shared" si="19"/>
        <v>13416</v>
      </c>
      <c r="I146" s="300">
        <f t="shared" si="19"/>
        <v>9034</v>
      </c>
      <c r="J146" s="300">
        <f t="shared" si="19"/>
        <v>184</v>
      </c>
      <c r="K146" s="300">
        <f t="shared" si="19"/>
        <v>22266</v>
      </c>
    </row>
    <row r="147" spans="1:11" ht="18" customHeight="1" x14ac:dyDescent="0.3">
      <c r="A147" s="733" t="s">
        <v>153</v>
      </c>
      <c r="B147" s="636" t="s">
        <v>61</v>
      </c>
      <c r="C147" s="742"/>
      <c r="D147" s="742"/>
      <c r="E147" s="742"/>
      <c r="F147" s="286">
        <f t="shared" ref="F147:K147" si="20">F108</f>
        <v>825</v>
      </c>
      <c r="G147" s="286">
        <f t="shared" si="20"/>
        <v>14</v>
      </c>
      <c r="H147" s="286">
        <f t="shared" si="20"/>
        <v>33480</v>
      </c>
      <c r="I147" s="286">
        <f t="shared" si="20"/>
        <v>22531</v>
      </c>
      <c r="J147" s="286">
        <f t="shared" si="20"/>
        <v>0</v>
      </c>
      <c r="K147" s="286">
        <f t="shared" si="20"/>
        <v>56011</v>
      </c>
    </row>
    <row r="148" spans="1:11" ht="18" customHeight="1" x14ac:dyDescent="0.3">
      <c r="A148" s="733" t="s">
        <v>155</v>
      </c>
      <c r="B148" s="636" t="s">
        <v>70</v>
      </c>
      <c r="C148" s="742"/>
      <c r="D148" s="742"/>
      <c r="E148" s="742"/>
      <c r="F148" s="301" t="s">
        <v>73</v>
      </c>
      <c r="G148" s="301" t="s">
        <v>73</v>
      </c>
      <c r="H148" s="302" t="s">
        <v>73</v>
      </c>
      <c r="I148" s="302" t="s">
        <v>73</v>
      </c>
      <c r="J148" s="302" t="s">
        <v>73</v>
      </c>
      <c r="K148" s="296">
        <f>F111</f>
        <v>4596840.59</v>
      </c>
    </row>
    <row r="149" spans="1:11" ht="18" customHeight="1" x14ac:dyDescent="0.3">
      <c r="A149" s="733" t="s">
        <v>163</v>
      </c>
      <c r="B149" s="636" t="s">
        <v>71</v>
      </c>
      <c r="C149" s="742"/>
      <c r="D149" s="742"/>
      <c r="E149" s="742"/>
      <c r="F149" s="286">
        <f t="shared" ref="F149:K149" si="21">F137</f>
        <v>0</v>
      </c>
      <c r="G149" s="286">
        <f t="shared" si="21"/>
        <v>0</v>
      </c>
      <c r="H149" s="286">
        <f t="shared" si="21"/>
        <v>0</v>
      </c>
      <c r="I149" s="286">
        <f t="shared" si="21"/>
        <v>0</v>
      </c>
      <c r="J149" s="286">
        <f t="shared" si="21"/>
        <v>0</v>
      </c>
      <c r="K149" s="286">
        <f t="shared" si="21"/>
        <v>0</v>
      </c>
    </row>
    <row r="150" spans="1:11" ht="18" customHeight="1" x14ac:dyDescent="0.3">
      <c r="A150" s="733" t="s">
        <v>185</v>
      </c>
      <c r="B150" s="636" t="s">
        <v>186</v>
      </c>
      <c r="C150" s="742"/>
      <c r="D150" s="742"/>
      <c r="E150" s="742"/>
      <c r="F150" s="301" t="s">
        <v>73</v>
      </c>
      <c r="G150" s="301" t="s">
        <v>73</v>
      </c>
      <c r="H150" s="286">
        <f>H18</f>
        <v>7021189</v>
      </c>
      <c r="I150" s="286">
        <f>I18</f>
        <v>0</v>
      </c>
      <c r="J150" s="286">
        <f>J18</f>
        <v>5934290</v>
      </c>
      <c r="K150" s="286">
        <f>K18</f>
        <v>1086899</v>
      </c>
    </row>
    <row r="151" spans="1:11" ht="18" customHeight="1" x14ac:dyDescent="0.3">
      <c r="A151" s="742"/>
      <c r="B151" s="636"/>
      <c r="C151" s="742"/>
      <c r="D151" s="742"/>
      <c r="E151" s="742"/>
      <c r="F151" s="304"/>
      <c r="G151" s="304"/>
      <c r="H151" s="304"/>
      <c r="I151" s="304"/>
      <c r="J151" s="304"/>
      <c r="K151" s="304"/>
    </row>
    <row r="152" spans="1:11" ht="18" customHeight="1" x14ac:dyDescent="0.3">
      <c r="A152" s="639" t="s">
        <v>165</v>
      </c>
      <c r="B152" s="636" t="s">
        <v>26</v>
      </c>
      <c r="C152" s="742"/>
      <c r="D152" s="742"/>
      <c r="E152" s="742"/>
      <c r="F152" s="305">
        <f t="shared" ref="F152:K152" si="22">SUM(F141:F150)</f>
        <v>181517</v>
      </c>
      <c r="G152" s="305">
        <f t="shared" si="22"/>
        <v>496893</v>
      </c>
      <c r="H152" s="305">
        <f t="shared" si="22"/>
        <v>28489093</v>
      </c>
      <c r="I152" s="305">
        <f t="shared" si="22"/>
        <v>431305</v>
      </c>
      <c r="J152" s="305">
        <f t="shared" si="22"/>
        <v>11333719</v>
      </c>
      <c r="K152" s="305">
        <f t="shared" si="22"/>
        <v>22183519.59</v>
      </c>
    </row>
    <row r="154" spans="1:11" ht="18" customHeight="1" x14ac:dyDescent="0.3">
      <c r="A154" s="639" t="s">
        <v>168</v>
      </c>
      <c r="B154" s="636" t="s">
        <v>28</v>
      </c>
      <c r="C154" s="742"/>
      <c r="D154" s="742"/>
      <c r="E154" s="742"/>
      <c r="F154" s="310">
        <f>K152/F121</f>
        <v>7.1753263098335796E-2</v>
      </c>
      <c r="G154" s="742"/>
      <c r="H154" s="742"/>
      <c r="I154" s="742"/>
      <c r="J154" s="742"/>
      <c r="K154" s="742"/>
    </row>
    <row r="155" spans="1:11" ht="18" customHeight="1" x14ac:dyDescent="0.3">
      <c r="A155" s="639" t="s">
        <v>169</v>
      </c>
      <c r="B155" s="636" t="s">
        <v>72</v>
      </c>
      <c r="C155" s="742"/>
      <c r="D155" s="742"/>
      <c r="E155" s="742"/>
      <c r="F155" s="310">
        <f>K152/F127</f>
        <v>0.57978719357632891</v>
      </c>
      <c r="G155" s="636"/>
      <c r="H155" s="742"/>
      <c r="I155" s="742"/>
      <c r="J155" s="742"/>
      <c r="K155" s="742"/>
    </row>
    <row r="156" spans="1:11" ht="18" customHeight="1" x14ac:dyDescent="0.3">
      <c r="A156" s="144"/>
      <c r="B156" s="144"/>
      <c r="C156" s="144"/>
      <c r="D156" s="144"/>
      <c r="E156" s="144"/>
      <c r="F156" s="144"/>
      <c r="G156" s="145"/>
      <c r="H156" s="144"/>
      <c r="I156" s="144"/>
      <c r="J156" s="144"/>
      <c r="K156" s="144"/>
    </row>
  </sheetData>
  <sheetProtection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62:D62"/>
    <mergeCell ref="B57:D57"/>
    <mergeCell ref="B52:C52"/>
    <mergeCell ref="B90:C90"/>
    <mergeCell ref="B53:D53"/>
    <mergeCell ref="B55:D55"/>
    <mergeCell ref="B56:D56"/>
    <mergeCell ref="B59:D59"/>
    <mergeCell ref="B103:C103"/>
    <mergeCell ref="B96:D96"/>
    <mergeCell ref="B95:D95"/>
    <mergeCell ref="B94:D94"/>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56"/>
  <sheetViews>
    <sheetView showGridLines="0" zoomScale="70" zoomScaleNormal="70" zoomScaleSheetLayoutView="50" workbookViewId="0">
      <selection activeCell="B1" sqref="B1"/>
    </sheetView>
  </sheetViews>
  <sheetFormatPr defaultColWidth="9.26953125" defaultRowHeight="18" customHeight="1" x14ac:dyDescent="0.25"/>
  <cols>
    <col min="1" max="1" width="8.453125" style="27" customWidth="1"/>
    <col min="2" max="2" width="55.453125" style="28" bestFit="1" customWidth="1"/>
    <col min="3" max="3" width="9.54296875" style="28" customWidth="1"/>
    <col min="4" max="4" width="9.26953125" style="28"/>
    <col min="5" max="5" width="12.453125" style="28" customWidth="1"/>
    <col min="6" max="6" width="18.54296875" style="28" customWidth="1"/>
    <col min="7" max="7" width="23.54296875" style="28" customWidth="1"/>
    <col min="8" max="8" width="17.26953125" style="28" customWidth="1"/>
    <col min="9" max="9" width="21.26953125" style="28" customWidth="1"/>
    <col min="10" max="10" width="19.7265625" style="28" customWidth="1"/>
    <col min="11" max="11" width="17.54296875" style="28" customWidth="1"/>
    <col min="12" max="16384" width="9.26953125" style="28"/>
  </cols>
  <sheetData>
    <row r="1" spans="1:11" ht="18" customHeight="1" x14ac:dyDescent="0.3">
      <c r="A1" s="742"/>
      <c r="B1" s="742"/>
      <c r="C1" s="888"/>
      <c r="D1" s="889"/>
      <c r="E1" s="888"/>
      <c r="F1" s="888"/>
      <c r="G1" s="888"/>
      <c r="H1" s="888"/>
      <c r="I1" s="888"/>
      <c r="J1" s="888"/>
      <c r="K1" s="888"/>
    </row>
    <row r="2" spans="1:11" ht="18" customHeight="1" x14ac:dyDescent="0.35">
      <c r="A2" s="742"/>
      <c r="B2" s="742"/>
      <c r="C2" s="742"/>
      <c r="D2" s="1360" t="s">
        <v>700</v>
      </c>
      <c r="E2" s="1360"/>
      <c r="F2" s="1360"/>
      <c r="G2" s="1360"/>
      <c r="H2" s="1360"/>
      <c r="I2" s="742"/>
      <c r="J2" s="742"/>
      <c r="K2" s="742"/>
    </row>
    <row r="3" spans="1:11" ht="18" customHeight="1" x14ac:dyDescent="0.3">
      <c r="A3" s="742"/>
      <c r="B3" s="636" t="s">
        <v>0</v>
      </c>
      <c r="C3" s="742"/>
      <c r="D3" s="742"/>
      <c r="E3" s="742"/>
      <c r="F3" s="742"/>
      <c r="G3" s="742"/>
      <c r="H3" s="742"/>
      <c r="I3" s="742"/>
      <c r="J3" s="742"/>
      <c r="K3" s="742"/>
    </row>
    <row r="5" spans="1:11" ht="18" customHeight="1" x14ac:dyDescent="0.3">
      <c r="A5" s="742"/>
      <c r="B5" s="733" t="s">
        <v>40</v>
      </c>
      <c r="C5" s="1361" t="s">
        <v>468</v>
      </c>
      <c r="D5" s="1362"/>
      <c r="E5" s="1362"/>
      <c r="F5" s="1362"/>
      <c r="G5" s="1364"/>
      <c r="H5" s="742"/>
      <c r="I5" s="742"/>
      <c r="J5" s="742"/>
      <c r="K5" s="742"/>
    </row>
    <row r="6" spans="1:11" ht="18" customHeight="1" x14ac:dyDescent="0.3">
      <c r="A6" s="742"/>
      <c r="B6" s="733" t="s">
        <v>3</v>
      </c>
      <c r="C6" s="1365" t="s">
        <v>469</v>
      </c>
      <c r="D6" s="1366"/>
      <c r="E6" s="1366"/>
      <c r="F6" s="1366"/>
      <c r="G6" s="1367"/>
      <c r="H6" s="742"/>
      <c r="I6" s="742"/>
      <c r="J6" s="742"/>
      <c r="K6" s="742"/>
    </row>
    <row r="7" spans="1:11" ht="18" customHeight="1" x14ac:dyDescent="0.3">
      <c r="A7" s="742"/>
      <c r="B7" s="733" t="s">
        <v>4</v>
      </c>
      <c r="C7" s="1374">
        <v>9010</v>
      </c>
      <c r="D7" s="1375"/>
      <c r="E7" s="1375"/>
      <c r="F7" s="1375"/>
      <c r="G7" s="1376"/>
      <c r="H7" s="742"/>
      <c r="I7" s="742"/>
      <c r="J7" s="742"/>
      <c r="K7" s="742"/>
    </row>
    <row r="9" spans="1:11" ht="18" customHeight="1" x14ac:dyDescent="0.3">
      <c r="A9" s="742"/>
      <c r="B9" s="733" t="s">
        <v>1</v>
      </c>
      <c r="C9" s="1361" t="s">
        <v>470</v>
      </c>
      <c r="D9" s="1362"/>
      <c r="E9" s="1362"/>
      <c r="F9" s="1362"/>
      <c r="G9" s="1364"/>
      <c r="H9" s="742"/>
      <c r="I9" s="742"/>
      <c r="J9" s="742"/>
      <c r="K9" s="742"/>
    </row>
    <row r="10" spans="1:11" ht="18" customHeight="1" x14ac:dyDescent="0.3">
      <c r="A10" s="742"/>
      <c r="B10" s="733" t="s">
        <v>2</v>
      </c>
      <c r="C10" s="1371" t="s">
        <v>471</v>
      </c>
      <c r="D10" s="1372"/>
      <c r="E10" s="1372"/>
      <c r="F10" s="1372"/>
      <c r="G10" s="1373"/>
      <c r="H10" s="742"/>
      <c r="I10" s="742"/>
      <c r="J10" s="742"/>
      <c r="K10" s="742"/>
    </row>
    <row r="11" spans="1:11" ht="18" customHeight="1" x14ac:dyDescent="0.3">
      <c r="A11" s="742"/>
      <c r="B11" s="733" t="s">
        <v>32</v>
      </c>
      <c r="C11" s="1361" t="s">
        <v>472</v>
      </c>
      <c r="D11" s="1362"/>
      <c r="E11" s="1362"/>
      <c r="F11" s="1362"/>
      <c r="G11" s="1364"/>
      <c r="H11" s="742"/>
      <c r="I11" s="742"/>
      <c r="J11" s="742"/>
      <c r="K11" s="742"/>
    </row>
    <row r="12" spans="1:11" ht="18" customHeight="1" x14ac:dyDescent="0.3">
      <c r="A12" s="742"/>
      <c r="B12" s="733"/>
      <c r="C12" s="733"/>
      <c r="D12" s="733"/>
      <c r="E12" s="733"/>
      <c r="F12" s="733"/>
      <c r="G12" s="733"/>
      <c r="H12" s="742"/>
      <c r="I12" s="742"/>
      <c r="J12" s="742"/>
      <c r="K12" s="742"/>
    </row>
    <row r="13" spans="1:11" ht="24.65" customHeight="1" x14ac:dyDescent="0.25">
      <c r="A13" s="742"/>
      <c r="B13" s="1363"/>
      <c r="C13" s="1363"/>
      <c r="D13" s="1363"/>
      <c r="E13" s="1363"/>
      <c r="F13" s="1363"/>
      <c r="G13" s="1363"/>
      <c r="H13" s="1363"/>
      <c r="I13" s="888"/>
      <c r="J13" s="742"/>
      <c r="K13" s="742"/>
    </row>
    <row r="14" spans="1:11" ht="18" customHeight="1" x14ac:dyDescent="0.3">
      <c r="A14" s="742"/>
      <c r="B14" s="640"/>
      <c r="C14" s="742"/>
      <c r="D14" s="742"/>
      <c r="E14" s="742"/>
      <c r="F14" s="742"/>
      <c r="G14" s="742"/>
      <c r="H14" s="742"/>
      <c r="I14" s="742"/>
      <c r="J14" s="742"/>
      <c r="K14" s="742"/>
    </row>
    <row r="15" spans="1:11" ht="18" customHeight="1" x14ac:dyDescent="0.3">
      <c r="A15" s="742"/>
      <c r="B15" s="640"/>
      <c r="C15" s="742"/>
      <c r="D15" s="742"/>
      <c r="E15" s="742"/>
      <c r="F15" s="742"/>
      <c r="G15" s="742"/>
      <c r="H15" s="742"/>
      <c r="I15" s="742"/>
      <c r="J15" s="742"/>
      <c r="K15" s="742"/>
    </row>
    <row r="16" spans="1:11" ht="45.4" customHeight="1" x14ac:dyDescent="0.3">
      <c r="A16" s="889" t="s">
        <v>181</v>
      </c>
      <c r="B16" s="888"/>
      <c r="C16" s="888"/>
      <c r="D16" s="888"/>
      <c r="E16" s="888"/>
      <c r="F16" s="641" t="s">
        <v>9</v>
      </c>
      <c r="G16" s="641" t="s">
        <v>37</v>
      </c>
      <c r="H16" s="641" t="s">
        <v>29</v>
      </c>
      <c r="I16" s="641" t="s">
        <v>30</v>
      </c>
      <c r="J16" s="641" t="s">
        <v>33</v>
      </c>
      <c r="K16" s="641" t="s">
        <v>34</v>
      </c>
    </row>
    <row r="17" spans="1:11" ht="18" customHeight="1" x14ac:dyDescent="0.3">
      <c r="A17" s="639" t="s">
        <v>184</v>
      </c>
      <c r="B17" s="636" t="s">
        <v>182</v>
      </c>
      <c r="C17" s="742"/>
      <c r="D17" s="742"/>
      <c r="E17" s="742"/>
      <c r="F17" s="742"/>
      <c r="G17" s="742"/>
      <c r="H17" s="742"/>
      <c r="I17" s="742"/>
      <c r="J17" s="742"/>
      <c r="K17" s="742"/>
    </row>
    <row r="18" spans="1:11" ht="18" customHeight="1" x14ac:dyDescent="0.3">
      <c r="A18" s="733" t="s">
        <v>185</v>
      </c>
      <c r="B18" s="635" t="s">
        <v>183</v>
      </c>
      <c r="C18" s="742"/>
      <c r="D18" s="742"/>
      <c r="E18" s="742"/>
      <c r="F18" s="282" t="s">
        <v>73</v>
      </c>
      <c r="G18" s="282" t="s">
        <v>73</v>
      </c>
      <c r="H18" s="283">
        <v>35422972.254569598</v>
      </c>
      <c r="I18" s="306">
        <v>0</v>
      </c>
      <c r="J18" s="283">
        <v>29939401.578260981</v>
      </c>
      <c r="K18" s="284">
        <f>(H18+I18)-J18</f>
        <v>5483570.676308617</v>
      </c>
    </row>
    <row r="19" spans="1:11" ht="45.4" customHeight="1" x14ac:dyDescent="0.3">
      <c r="A19" s="889" t="s">
        <v>8</v>
      </c>
      <c r="B19" s="888"/>
      <c r="C19" s="888"/>
      <c r="D19" s="888"/>
      <c r="E19" s="888"/>
      <c r="F19" s="641" t="s">
        <v>9</v>
      </c>
      <c r="G19" s="641" t="s">
        <v>37</v>
      </c>
      <c r="H19" s="641" t="s">
        <v>29</v>
      </c>
      <c r="I19" s="641" t="s">
        <v>30</v>
      </c>
      <c r="J19" s="641" t="s">
        <v>33</v>
      </c>
      <c r="K19" s="641" t="s">
        <v>34</v>
      </c>
    </row>
    <row r="20" spans="1:11" ht="18" customHeight="1" x14ac:dyDescent="0.3">
      <c r="A20" s="639" t="s">
        <v>74</v>
      </c>
      <c r="B20" s="636" t="s">
        <v>41</v>
      </c>
      <c r="C20" s="742"/>
      <c r="D20" s="742"/>
      <c r="E20" s="742"/>
      <c r="F20" s="742"/>
      <c r="G20" s="742"/>
      <c r="H20" s="742"/>
      <c r="I20" s="742"/>
      <c r="J20" s="742"/>
      <c r="K20" s="742"/>
    </row>
    <row r="21" spans="1:11" ht="18" customHeight="1" x14ac:dyDescent="0.3">
      <c r="A21" s="733" t="s">
        <v>75</v>
      </c>
      <c r="B21" s="635" t="s">
        <v>42</v>
      </c>
      <c r="C21" s="742"/>
      <c r="D21" s="742"/>
      <c r="E21" s="742"/>
      <c r="F21" s="282">
        <v>9597</v>
      </c>
      <c r="G21" s="282">
        <v>19888</v>
      </c>
      <c r="H21" s="283">
        <v>562010.83341598138</v>
      </c>
      <c r="I21" s="306">
        <f t="shared" ref="I21:I34" si="0">H21*F$114</f>
        <v>202440.95691067158</v>
      </c>
      <c r="J21" s="283">
        <v>4250</v>
      </c>
      <c r="K21" s="284">
        <f t="shared" ref="K21:K34" si="1">(H21+I21)-J21</f>
        <v>760201.79032665293</v>
      </c>
    </row>
    <row r="22" spans="1:11" ht="18" customHeight="1" x14ac:dyDescent="0.3">
      <c r="A22" s="733" t="s">
        <v>76</v>
      </c>
      <c r="B22" s="742" t="s">
        <v>6</v>
      </c>
      <c r="C22" s="742"/>
      <c r="D22" s="742"/>
      <c r="E22" s="742"/>
      <c r="F22" s="282">
        <v>13000</v>
      </c>
      <c r="G22" s="282">
        <v>1006</v>
      </c>
      <c r="H22" s="283">
        <v>589112.88964908873</v>
      </c>
      <c r="I22" s="306">
        <f t="shared" si="0"/>
        <v>212203.34203184256</v>
      </c>
      <c r="J22" s="283">
        <v>269500</v>
      </c>
      <c r="K22" s="284">
        <f t="shared" si="1"/>
        <v>531816.23168093129</v>
      </c>
    </row>
    <row r="23" spans="1:11" ht="18" customHeight="1" x14ac:dyDescent="0.3">
      <c r="A23" s="733" t="s">
        <v>77</v>
      </c>
      <c r="B23" s="742" t="s">
        <v>43</v>
      </c>
      <c r="C23" s="742"/>
      <c r="D23" s="742"/>
      <c r="E23" s="742"/>
      <c r="F23" s="282">
        <v>0</v>
      </c>
      <c r="G23" s="282">
        <v>0</v>
      </c>
      <c r="H23" s="283">
        <v>0</v>
      </c>
      <c r="I23" s="306">
        <f t="shared" si="0"/>
        <v>0</v>
      </c>
      <c r="J23" s="283"/>
      <c r="K23" s="284">
        <f t="shared" si="1"/>
        <v>0</v>
      </c>
    </row>
    <row r="24" spans="1:11" ht="18" customHeight="1" x14ac:dyDescent="0.3">
      <c r="A24" s="733" t="s">
        <v>78</v>
      </c>
      <c r="B24" s="742" t="s">
        <v>44</v>
      </c>
      <c r="C24" s="742"/>
      <c r="D24" s="742"/>
      <c r="E24" s="742"/>
      <c r="F24" s="282">
        <v>0</v>
      </c>
      <c r="G24" s="282">
        <v>0</v>
      </c>
      <c r="H24" s="283">
        <v>0</v>
      </c>
      <c r="I24" s="306">
        <f t="shared" si="0"/>
        <v>0</v>
      </c>
      <c r="J24" s="283"/>
      <c r="K24" s="284">
        <f t="shared" si="1"/>
        <v>0</v>
      </c>
    </row>
    <row r="25" spans="1:11" ht="18" customHeight="1" x14ac:dyDescent="0.3">
      <c r="A25" s="733" t="s">
        <v>79</v>
      </c>
      <c r="B25" s="742" t="s">
        <v>5</v>
      </c>
      <c r="C25" s="742"/>
      <c r="D25" s="742"/>
      <c r="E25" s="742"/>
      <c r="F25" s="282">
        <v>2080</v>
      </c>
      <c r="G25" s="282">
        <v>1148</v>
      </c>
      <c r="H25" s="283">
        <v>42335.673758106255</v>
      </c>
      <c r="I25" s="306">
        <f t="shared" si="0"/>
        <v>15249.660322304611</v>
      </c>
      <c r="J25" s="283">
        <v>40000</v>
      </c>
      <c r="K25" s="284">
        <f t="shared" si="1"/>
        <v>17585.334080410867</v>
      </c>
    </row>
    <row r="26" spans="1:11" ht="18" customHeight="1" x14ac:dyDescent="0.3">
      <c r="A26" s="733" t="s">
        <v>80</v>
      </c>
      <c r="B26" s="742" t="s">
        <v>45</v>
      </c>
      <c r="C26" s="742"/>
      <c r="D26" s="742"/>
      <c r="E26" s="742"/>
      <c r="F26" s="282">
        <v>0</v>
      </c>
      <c r="G26" s="282">
        <v>0</v>
      </c>
      <c r="H26" s="283">
        <v>0</v>
      </c>
      <c r="I26" s="306">
        <f t="shared" si="0"/>
        <v>0</v>
      </c>
      <c r="J26" s="283"/>
      <c r="K26" s="284">
        <f t="shared" si="1"/>
        <v>0</v>
      </c>
    </row>
    <row r="27" spans="1:11" ht="18" customHeight="1" x14ac:dyDescent="0.3">
      <c r="A27" s="733" t="s">
        <v>81</v>
      </c>
      <c r="B27" s="742" t="s">
        <v>46</v>
      </c>
      <c r="C27" s="742"/>
      <c r="D27" s="742"/>
      <c r="E27" s="742"/>
      <c r="F27" s="282">
        <v>0</v>
      </c>
      <c r="G27" s="282">
        <v>0</v>
      </c>
      <c r="H27" s="283">
        <v>0</v>
      </c>
      <c r="I27" s="306">
        <f t="shared" si="0"/>
        <v>0</v>
      </c>
      <c r="J27" s="283"/>
      <c r="K27" s="284">
        <f t="shared" si="1"/>
        <v>0</v>
      </c>
    </row>
    <row r="28" spans="1:11" ht="18" customHeight="1" x14ac:dyDescent="0.3">
      <c r="A28" s="733" t="s">
        <v>82</v>
      </c>
      <c r="B28" s="742" t="s">
        <v>47</v>
      </c>
      <c r="C28" s="742"/>
      <c r="D28" s="742"/>
      <c r="E28" s="742"/>
      <c r="F28" s="282">
        <v>4460</v>
      </c>
      <c r="G28" s="282">
        <v>2139</v>
      </c>
      <c r="H28" s="283">
        <v>190008.24258146287</v>
      </c>
      <c r="I28" s="306">
        <f t="shared" si="0"/>
        <v>68442.54267361344</v>
      </c>
      <c r="J28" s="283">
        <v>159808</v>
      </c>
      <c r="K28" s="284">
        <f t="shared" si="1"/>
        <v>98642.785255076305</v>
      </c>
    </row>
    <row r="29" spans="1:11" ht="18" customHeight="1" x14ac:dyDescent="0.3">
      <c r="A29" s="733" t="s">
        <v>83</v>
      </c>
      <c r="B29" s="742" t="s">
        <v>48</v>
      </c>
      <c r="C29" s="742"/>
      <c r="D29" s="742"/>
      <c r="E29" s="742"/>
      <c r="F29" s="282">
        <v>17640</v>
      </c>
      <c r="G29" s="282">
        <v>834</v>
      </c>
      <c r="H29" s="283">
        <v>514546</v>
      </c>
      <c r="I29" s="306">
        <f t="shared" si="0"/>
        <v>185343.73079861767</v>
      </c>
      <c r="J29" s="283">
        <v>200885</v>
      </c>
      <c r="K29" s="284">
        <f t="shared" si="1"/>
        <v>499004.7307986177</v>
      </c>
    </row>
    <row r="30" spans="1:11" ht="18" customHeight="1" x14ac:dyDescent="0.3">
      <c r="A30" s="733" t="s">
        <v>84</v>
      </c>
      <c r="B30" s="1351"/>
      <c r="C30" s="1352"/>
      <c r="D30" s="1353"/>
      <c r="E30" s="742"/>
      <c r="F30" s="282">
        <v>0</v>
      </c>
      <c r="G30" s="282">
        <v>0</v>
      </c>
      <c r="H30" s="283">
        <v>0</v>
      </c>
      <c r="I30" s="306">
        <f t="shared" si="0"/>
        <v>0</v>
      </c>
      <c r="J30" s="283"/>
      <c r="K30" s="284">
        <f t="shared" si="1"/>
        <v>0</v>
      </c>
    </row>
    <row r="31" spans="1:11" ht="18" customHeight="1" x14ac:dyDescent="0.3">
      <c r="A31" s="733" t="s">
        <v>133</v>
      </c>
      <c r="B31" s="1351"/>
      <c r="C31" s="1352"/>
      <c r="D31" s="1353"/>
      <c r="E31" s="742"/>
      <c r="F31" s="282">
        <v>0</v>
      </c>
      <c r="G31" s="282">
        <v>0</v>
      </c>
      <c r="H31" s="283">
        <v>0</v>
      </c>
      <c r="I31" s="306">
        <f t="shared" si="0"/>
        <v>0</v>
      </c>
      <c r="J31" s="283"/>
      <c r="K31" s="284">
        <f t="shared" si="1"/>
        <v>0</v>
      </c>
    </row>
    <row r="32" spans="1:11" ht="18" customHeight="1" x14ac:dyDescent="0.3">
      <c r="A32" s="733" t="s">
        <v>134</v>
      </c>
      <c r="B32" s="837"/>
      <c r="C32" s="838"/>
      <c r="D32" s="839"/>
      <c r="E32" s="742"/>
      <c r="F32" s="282">
        <v>0</v>
      </c>
      <c r="G32" s="282">
        <v>0</v>
      </c>
      <c r="H32" s="283">
        <v>0</v>
      </c>
      <c r="I32" s="306">
        <f t="shared" si="0"/>
        <v>0</v>
      </c>
      <c r="J32" s="283"/>
      <c r="K32" s="284">
        <f t="shared" si="1"/>
        <v>0</v>
      </c>
    </row>
    <row r="33" spans="1:11" ht="18" customHeight="1" x14ac:dyDescent="0.3">
      <c r="A33" s="733" t="s">
        <v>135</v>
      </c>
      <c r="B33" s="837"/>
      <c r="C33" s="838"/>
      <c r="D33" s="839"/>
      <c r="E33" s="742"/>
      <c r="F33" s="282">
        <v>0</v>
      </c>
      <c r="G33" s="282">
        <v>0</v>
      </c>
      <c r="H33" s="283">
        <v>0</v>
      </c>
      <c r="I33" s="306">
        <f t="shared" si="0"/>
        <v>0</v>
      </c>
      <c r="J33" s="283"/>
      <c r="K33" s="284">
        <f t="shared" si="1"/>
        <v>0</v>
      </c>
    </row>
    <row r="34" spans="1:11" ht="18" customHeight="1" x14ac:dyDescent="0.3">
      <c r="A34" s="733" t="s">
        <v>136</v>
      </c>
      <c r="B34" s="1351"/>
      <c r="C34" s="1352"/>
      <c r="D34" s="1353"/>
      <c r="E34" s="742"/>
      <c r="F34" s="282">
        <v>0</v>
      </c>
      <c r="G34" s="282">
        <v>0</v>
      </c>
      <c r="H34" s="283">
        <v>0</v>
      </c>
      <c r="I34" s="306">
        <f t="shared" si="0"/>
        <v>0</v>
      </c>
      <c r="J34" s="283"/>
      <c r="K34" s="284">
        <f t="shared" si="1"/>
        <v>0</v>
      </c>
    </row>
    <row r="35" spans="1:11" ht="18" customHeight="1" x14ac:dyDescent="0.25">
      <c r="A35" s="742"/>
      <c r="B35" s="742"/>
      <c r="C35" s="742"/>
      <c r="D35" s="742"/>
      <c r="E35" s="742"/>
      <c r="F35" s="742"/>
      <c r="G35" s="742"/>
      <c r="H35" s="742"/>
      <c r="I35" s="742"/>
      <c r="J35" s="742"/>
      <c r="K35" s="315"/>
    </row>
    <row r="36" spans="1:11" ht="18" customHeight="1" x14ac:dyDescent="0.3">
      <c r="A36" s="639" t="s">
        <v>137</v>
      </c>
      <c r="B36" s="636" t="s">
        <v>138</v>
      </c>
      <c r="C36" s="742"/>
      <c r="D36" s="742"/>
      <c r="E36" s="636" t="s">
        <v>7</v>
      </c>
      <c r="F36" s="286">
        <f t="shared" ref="F36:K36" si="2">SUM(F21:F34)</f>
        <v>46777</v>
      </c>
      <c r="G36" s="286">
        <f t="shared" si="2"/>
        <v>25015</v>
      </c>
      <c r="H36" s="286">
        <f t="shared" si="2"/>
        <v>1898013.6394046394</v>
      </c>
      <c r="I36" s="284">
        <f t="shared" si="2"/>
        <v>683680.23273704981</v>
      </c>
      <c r="J36" s="284">
        <f t="shared" si="2"/>
        <v>674443</v>
      </c>
      <c r="K36" s="284">
        <f t="shared" si="2"/>
        <v>1907250.8721416891</v>
      </c>
    </row>
    <row r="37" spans="1:11" ht="18" customHeight="1" thickBot="1" x14ac:dyDescent="0.35">
      <c r="A37" s="742"/>
      <c r="B37" s="636"/>
      <c r="C37" s="742"/>
      <c r="D37" s="742"/>
      <c r="E37" s="742"/>
      <c r="F37" s="287"/>
      <c r="G37" s="287"/>
      <c r="H37" s="288"/>
      <c r="I37" s="288"/>
      <c r="J37" s="288"/>
      <c r="K37" s="303"/>
    </row>
    <row r="38" spans="1:11" ht="42.75" customHeight="1" x14ac:dyDescent="0.3">
      <c r="A38" s="742"/>
      <c r="B38" s="742"/>
      <c r="C38" s="742"/>
      <c r="D38" s="742"/>
      <c r="E38" s="742"/>
      <c r="F38" s="641" t="s">
        <v>9</v>
      </c>
      <c r="G38" s="641" t="s">
        <v>37</v>
      </c>
      <c r="H38" s="641" t="s">
        <v>29</v>
      </c>
      <c r="I38" s="641" t="s">
        <v>30</v>
      </c>
      <c r="J38" s="641" t="s">
        <v>33</v>
      </c>
      <c r="K38" s="641" t="s">
        <v>34</v>
      </c>
    </row>
    <row r="39" spans="1:11" ht="18.75" customHeight="1" x14ac:dyDescent="0.3">
      <c r="A39" s="639" t="s">
        <v>86</v>
      </c>
      <c r="B39" s="636" t="s">
        <v>49</v>
      </c>
      <c r="C39" s="742"/>
      <c r="D39" s="742"/>
      <c r="E39" s="742"/>
      <c r="F39" s="742"/>
      <c r="G39" s="742"/>
      <c r="H39" s="742"/>
      <c r="I39" s="742"/>
      <c r="J39" s="742"/>
      <c r="K39" s="742"/>
    </row>
    <row r="40" spans="1:11" ht="18" customHeight="1" x14ac:dyDescent="0.3">
      <c r="A40" s="733" t="s">
        <v>87</v>
      </c>
      <c r="B40" s="742" t="s">
        <v>31</v>
      </c>
      <c r="C40" s="742"/>
      <c r="D40" s="742"/>
      <c r="E40" s="742"/>
      <c r="F40" s="282">
        <v>2415587.4686425272</v>
      </c>
      <c r="G40" s="282"/>
      <c r="H40" s="283">
        <v>119103826.31122464</v>
      </c>
      <c r="I40" s="306">
        <v>42902184.684970707</v>
      </c>
      <c r="J40" s="283"/>
      <c r="K40" s="284">
        <f t="shared" ref="K40:K47" si="3">(H40+I40)-J40</f>
        <v>162006010.99619535</v>
      </c>
    </row>
    <row r="41" spans="1:11" ht="18" customHeight="1" x14ac:dyDescent="0.3">
      <c r="A41" s="733" t="s">
        <v>88</v>
      </c>
      <c r="B41" s="1359" t="s">
        <v>50</v>
      </c>
      <c r="C41" s="1359"/>
      <c r="D41" s="742"/>
      <c r="E41" s="742"/>
      <c r="F41" s="282">
        <v>123576</v>
      </c>
      <c r="G41" s="282">
        <v>1355</v>
      </c>
      <c r="H41" s="283">
        <v>4016220</v>
      </c>
      <c r="I41" s="306">
        <v>1446675.7073381667</v>
      </c>
      <c r="J41" s="283"/>
      <c r="K41" s="284">
        <f t="shared" si="3"/>
        <v>5462895.7073381664</v>
      </c>
    </row>
    <row r="42" spans="1:11" ht="18" customHeight="1" x14ac:dyDescent="0.3">
      <c r="A42" s="733" t="s">
        <v>89</v>
      </c>
      <c r="B42" s="635" t="s">
        <v>11</v>
      </c>
      <c r="C42" s="742"/>
      <c r="D42" s="742"/>
      <c r="E42" s="742"/>
      <c r="F42" s="282"/>
      <c r="G42" s="282"/>
      <c r="H42" s="283"/>
      <c r="I42" s="306">
        <v>0</v>
      </c>
      <c r="J42" s="283"/>
      <c r="K42" s="284">
        <f t="shared" si="3"/>
        <v>0</v>
      </c>
    </row>
    <row r="43" spans="1:11" ht="18" customHeight="1" x14ac:dyDescent="0.3">
      <c r="A43" s="733" t="s">
        <v>90</v>
      </c>
      <c r="B43" s="670" t="s">
        <v>10</v>
      </c>
      <c r="C43" s="642"/>
      <c r="D43" s="642"/>
      <c r="E43" s="742"/>
      <c r="F43" s="282"/>
      <c r="G43" s="282"/>
      <c r="H43" s="283"/>
      <c r="I43" s="306">
        <v>0</v>
      </c>
      <c r="J43" s="283"/>
      <c r="K43" s="284">
        <f t="shared" si="3"/>
        <v>0</v>
      </c>
    </row>
    <row r="44" spans="1:11" ht="18" customHeight="1" x14ac:dyDescent="0.3">
      <c r="A44" s="733" t="s">
        <v>91</v>
      </c>
      <c r="B44" s="1351"/>
      <c r="C44" s="1352"/>
      <c r="D44" s="1353"/>
      <c r="E44" s="742"/>
      <c r="F44" s="324"/>
      <c r="G44" s="324"/>
      <c r="H44" s="324"/>
      <c r="I44" s="306">
        <v>0</v>
      </c>
      <c r="J44" s="324"/>
      <c r="K44" s="326">
        <f t="shared" si="3"/>
        <v>0</v>
      </c>
    </row>
    <row r="45" spans="1:11" ht="18" customHeight="1" x14ac:dyDescent="0.3">
      <c r="A45" s="733" t="s">
        <v>139</v>
      </c>
      <c r="B45" s="1351"/>
      <c r="C45" s="1352"/>
      <c r="D45" s="1353"/>
      <c r="E45" s="742"/>
      <c r="F45" s="282"/>
      <c r="G45" s="282"/>
      <c r="H45" s="283"/>
      <c r="I45" s="306">
        <v>0</v>
      </c>
      <c r="J45" s="283"/>
      <c r="K45" s="284">
        <f t="shared" si="3"/>
        <v>0</v>
      </c>
    </row>
    <row r="46" spans="1:11" ht="18" customHeight="1" x14ac:dyDescent="0.3">
      <c r="A46" s="733" t="s">
        <v>140</v>
      </c>
      <c r="B46" s="1351"/>
      <c r="C46" s="1352"/>
      <c r="D46" s="1353"/>
      <c r="E46" s="742"/>
      <c r="F46" s="282"/>
      <c r="G46" s="282"/>
      <c r="H46" s="283"/>
      <c r="I46" s="306">
        <v>0</v>
      </c>
      <c r="J46" s="283"/>
      <c r="K46" s="284">
        <f t="shared" si="3"/>
        <v>0</v>
      </c>
    </row>
    <row r="47" spans="1:11" ht="18" customHeight="1" x14ac:dyDescent="0.3">
      <c r="A47" s="733" t="s">
        <v>141</v>
      </c>
      <c r="B47" s="1351"/>
      <c r="C47" s="1352"/>
      <c r="D47" s="1353"/>
      <c r="E47" s="742"/>
      <c r="F47" s="282"/>
      <c r="G47" s="282"/>
      <c r="H47" s="283"/>
      <c r="I47" s="306">
        <v>0</v>
      </c>
      <c r="J47" s="283"/>
      <c r="K47" s="284">
        <f t="shared" si="3"/>
        <v>0</v>
      </c>
    </row>
    <row r="49" spans="1:11" ht="18" customHeight="1" x14ac:dyDescent="0.3">
      <c r="A49" s="639" t="s">
        <v>142</v>
      </c>
      <c r="B49" s="636" t="s">
        <v>143</v>
      </c>
      <c r="C49" s="742"/>
      <c r="D49" s="742"/>
      <c r="E49" s="636" t="s">
        <v>7</v>
      </c>
      <c r="F49" s="290">
        <f t="shared" ref="F49:K49" si="4">SUM(F40:F47)</f>
        <v>2539163.4686425272</v>
      </c>
      <c r="G49" s="290">
        <f t="shared" si="4"/>
        <v>1355</v>
      </c>
      <c r="H49" s="284">
        <f t="shared" si="4"/>
        <v>123120046.31122464</v>
      </c>
      <c r="I49" s="284">
        <f t="shared" si="4"/>
        <v>44348860.392308876</v>
      </c>
      <c r="J49" s="284">
        <f t="shared" si="4"/>
        <v>0</v>
      </c>
      <c r="K49" s="284">
        <f t="shared" si="4"/>
        <v>167468906.7035335</v>
      </c>
    </row>
    <row r="50" spans="1:11" ht="18" customHeight="1" thickBot="1" x14ac:dyDescent="0.3">
      <c r="A50" s="742"/>
      <c r="B50" s="742"/>
      <c r="C50" s="742"/>
      <c r="D50" s="742"/>
      <c r="E50" s="742"/>
      <c r="F50" s="742"/>
      <c r="G50" s="291"/>
      <c r="H50" s="291"/>
      <c r="I50" s="291"/>
      <c r="J50" s="291"/>
      <c r="K50" s="291"/>
    </row>
    <row r="51" spans="1:11" ht="42.75" customHeight="1" x14ac:dyDescent="0.3">
      <c r="A51" s="742"/>
      <c r="B51" s="742"/>
      <c r="C51" s="742"/>
      <c r="D51" s="742"/>
      <c r="E51" s="742"/>
      <c r="F51" s="641" t="s">
        <v>9</v>
      </c>
      <c r="G51" s="641" t="s">
        <v>37</v>
      </c>
      <c r="H51" s="641" t="s">
        <v>29</v>
      </c>
      <c r="I51" s="641" t="s">
        <v>30</v>
      </c>
      <c r="J51" s="641" t="s">
        <v>33</v>
      </c>
      <c r="K51" s="641" t="s">
        <v>34</v>
      </c>
    </row>
    <row r="52" spans="1:11" ht="18" customHeight="1" x14ac:dyDescent="0.3">
      <c r="A52" s="639" t="s">
        <v>92</v>
      </c>
      <c r="B52" s="1358" t="s">
        <v>38</v>
      </c>
      <c r="C52" s="1358"/>
      <c r="D52" s="742"/>
      <c r="E52" s="742"/>
      <c r="F52" s="742"/>
      <c r="G52" s="742"/>
      <c r="H52" s="742"/>
      <c r="I52" s="742"/>
      <c r="J52" s="742"/>
      <c r="K52" s="742"/>
    </row>
    <row r="53" spans="1:11" ht="18" customHeight="1" x14ac:dyDescent="0.3">
      <c r="A53" s="733" t="s">
        <v>51</v>
      </c>
      <c r="B53" s="1354" t="s">
        <v>473</v>
      </c>
      <c r="C53" s="1355"/>
      <c r="D53" s="1356"/>
      <c r="E53" s="742"/>
      <c r="F53" s="282">
        <v>32363.440002400428</v>
      </c>
      <c r="G53" s="282">
        <v>14397</v>
      </c>
      <c r="H53" s="283">
        <v>3196023.14</v>
      </c>
      <c r="I53" s="306">
        <v>1151234.0052907083</v>
      </c>
      <c r="J53" s="283">
        <v>1506068.16</v>
      </c>
      <c r="K53" s="284">
        <f t="shared" ref="K53:K62" si="5">(H53+I53)-J53</f>
        <v>2841188.985290708</v>
      </c>
    </row>
    <row r="54" spans="1:11" ht="18" customHeight="1" x14ac:dyDescent="0.3">
      <c r="A54" s="733" t="s">
        <v>93</v>
      </c>
      <c r="B54" s="840" t="s">
        <v>474</v>
      </c>
      <c r="C54" s="841"/>
      <c r="D54" s="842"/>
      <c r="E54" s="742"/>
      <c r="F54" s="282">
        <v>198346.18999480084</v>
      </c>
      <c r="G54" s="282">
        <v>25061</v>
      </c>
      <c r="H54" s="283">
        <v>15738233.5</v>
      </c>
      <c r="I54" s="306">
        <v>5669042.0546846855</v>
      </c>
      <c r="J54" s="283">
        <v>7751075</v>
      </c>
      <c r="K54" s="284">
        <f t="shared" si="5"/>
        <v>13656200.554684684</v>
      </c>
    </row>
    <row r="55" spans="1:11" ht="18" customHeight="1" x14ac:dyDescent="0.3">
      <c r="A55" s="733" t="s">
        <v>94</v>
      </c>
      <c r="B55" s="1354"/>
      <c r="C55" s="1355"/>
      <c r="D55" s="1356"/>
      <c r="E55" s="742"/>
      <c r="F55" s="282"/>
      <c r="G55" s="282"/>
      <c r="H55" s="283"/>
      <c r="I55" s="306">
        <v>0</v>
      </c>
      <c r="J55" s="283"/>
      <c r="K55" s="284">
        <f t="shared" si="5"/>
        <v>0</v>
      </c>
    </row>
    <row r="56" spans="1:11" ht="18" customHeight="1" x14ac:dyDescent="0.3">
      <c r="A56" s="733" t="s">
        <v>95</v>
      </c>
      <c r="B56" s="1354"/>
      <c r="C56" s="1355"/>
      <c r="D56" s="1356"/>
      <c r="E56" s="742"/>
      <c r="F56" s="282"/>
      <c r="G56" s="282"/>
      <c r="H56" s="283"/>
      <c r="I56" s="306">
        <v>0</v>
      </c>
      <c r="J56" s="283"/>
      <c r="K56" s="284">
        <f t="shared" si="5"/>
        <v>0</v>
      </c>
    </row>
    <row r="57" spans="1:11" ht="18" customHeight="1" x14ac:dyDescent="0.3">
      <c r="A57" s="733" t="s">
        <v>96</v>
      </c>
      <c r="B57" s="1354"/>
      <c r="C57" s="1355"/>
      <c r="D57" s="1356"/>
      <c r="E57" s="742"/>
      <c r="F57" s="282"/>
      <c r="G57" s="282"/>
      <c r="H57" s="283"/>
      <c r="I57" s="306">
        <v>0</v>
      </c>
      <c r="J57" s="283"/>
      <c r="K57" s="284">
        <f t="shared" si="5"/>
        <v>0</v>
      </c>
    </row>
    <row r="58" spans="1:11" ht="18" customHeight="1" x14ac:dyDescent="0.3">
      <c r="A58" s="733" t="s">
        <v>97</v>
      </c>
      <c r="B58" s="840"/>
      <c r="C58" s="841"/>
      <c r="D58" s="842"/>
      <c r="E58" s="742"/>
      <c r="F58" s="282"/>
      <c r="G58" s="282"/>
      <c r="H58" s="283"/>
      <c r="I58" s="306">
        <v>0</v>
      </c>
      <c r="J58" s="283"/>
      <c r="K58" s="284">
        <f t="shared" si="5"/>
        <v>0</v>
      </c>
    </row>
    <row r="59" spans="1:11" ht="18" customHeight="1" x14ac:dyDescent="0.3">
      <c r="A59" s="733" t="s">
        <v>98</v>
      </c>
      <c r="B59" s="1354"/>
      <c r="C59" s="1355"/>
      <c r="D59" s="1356"/>
      <c r="E59" s="742"/>
      <c r="F59" s="282"/>
      <c r="G59" s="282"/>
      <c r="H59" s="283"/>
      <c r="I59" s="306">
        <v>0</v>
      </c>
      <c r="J59" s="283"/>
      <c r="K59" s="284">
        <f t="shared" si="5"/>
        <v>0</v>
      </c>
    </row>
    <row r="60" spans="1:11" ht="18" customHeight="1" x14ac:dyDescent="0.3">
      <c r="A60" s="733" t="s">
        <v>99</v>
      </c>
      <c r="B60" s="840"/>
      <c r="C60" s="841"/>
      <c r="D60" s="842"/>
      <c r="E60" s="742"/>
      <c r="F60" s="282"/>
      <c r="G60" s="282"/>
      <c r="H60" s="283"/>
      <c r="I60" s="306">
        <v>0</v>
      </c>
      <c r="J60" s="283"/>
      <c r="K60" s="284">
        <f t="shared" si="5"/>
        <v>0</v>
      </c>
    </row>
    <row r="61" spans="1:11" ht="18" customHeight="1" x14ac:dyDescent="0.3">
      <c r="A61" s="733" t="s">
        <v>100</v>
      </c>
      <c r="B61" s="840"/>
      <c r="C61" s="841"/>
      <c r="D61" s="842"/>
      <c r="E61" s="742"/>
      <c r="F61" s="282"/>
      <c r="G61" s="282"/>
      <c r="H61" s="283"/>
      <c r="I61" s="306">
        <v>0</v>
      </c>
      <c r="J61" s="283"/>
      <c r="K61" s="284">
        <f t="shared" si="5"/>
        <v>0</v>
      </c>
    </row>
    <row r="62" spans="1:11" ht="18" customHeight="1" x14ac:dyDescent="0.3">
      <c r="A62" s="733" t="s">
        <v>101</v>
      </c>
      <c r="B62" s="1354"/>
      <c r="C62" s="1355"/>
      <c r="D62" s="1356"/>
      <c r="E62" s="742"/>
      <c r="F62" s="282"/>
      <c r="G62" s="282"/>
      <c r="H62" s="283"/>
      <c r="I62" s="306">
        <v>0</v>
      </c>
      <c r="J62" s="283"/>
      <c r="K62" s="284">
        <f t="shared" si="5"/>
        <v>0</v>
      </c>
    </row>
    <row r="63" spans="1:11" ht="18" customHeight="1" x14ac:dyDescent="0.3">
      <c r="A63" s="733"/>
      <c r="B63" s="742"/>
      <c r="C63" s="742"/>
      <c r="D63" s="742"/>
      <c r="E63" s="742"/>
      <c r="F63" s="742"/>
      <c r="G63" s="742"/>
      <c r="H63" s="742"/>
      <c r="I63" s="276"/>
      <c r="J63" s="742"/>
      <c r="K63" s="742"/>
    </row>
    <row r="64" spans="1:11" ht="18" customHeight="1" x14ac:dyDescent="0.3">
      <c r="A64" s="733" t="s">
        <v>144</v>
      </c>
      <c r="B64" s="636" t="s">
        <v>145</v>
      </c>
      <c r="C64" s="742"/>
      <c r="D64" s="742"/>
      <c r="E64" s="636" t="s">
        <v>7</v>
      </c>
      <c r="F64" s="286">
        <f t="shared" ref="F64:K64" si="6">SUM(F53:F62)</f>
        <v>230709.62999720126</v>
      </c>
      <c r="G64" s="286">
        <f t="shared" si="6"/>
        <v>39458</v>
      </c>
      <c r="H64" s="284">
        <f t="shared" si="6"/>
        <v>18934256.640000001</v>
      </c>
      <c r="I64" s="284">
        <f t="shared" si="6"/>
        <v>6820276.059975394</v>
      </c>
      <c r="J64" s="284">
        <f t="shared" si="6"/>
        <v>9257143.1600000001</v>
      </c>
      <c r="K64" s="284">
        <f t="shared" si="6"/>
        <v>16497389.539975392</v>
      </c>
    </row>
    <row r="65" spans="1:11" ht="18" customHeight="1" x14ac:dyDescent="0.25">
      <c r="A65" s="742"/>
      <c r="B65" s="742"/>
      <c r="C65" s="742"/>
      <c r="D65" s="742"/>
      <c r="E65" s="742"/>
      <c r="F65" s="304"/>
      <c r="G65" s="304"/>
      <c r="H65" s="304"/>
      <c r="I65" s="304"/>
      <c r="J65" s="304"/>
      <c r="K65" s="304"/>
    </row>
    <row r="66" spans="1:11" ht="42.75" customHeight="1" x14ac:dyDescent="0.3">
      <c r="A66" s="742"/>
      <c r="B66" s="742"/>
      <c r="C66" s="742"/>
      <c r="D66" s="742"/>
      <c r="E66" s="742"/>
      <c r="F66" s="680" t="s">
        <v>9</v>
      </c>
      <c r="G66" s="680" t="s">
        <v>37</v>
      </c>
      <c r="H66" s="680" t="s">
        <v>29</v>
      </c>
      <c r="I66" s="680" t="s">
        <v>30</v>
      </c>
      <c r="J66" s="680" t="s">
        <v>33</v>
      </c>
      <c r="K66" s="680" t="s">
        <v>34</v>
      </c>
    </row>
    <row r="67" spans="1:11" ht="18" customHeight="1" x14ac:dyDescent="0.3">
      <c r="A67" s="639" t="s">
        <v>102</v>
      </c>
      <c r="B67" s="636" t="s">
        <v>12</v>
      </c>
      <c r="C67" s="742"/>
      <c r="D67" s="742"/>
      <c r="E67" s="742"/>
      <c r="F67" s="681"/>
      <c r="G67" s="681"/>
      <c r="H67" s="681"/>
      <c r="I67" s="682"/>
      <c r="J67" s="681"/>
      <c r="K67" s="683"/>
    </row>
    <row r="68" spans="1:11" ht="18" customHeight="1" x14ac:dyDescent="0.3">
      <c r="A68" s="733" t="s">
        <v>103</v>
      </c>
      <c r="B68" s="742" t="s">
        <v>52</v>
      </c>
      <c r="C68" s="742"/>
      <c r="D68" s="742"/>
      <c r="E68" s="742"/>
      <c r="F68" s="307"/>
      <c r="G68" s="307"/>
      <c r="H68" s="307"/>
      <c r="I68" s="306">
        <v>0</v>
      </c>
      <c r="J68" s="307"/>
      <c r="K68" s="284">
        <f>(H68+I68)-J68</f>
        <v>0</v>
      </c>
    </row>
    <row r="69" spans="1:11" ht="18" customHeight="1" x14ac:dyDescent="0.3">
      <c r="A69" s="733" t="s">
        <v>104</v>
      </c>
      <c r="B69" s="635" t="s">
        <v>53</v>
      </c>
      <c r="C69" s="742"/>
      <c r="D69" s="742"/>
      <c r="E69" s="742"/>
      <c r="F69" s="307"/>
      <c r="G69" s="307"/>
      <c r="H69" s="307"/>
      <c r="I69" s="306">
        <v>0</v>
      </c>
      <c r="J69" s="307"/>
      <c r="K69" s="284">
        <f>(H69+I69)-J69</f>
        <v>0</v>
      </c>
    </row>
    <row r="70" spans="1:11" ht="18" customHeight="1" x14ac:dyDescent="0.3">
      <c r="A70" s="733" t="s">
        <v>178</v>
      </c>
      <c r="B70" s="840"/>
      <c r="C70" s="841"/>
      <c r="D70" s="842"/>
      <c r="E70" s="636"/>
      <c r="F70" s="294"/>
      <c r="G70" s="294"/>
      <c r="H70" s="295"/>
      <c r="I70" s="306">
        <v>0</v>
      </c>
      <c r="J70" s="295"/>
      <c r="K70" s="284">
        <f>(H70+I70)-J70</f>
        <v>0</v>
      </c>
    </row>
    <row r="71" spans="1:11" ht="18" customHeight="1" x14ac:dyDescent="0.3">
      <c r="A71" s="733" t="s">
        <v>179</v>
      </c>
      <c r="B71" s="840"/>
      <c r="C71" s="841"/>
      <c r="D71" s="842"/>
      <c r="E71" s="636"/>
      <c r="F71" s="294"/>
      <c r="G71" s="294"/>
      <c r="H71" s="295"/>
      <c r="I71" s="306">
        <v>0</v>
      </c>
      <c r="J71" s="295"/>
      <c r="K71" s="284">
        <f>(H71+I71)-J71</f>
        <v>0</v>
      </c>
    </row>
    <row r="72" spans="1:11" ht="18" customHeight="1" x14ac:dyDescent="0.3">
      <c r="A72" s="733" t="s">
        <v>180</v>
      </c>
      <c r="B72" s="843"/>
      <c r="C72" s="844"/>
      <c r="D72" s="293"/>
      <c r="E72" s="636"/>
      <c r="F72" s="282"/>
      <c r="G72" s="282"/>
      <c r="H72" s="283"/>
      <c r="I72" s="306">
        <v>0</v>
      </c>
      <c r="J72" s="283"/>
      <c r="K72" s="284">
        <f>(H72+I72)-J72</f>
        <v>0</v>
      </c>
    </row>
    <row r="73" spans="1:11" ht="18" customHeight="1" x14ac:dyDescent="0.3">
      <c r="A73" s="733"/>
      <c r="B73" s="635"/>
      <c r="C73" s="742"/>
      <c r="D73" s="742"/>
      <c r="E73" s="636"/>
      <c r="F73" s="684"/>
      <c r="G73" s="684"/>
      <c r="H73" s="685"/>
      <c r="I73" s="682"/>
      <c r="J73" s="685"/>
      <c r="K73" s="683"/>
    </row>
    <row r="74" spans="1:11" ht="18" customHeight="1" x14ac:dyDescent="0.3">
      <c r="A74" s="639" t="s">
        <v>146</v>
      </c>
      <c r="B74" s="636" t="s">
        <v>147</v>
      </c>
      <c r="C74" s="742"/>
      <c r="D74" s="742"/>
      <c r="E74" s="636" t="s">
        <v>7</v>
      </c>
      <c r="F74" s="289">
        <f t="shared" ref="F74:K74" si="7">SUM(F68:F72)</f>
        <v>0</v>
      </c>
      <c r="G74" s="289">
        <f t="shared" si="7"/>
        <v>0</v>
      </c>
      <c r="H74" s="289">
        <f t="shared" si="7"/>
        <v>0</v>
      </c>
      <c r="I74" s="309">
        <f t="shared" si="7"/>
        <v>0</v>
      </c>
      <c r="J74" s="289">
        <f t="shared" si="7"/>
        <v>0</v>
      </c>
      <c r="K74" s="285">
        <f t="shared" si="7"/>
        <v>0</v>
      </c>
    </row>
    <row r="75" spans="1:11" ht="42.75" customHeight="1" x14ac:dyDescent="0.3">
      <c r="A75" s="742"/>
      <c r="B75" s="742"/>
      <c r="C75" s="742"/>
      <c r="D75" s="742"/>
      <c r="E75" s="742"/>
      <c r="F75" s="641" t="s">
        <v>9</v>
      </c>
      <c r="G75" s="641" t="s">
        <v>37</v>
      </c>
      <c r="H75" s="641" t="s">
        <v>29</v>
      </c>
      <c r="I75" s="641" t="s">
        <v>30</v>
      </c>
      <c r="J75" s="641" t="s">
        <v>33</v>
      </c>
      <c r="K75" s="641" t="s">
        <v>34</v>
      </c>
    </row>
    <row r="76" spans="1:11" ht="18" customHeight="1" x14ac:dyDescent="0.3">
      <c r="A76" s="639" t="s">
        <v>105</v>
      </c>
      <c r="B76" s="636" t="s">
        <v>106</v>
      </c>
      <c r="C76" s="742"/>
      <c r="D76" s="742"/>
      <c r="E76" s="742"/>
      <c r="F76" s="742"/>
      <c r="G76" s="742"/>
      <c r="H76" s="742"/>
      <c r="I76" s="742"/>
      <c r="J76" s="742"/>
      <c r="K76" s="742"/>
    </row>
    <row r="77" spans="1:11" ht="18" customHeight="1" x14ac:dyDescent="0.3">
      <c r="A77" s="733" t="s">
        <v>107</v>
      </c>
      <c r="B77" s="635" t="s">
        <v>54</v>
      </c>
      <c r="C77" s="742"/>
      <c r="D77" s="742"/>
      <c r="E77" s="742"/>
      <c r="F77" s="282">
        <v>520</v>
      </c>
      <c r="G77" s="282">
        <v>393</v>
      </c>
      <c r="H77" s="283">
        <v>559741.56000000006</v>
      </c>
      <c r="I77" s="306">
        <v>0</v>
      </c>
      <c r="J77" s="283"/>
      <c r="K77" s="284">
        <f>(H77+I77)-J77</f>
        <v>559741.56000000006</v>
      </c>
    </row>
    <row r="78" spans="1:11" ht="18" customHeight="1" x14ac:dyDescent="0.3">
      <c r="A78" s="733" t="s">
        <v>108</v>
      </c>
      <c r="B78" s="635" t="s">
        <v>55</v>
      </c>
      <c r="C78" s="742"/>
      <c r="D78" s="742"/>
      <c r="E78" s="742"/>
      <c r="F78" s="282">
        <v>0</v>
      </c>
      <c r="G78" s="282">
        <v>0</v>
      </c>
      <c r="H78" s="283">
        <v>0</v>
      </c>
      <c r="I78" s="306">
        <v>0</v>
      </c>
      <c r="J78" s="283"/>
      <c r="K78" s="284">
        <f>(H78+I78)-J78</f>
        <v>0</v>
      </c>
    </row>
    <row r="79" spans="1:11" ht="18" customHeight="1" x14ac:dyDescent="0.3">
      <c r="A79" s="733" t="s">
        <v>109</v>
      </c>
      <c r="B79" s="635" t="s">
        <v>13</v>
      </c>
      <c r="C79" s="742"/>
      <c r="D79" s="742"/>
      <c r="E79" s="742"/>
      <c r="F79" s="282">
        <v>350</v>
      </c>
      <c r="G79" s="282">
        <v>1292</v>
      </c>
      <c r="H79" s="283">
        <v>1500</v>
      </c>
      <c r="I79" s="306">
        <v>0</v>
      </c>
      <c r="J79" s="283"/>
      <c r="K79" s="284">
        <f>(H79+I79)-J79</f>
        <v>1500</v>
      </c>
    </row>
    <row r="80" spans="1:11" ht="18" customHeight="1" x14ac:dyDescent="0.3">
      <c r="A80" s="733" t="s">
        <v>110</v>
      </c>
      <c r="B80" s="635" t="s">
        <v>56</v>
      </c>
      <c r="C80" s="742"/>
      <c r="D80" s="742"/>
      <c r="E80" s="742"/>
      <c r="F80" s="282">
        <v>0</v>
      </c>
      <c r="G80" s="282">
        <v>0</v>
      </c>
      <c r="H80" s="283">
        <v>0</v>
      </c>
      <c r="I80" s="306">
        <v>0</v>
      </c>
      <c r="J80" s="283"/>
      <c r="K80" s="284">
        <f>(H80+I80)-J80</f>
        <v>0</v>
      </c>
    </row>
    <row r="81" spans="1:11" ht="18" customHeight="1" x14ac:dyDescent="0.3">
      <c r="A81" s="733"/>
      <c r="B81" s="742"/>
      <c r="C81" s="742"/>
      <c r="D81" s="742"/>
      <c r="E81" s="742"/>
      <c r="F81" s="742"/>
      <c r="G81" s="742"/>
      <c r="H81" s="742"/>
      <c r="I81" s="742"/>
      <c r="J81" s="742"/>
      <c r="K81" s="299"/>
    </row>
    <row r="82" spans="1:11" ht="18" customHeight="1" x14ac:dyDescent="0.3">
      <c r="A82" s="733" t="s">
        <v>148</v>
      </c>
      <c r="B82" s="636" t="s">
        <v>149</v>
      </c>
      <c r="C82" s="742"/>
      <c r="D82" s="742"/>
      <c r="E82" s="636" t="s">
        <v>7</v>
      </c>
      <c r="F82" s="289">
        <f t="shared" ref="F82:K82" si="8">SUM(F77:F80)</f>
        <v>870</v>
      </c>
      <c r="G82" s="289">
        <f t="shared" si="8"/>
        <v>1685</v>
      </c>
      <c r="H82" s="285">
        <f t="shared" si="8"/>
        <v>561241.56000000006</v>
      </c>
      <c r="I82" s="285">
        <f t="shared" si="8"/>
        <v>0</v>
      </c>
      <c r="J82" s="285">
        <f t="shared" si="8"/>
        <v>0</v>
      </c>
      <c r="K82" s="285">
        <f t="shared" si="8"/>
        <v>561241.56000000006</v>
      </c>
    </row>
    <row r="83" spans="1:11" ht="18" customHeight="1" thickBot="1" x14ac:dyDescent="0.35">
      <c r="A83" s="733"/>
      <c r="B83" s="742"/>
      <c r="C83" s="742"/>
      <c r="D83" s="742"/>
      <c r="E83" s="742"/>
      <c r="F83" s="291"/>
      <c r="G83" s="291"/>
      <c r="H83" s="291"/>
      <c r="I83" s="291"/>
      <c r="J83" s="291"/>
      <c r="K83" s="291"/>
    </row>
    <row r="84" spans="1:11" ht="42.75" customHeight="1" x14ac:dyDescent="0.3">
      <c r="A84" s="742"/>
      <c r="B84" s="742"/>
      <c r="C84" s="742"/>
      <c r="D84" s="742"/>
      <c r="E84" s="742"/>
      <c r="F84" s="641" t="s">
        <v>9</v>
      </c>
      <c r="G84" s="641" t="s">
        <v>37</v>
      </c>
      <c r="H84" s="641" t="s">
        <v>29</v>
      </c>
      <c r="I84" s="641" t="s">
        <v>30</v>
      </c>
      <c r="J84" s="641" t="s">
        <v>33</v>
      </c>
      <c r="K84" s="641" t="s">
        <v>34</v>
      </c>
    </row>
    <row r="85" spans="1:11" ht="18" customHeight="1" x14ac:dyDescent="0.3">
      <c r="A85" s="639" t="s">
        <v>111</v>
      </c>
      <c r="B85" s="636" t="s">
        <v>57</v>
      </c>
      <c r="C85" s="742"/>
      <c r="D85" s="742"/>
      <c r="E85" s="742"/>
      <c r="F85" s="742"/>
      <c r="G85" s="742"/>
      <c r="H85" s="742"/>
      <c r="I85" s="742"/>
      <c r="J85" s="742"/>
      <c r="K85" s="742"/>
    </row>
    <row r="86" spans="1:11" ht="18" customHeight="1" x14ac:dyDescent="0.3">
      <c r="A86" s="733" t="s">
        <v>112</v>
      </c>
      <c r="B86" s="635" t="s">
        <v>113</v>
      </c>
      <c r="C86" s="742"/>
      <c r="D86" s="742"/>
      <c r="E86" s="742"/>
      <c r="F86" s="282">
        <v>416</v>
      </c>
      <c r="G86" s="282">
        <v>2828</v>
      </c>
      <c r="H86" s="283">
        <v>27641.300059509274</v>
      </c>
      <c r="I86" s="306">
        <f t="shared" ref="I86:I96" si="9">H86*F$114</f>
        <v>9956.6252135931518</v>
      </c>
      <c r="J86" s="283"/>
      <c r="K86" s="284">
        <f t="shared" ref="K86:K96" si="10">(H86+I86)-J86</f>
        <v>37597.925273102424</v>
      </c>
    </row>
    <row r="87" spans="1:11" ht="18" customHeight="1" x14ac:dyDescent="0.3">
      <c r="A87" s="733" t="s">
        <v>114</v>
      </c>
      <c r="B87" s="635" t="s">
        <v>14</v>
      </c>
      <c r="C87" s="742"/>
      <c r="D87" s="742"/>
      <c r="E87" s="742"/>
      <c r="F87" s="282">
        <v>25.5</v>
      </c>
      <c r="G87" s="282">
        <v>0</v>
      </c>
      <c r="H87" s="283">
        <v>4178.7665999999999</v>
      </c>
      <c r="I87" s="306">
        <f t="shared" si="9"/>
        <v>1505.2263389097473</v>
      </c>
      <c r="J87" s="283"/>
      <c r="K87" s="284">
        <f t="shared" si="10"/>
        <v>5683.992938909747</v>
      </c>
    </row>
    <row r="88" spans="1:11" ht="18" customHeight="1" x14ac:dyDescent="0.3">
      <c r="A88" s="733" t="s">
        <v>115</v>
      </c>
      <c r="B88" s="635" t="s">
        <v>116</v>
      </c>
      <c r="C88" s="742"/>
      <c r="D88" s="742"/>
      <c r="E88" s="742"/>
      <c r="F88" s="282">
        <v>0</v>
      </c>
      <c r="G88" s="282">
        <v>0</v>
      </c>
      <c r="H88" s="283">
        <v>8640</v>
      </c>
      <c r="I88" s="306">
        <f t="shared" si="9"/>
        <v>3112.199558640154</v>
      </c>
      <c r="J88" s="283"/>
      <c r="K88" s="284">
        <f t="shared" si="10"/>
        <v>11752.199558640154</v>
      </c>
    </row>
    <row r="89" spans="1:11" ht="18" customHeight="1" x14ac:dyDescent="0.3">
      <c r="A89" s="733" t="s">
        <v>117</v>
      </c>
      <c r="B89" s="635" t="s">
        <v>58</v>
      </c>
      <c r="C89" s="742"/>
      <c r="D89" s="742"/>
      <c r="E89" s="742"/>
      <c r="F89" s="282">
        <v>0</v>
      </c>
      <c r="G89" s="282">
        <v>0</v>
      </c>
      <c r="H89" s="283">
        <v>4800</v>
      </c>
      <c r="I89" s="306">
        <f t="shared" si="9"/>
        <v>1728.9997548000856</v>
      </c>
      <c r="J89" s="283"/>
      <c r="K89" s="284">
        <f t="shared" si="10"/>
        <v>6528.9997548000856</v>
      </c>
    </row>
    <row r="90" spans="1:11" ht="18" customHeight="1" x14ac:dyDescent="0.3">
      <c r="A90" s="733" t="s">
        <v>118</v>
      </c>
      <c r="B90" s="1359" t="s">
        <v>59</v>
      </c>
      <c r="C90" s="1359"/>
      <c r="D90" s="742"/>
      <c r="E90" s="742"/>
      <c r="F90" s="282">
        <v>0</v>
      </c>
      <c r="G90" s="282">
        <v>0</v>
      </c>
      <c r="H90" s="283">
        <v>0</v>
      </c>
      <c r="I90" s="306">
        <f t="shared" si="9"/>
        <v>0</v>
      </c>
      <c r="J90" s="283"/>
      <c r="K90" s="284">
        <f t="shared" si="10"/>
        <v>0</v>
      </c>
    </row>
    <row r="91" spans="1:11" ht="18" customHeight="1" x14ac:dyDescent="0.3">
      <c r="A91" s="733" t="s">
        <v>119</v>
      </c>
      <c r="B91" s="635" t="s">
        <v>60</v>
      </c>
      <c r="C91" s="742"/>
      <c r="D91" s="742"/>
      <c r="E91" s="742"/>
      <c r="F91" s="282">
        <v>73.5</v>
      </c>
      <c r="G91" s="282">
        <v>12</v>
      </c>
      <c r="H91" s="283">
        <v>7872.9296801274222</v>
      </c>
      <c r="I91" s="306">
        <f t="shared" si="9"/>
        <v>2835.8944763538811</v>
      </c>
      <c r="J91" s="283"/>
      <c r="K91" s="284">
        <f t="shared" si="10"/>
        <v>10708.824156481303</v>
      </c>
    </row>
    <row r="92" spans="1:11" ht="18" customHeight="1" x14ac:dyDescent="0.3">
      <c r="A92" s="733" t="s">
        <v>120</v>
      </c>
      <c r="B92" s="635" t="s">
        <v>121</v>
      </c>
      <c r="C92" s="742"/>
      <c r="D92" s="742"/>
      <c r="E92" s="742"/>
      <c r="F92" s="282">
        <v>0</v>
      </c>
      <c r="G92" s="282">
        <v>0</v>
      </c>
      <c r="H92" s="283">
        <v>0</v>
      </c>
      <c r="I92" s="306">
        <f t="shared" si="9"/>
        <v>0</v>
      </c>
      <c r="J92" s="298"/>
      <c r="K92" s="284">
        <f t="shared" si="10"/>
        <v>0</v>
      </c>
    </row>
    <row r="93" spans="1:11" ht="18" customHeight="1" x14ac:dyDescent="0.3">
      <c r="A93" s="733" t="s">
        <v>122</v>
      </c>
      <c r="B93" s="635" t="s">
        <v>123</v>
      </c>
      <c r="C93" s="742"/>
      <c r="D93" s="742"/>
      <c r="E93" s="742"/>
      <c r="F93" s="282">
        <v>5304</v>
      </c>
      <c r="G93" s="282">
        <v>1544</v>
      </c>
      <c r="H93" s="283">
        <v>128426.46026611328</v>
      </c>
      <c r="I93" s="306">
        <f t="shared" si="9"/>
        <v>46260.27464790683</v>
      </c>
      <c r="J93" s="283"/>
      <c r="K93" s="284">
        <f t="shared" si="10"/>
        <v>174686.73491402011</v>
      </c>
    </row>
    <row r="94" spans="1:11" ht="18" customHeight="1" x14ac:dyDescent="0.3">
      <c r="A94" s="733" t="s">
        <v>124</v>
      </c>
      <c r="B94" s="1354"/>
      <c r="C94" s="1355"/>
      <c r="D94" s="1356"/>
      <c r="E94" s="742"/>
      <c r="F94" s="282">
        <v>0</v>
      </c>
      <c r="G94" s="282">
        <v>0</v>
      </c>
      <c r="H94" s="283">
        <v>0</v>
      </c>
      <c r="I94" s="306">
        <f t="shared" si="9"/>
        <v>0</v>
      </c>
      <c r="J94" s="283"/>
      <c r="K94" s="284">
        <f t="shared" si="10"/>
        <v>0</v>
      </c>
    </row>
    <row r="95" spans="1:11" ht="18" customHeight="1" x14ac:dyDescent="0.3">
      <c r="A95" s="733" t="s">
        <v>125</v>
      </c>
      <c r="B95" s="1354"/>
      <c r="C95" s="1355"/>
      <c r="D95" s="1356"/>
      <c r="E95" s="742"/>
      <c r="F95" s="282">
        <v>0</v>
      </c>
      <c r="G95" s="282">
        <v>0</v>
      </c>
      <c r="H95" s="283">
        <v>0</v>
      </c>
      <c r="I95" s="306">
        <f t="shared" si="9"/>
        <v>0</v>
      </c>
      <c r="J95" s="283"/>
      <c r="K95" s="284">
        <f t="shared" si="10"/>
        <v>0</v>
      </c>
    </row>
    <row r="96" spans="1:11" ht="18" customHeight="1" x14ac:dyDescent="0.3">
      <c r="A96" s="733" t="s">
        <v>126</v>
      </c>
      <c r="B96" s="1354"/>
      <c r="C96" s="1355"/>
      <c r="D96" s="1356"/>
      <c r="E96" s="742"/>
      <c r="F96" s="282">
        <v>0</v>
      </c>
      <c r="G96" s="282">
        <v>0</v>
      </c>
      <c r="H96" s="283">
        <v>0</v>
      </c>
      <c r="I96" s="306">
        <f t="shared" si="9"/>
        <v>0</v>
      </c>
      <c r="J96" s="283"/>
      <c r="K96" s="284">
        <f t="shared" si="10"/>
        <v>0</v>
      </c>
    </row>
    <row r="97" spans="1:11" ht="18" customHeight="1" x14ac:dyDescent="0.3">
      <c r="A97" s="733"/>
      <c r="B97" s="635"/>
      <c r="C97" s="742"/>
      <c r="D97" s="742"/>
      <c r="E97" s="742"/>
      <c r="F97" s="742"/>
      <c r="G97" s="742"/>
      <c r="H97" s="742"/>
      <c r="I97" s="742"/>
      <c r="J97" s="742"/>
      <c r="K97" s="742"/>
    </row>
    <row r="98" spans="1:11" ht="18" customHeight="1" x14ac:dyDescent="0.3">
      <c r="A98" s="639" t="s">
        <v>150</v>
      </c>
      <c r="B98" s="636" t="s">
        <v>151</v>
      </c>
      <c r="C98" s="742"/>
      <c r="D98" s="742"/>
      <c r="E98" s="636" t="s">
        <v>7</v>
      </c>
      <c r="F98" s="286">
        <f t="shared" ref="F98:K98" si="11">SUM(F86:F96)</f>
        <v>5819</v>
      </c>
      <c r="G98" s="286">
        <f t="shared" si="11"/>
        <v>4384</v>
      </c>
      <c r="H98" s="286">
        <f t="shared" si="11"/>
        <v>181559.45660574999</v>
      </c>
      <c r="I98" s="286">
        <f t="shared" si="11"/>
        <v>65399.219990203856</v>
      </c>
      <c r="J98" s="286">
        <f t="shared" si="11"/>
        <v>0</v>
      </c>
      <c r="K98" s="286">
        <f t="shared" si="11"/>
        <v>246958.67659595382</v>
      </c>
    </row>
    <row r="99" spans="1:11" ht="18" customHeight="1" thickBot="1" x14ac:dyDescent="0.35">
      <c r="A99" s="742"/>
      <c r="B99" s="636"/>
      <c r="C99" s="742"/>
      <c r="D99" s="742"/>
      <c r="E99" s="742"/>
      <c r="F99" s="291"/>
      <c r="G99" s="291"/>
      <c r="H99" s="291"/>
      <c r="I99" s="291"/>
      <c r="J99" s="291"/>
      <c r="K99" s="291"/>
    </row>
    <row r="100" spans="1:11" ht="42.75" customHeight="1" x14ac:dyDescent="0.3">
      <c r="A100" s="742"/>
      <c r="B100" s="742"/>
      <c r="C100" s="742"/>
      <c r="D100" s="742"/>
      <c r="E100" s="742"/>
      <c r="F100" s="641" t="s">
        <v>9</v>
      </c>
      <c r="G100" s="641" t="s">
        <v>37</v>
      </c>
      <c r="H100" s="641" t="s">
        <v>29</v>
      </c>
      <c r="I100" s="641" t="s">
        <v>30</v>
      </c>
      <c r="J100" s="641" t="s">
        <v>33</v>
      </c>
      <c r="K100" s="641" t="s">
        <v>34</v>
      </c>
    </row>
    <row r="101" spans="1:11" ht="18" customHeight="1" x14ac:dyDescent="0.3">
      <c r="A101" s="639" t="s">
        <v>130</v>
      </c>
      <c r="B101" s="636" t="s">
        <v>63</v>
      </c>
      <c r="C101" s="742"/>
      <c r="D101" s="742"/>
      <c r="E101" s="742"/>
      <c r="F101" s="742"/>
      <c r="G101" s="742"/>
      <c r="H101" s="742"/>
      <c r="I101" s="742"/>
      <c r="J101" s="742"/>
      <c r="K101" s="742"/>
    </row>
    <row r="102" spans="1:11" ht="18" customHeight="1" x14ac:dyDescent="0.3">
      <c r="A102" s="733" t="s">
        <v>131</v>
      </c>
      <c r="B102" s="635" t="s">
        <v>152</v>
      </c>
      <c r="C102" s="742"/>
      <c r="D102" s="742"/>
      <c r="E102" s="742"/>
      <c r="F102" s="282">
        <v>1480</v>
      </c>
      <c r="G102" s="282">
        <v>564</v>
      </c>
      <c r="H102" s="283">
        <v>167532.90285554199</v>
      </c>
      <c r="I102" s="306">
        <f>H102*F$114</f>
        <v>60346.739157953889</v>
      </c>
      <c r="J102" s="283"/>
      <c r="K102" s="284">
        <f>(H102+I102)-J102</f>
        <v>227879.64201349588</v>
      </c>
    </row>
    <row r="103" spans="1:11" ht="18" customHeight="1" x14ac:dyDescent="0.3">
      <c r="A103" s="733" t="s">
        <v>132</v>
      </c>
      <c r="B103" s="1357" t="s">
        <v>62</v>
      </c>
      <c r="C103" s="1357"/>
      <c r="D103" s="742"/>
      <c r="E103" s="742"/>
      <c r="F103" s="282">
        <v>0</v>
      </c>
      <c r="G103" s="282">
        <v>0</v>
      </c>
      <c r="H103" s="283">
        <v>0</v>
      </c>
      <c r="I103" s="306">
        <f>H103*F$114</f>
        <v>0</v>
      </c>
      <c r="J103" s="283"/>
      <c r="K103" s="284">
        <f>(H103+I103)-J103</f>
        <v>0</v>
      </c>
    </row>
    <row r="104" spans="1:11" ht="18" customHeight="1" x14ac:dyDescent="0.3">
      <c r="A104" s="733" t="s">
        <v>128</v>
      </c>
      <c r="B104" s="1354"/>
      <c r="C104" s="1355"/>
      <c r="D104" s="1356"/>
      <c r="E104" s="742"/>
      <c r="F104" s="282"/>
      <c r="G104" s="282"/>
      <c r="H104" s="283"/>
      <c r="I104" s="306">
        <f>H104*F$114</f>
        <v>0</v>
      </c>
      <c r="J104" s="283"/>
      <c r="K104" s="284">
        <f>(H104+I104)-J104</f>
        <v>0</v>
      </c>
    </row>
    <row r="105" spans="1:11" ht="18" customHeight="1" x14ac:dyDescent="0.3">
      <c r="A105" s="733" t="s">
        <v>127</v>
      </c>
      <c r="B105" s="1354"/>
      <c r="C105" s="1355"/>
      <c r="D105" s="1356"/>
      <c r="E105" s="742"/>
      <c r="F105" s="282"/>
      <c r="G105" s="282"/>
      <c r="H105" s="283"/>
      <c r="I105" s="306">
        <f>H105*F$114</f>
        <v>0</v>
      </c>
      <c r="J105" s="283"/>
      <c r="K105" s="284">
        <f>(H105+I105)-J105</f>
        <v>0</v>
      </c>
    </row>
    <row r="106" spans="1:11" ht="18" customHeight="1" x14ac:dyDescent="0.3">
      <c r="A106" s="733" t="s">
        <v>129</v>
      </c>
      <c r="B106" s="1354"/>
      <c r="C106" s="1355"/>
      <c r="D106" s="1356"/>
      <c r="E106" s="742"/>
      <c r="F106" s="282"/>
      <c r="G106" s="282"/>
      <c r="H106" s="283"/>
      <c r="I106" s="306">
        <f>H106*F$114</f>
        <v>0</v>
      </c>
      <c r="J106" s="283"/>
      <c r="K106" s="284">
        <f>(H106+I106)-J106</f>
        <v>0</v>
      </c>
    </row>
    <row r="107" spans="1:11" ht="18" customHeight="1" x14ac:dyDescent="0.3">
      <c r="A107" s="742"/>
      <c r="B107" s="636"/>
      <c r="C107" s="742"/>
      <c r="D107" s="742"/>
      <c r="E107" s="742"/>
      <c r="F107" s="742"/>
      <c r="G107" s="742"/>
      <c r="H107" s="742"/>
      <c r="I107" s="742"/>
      <c r="J107" s="742"/>
      <c r="K107" s="742"/>
    </row>
    <row r="108" spans="1:11" s="29" customFormat="1" ht="18" customHeight="1" x14ac:dyDescent="0.3">
      <c r="A108" s="639" t="s">
        <v>153</v>
      </c>
      <c r="B108" s="686" t="s">
        <v>154</v>
      </c>
      <c r="C108" s="742"/>
      <c r="D108" s="742"/>
      <c r="E108" s="636" t="s">
        <v>7</v>
      </c>
      <c r="F108" s="286">
        <f t="shared" ref="F108:K108" si="12">SUM(F102:F106)</f>
        <v>1480</v>
      </c>
      <c r="G108" s="286">
        <f t="shared" si="12"/>
        <v>564</v>
      </c>
      <c r="H108" s="284">
        <f t="shared" si="12"/>
        <v>167532.90285554199</v>
      </c>
      <c r="I108" s="284">
        <f t="shared" si="12"/>
        <v>60346.739157953889</v>
      </c>
      <c r="J108" s="284">
        <f t="shared" si="12"/>
        <v>0</v>
      </c>
      <c r="K108" s="284">
        <f t="shared" si="12"/>
        <v>227879.64201349588</v>
      </c>
    </row>
    <row r="109" spans="1:11" s="29" customFormat="1" ht="18" customHeight="1" thickBot="1" x14ac:dyDescent="0.35">
      <c r="A109" s="279"/>
      <c r="B109" s="280"/>
      <c r="C109" s="281"/>
      <c r="D109" s="281"/>
      <c r="E109" s="281"/>
      <c r="F109" s="291"/>
      <c r="G109" s="291"/>
      <c r="H109" s="291"/>
      <c r="I109" s="291"/>
      <c r="J109" s="291"/>
      <c r="K109" s="291"/>
    </row>
    <row r="110" spans="1:11" s="29" customFormat="1" ht="18" customHeight="1" x14ac:dyDescent="0.3">
      <c r="A110" s="639" t="s">
        <v>156</v>
      </c>
      <c r="B110" s="636" t="s">
        <v>39</v>
      </c>
      <c r="C110" s="742"/>
      <c r="D110" s="742"/>
      <c r="E110" s="742"/>
      <c r="F110" s="742"/>
      <c r="G110" s="742"/>
      <c r="H110" s="742"/>
      <c r="I110" s="742"/>
      <c r="J110" s="742"/>
      <c r="K110" s="742"/>
    </row>
    <row r="111" spans="1:11" ht="18" customHeight="1" x14ac:dyDescent="0.3">
      <c r="A111" s="639" t="s">
        <v>155</v>
      </c>
      <c r="B111" s="636" t="s">
        <v>164</v>
      </c>
      <c r="C111" s="742"/>
      <c r="D111" s="742"/>
      <c r="E111" s="636" t="s">
        <v>7</v>
      </c>
      <c r="F111" s="283">
        <v>20308000</v>
      </c>
      <c r="G111" s="742"/>
      <c r="H111" s="742"/>
      <c r="I111" s="742"/>
      <c r="J111" s="742"/>
      <c r="K111" s="742"/>
    </row>
    <row r="112" spans="1:11" ht="18" customHeight="1" x14ac:dyDescent="0.3">
      <c r="A112" s="742"/>
      <c r="B112" s="636"/>
      <c r="C112" s="742"/>
      <c r="D112" s="742"/>
      <c r="E112" s="636"/>
      <c r="F112" s="734"/>
      <c r="G112" s="742"/>
      <c r="H112" s="742"/>
      <c r="I112" s="742"/>
      <c r="J112" s="742"/>
      <c r="K112" s="742"/>
    </row>
    <row r="113" spans="1:6" ht="18" customHeight="1" x14ac:dyDescent="0.3">
      <c r="A113" s="639"/>
      <c r="B113" s="636" t="s">
        <v>15</v>
      </c>
      <c r="C113" s="742"/>
      <c r="D113" s="742"/>
      <c r="E113" s="742"/>
      <c r="F113" s="742"/>
    </row>
    <row r="114" spans="1:6" ht="18" customHeight="1" x14ac:dyDescent="0.3">
      <c r="A114" s="733" t="s">
        <v>171</v>
      </c>
      <c r="B114" s="635" t="s">
        <v>35</v>
      </c>
      <c r="C114" s="742"/>
      <c r="D114" s="742"/>
      <c r="E114" s="742"/>
      <c r="F114" s="292">
        <v>0.36020828225001783</v>
      </c>
    </row>
    <row r="115" spans="1:6" ht="18" customHeight="1" x14ac:dyDescent="0.3">
      <c r="A115" s="733"/>
      <c r="B115" s="636"/>
      <c r="C115" s="742"/>
      <c r="D115" s="742"/>
      <c r="E115" s="742"/>
      <c r="F115" s="742"/>
    </row>
    <row r="116" spans="1:6" ht="18" customHeight="1" x14ac:dyDescent="0.3">
      <c r="A116" s="733" t="s">
        <v>170</v>
      </c>
      <c r="B116" s="636" t="s">
        <v>16</v>
      </c>
      <c r="C116" s="742"/>
      <c r="D116" s="742"/>
      <c r="E116" s="742"/>
      <c r="F116" s="742"/>
    </row>
    <row r="117" spans="1:6" ht="18" customHeight="1" x14ac:dyDescent="0.3">
      <c r="A117" s="733" t="s">
        <v>172</v>
      </c>
      <c r="B117" s="635" t="s">
        <v>17</v>
      </c>
      <c r="C117" s="742"/>
      <c r="D117" s="742"/>
      <c r="E117" s="742"/>
      <c r="F117" s="283">
        <v>1407301000</v>
      </c>
    </row>
    <row r="118" spans="1:6" ht="18" customHeight="1" x14ac:dyDescent="0.3">
      <c r="A118" s="733" t="s">
        <v>173</v>
      </c>
      <c r="B118" s="742" t="s">
        <v>18</v>
      </c>
      <c r="C118" s="742"/>
      <c r="D118" s="742"/>
      <c r="E118" s="742"/>
      <c r="F118" s="283">
        <v>121439000</v>
      </c>
    </row>
    <row r="119" spans="1:6" ht="18" customHeight="1" x14ac:dyDescent="0.3">
      <c r="A119" s="733" t="s">
        <v>174</v>
      </c>
      <c r="B119" s="636" t="s">
        <v>19</v>
      </c>
      <c r="C119" s="742"/>
      <c r="D119" s="742"/>
      <c r="E119" s="742"/>
      <c r="F119" s="285">
        <f>SUM(F117:F118)</f>
        <v>1528740000</v>
      </c>
    </row>
    <row r="120" spans="1:6" ht="18" customHeight="1" x14ac:dyDescent="0.3">
      <c r="A120" s="733"/>
      <c r="B120" s="636"/>
      <c r="C120" s="742"/>
      <c r="D120" s="742"/>
      <c r="E120" s="742"/>
      <c r="F120" s="742"/>
    </row>
    <row r="121" spans="1:6" ht="18" customHeight="1" x14ac:dyDescent="0.3">
      <c r="A121" s="733" t="s">
        <v>167</v>
      </c>
      <c r="B121" s="636" t="s">
        <v>36</v>
      </c>
      <c r="C121" s="742"/>
      <c r="D121" s="742"/>
      <c r="E121" s="742"/>
      <c r="F121" s="283">
        <v>1470095000</v>
      </c>
    </row>
    <row r="122" spans="1:6" ht="18" customHeight="1" x14ac:dyDescent="0.3">
      <c r="A122" s="733"/>
      <c r="B122" s="742"/>
      <c r="C122" s="742"/>
      <c r="D122" s="742"/>
      <c r="E122" s="742"/>
      <c r="F122" s="742"/>
    </row>
    <row r="123" spans="1:6" ht="18" customHeight="1" x14ac:dyDescent="0.3">
      <c r="A123" s="733" t="s">
        <v>175</v>
      </c>
      <c r="B123" s="636" t="s">
        <v>20</v>
      </c>
      <c r="C123" s="742"/>
      <c r="D123" s="742"/>
      <c r="E123" s="742"/>
      <c r="F123" s="148">
        <v>58645000</v>
      </c>
    </row>
    <row r="124" spans="1:6" ht="18" customHeight="1" x14ac:dyDescent="0.3">
      <c r="A124" s="733"/>
      <c r="B124" s="742"/>
      <c r="C124" s="742"/>
      <c r="D124" s="742"/>
      <c r="E124" s="742"/>
      <c r="F124" s="742"/>
    </row>
    <row r="125" spans="1:6" ht="18" customHeight="1" x14ac:dyDescent="0.3">
      <c r="A125" s="733" t="s">
        <v>176</v>
      </c>
      <c r="B125" s="636" t="s">
        <v>21</v>
      </c>
      <c r="C125" s="742"/>
      <c r="D125" s="742"/>
      <c r="E125" s="742"/>
      <c r="F125" s="283">
        <v>64456000</v>
      </c>
    </row>
    <row r="126" spans="1:6" ht="18" customHeight="1" x14ac:dyDescent="0.3">
      <c r="A126" s="733"/>
      <c r="B126" s="742"/>
      <c r="C126" s="742"/>
      <c r="D126" s="742"/>
      <c r="E126" s="742"/>
      <c r="F126" s="742"/>
    </row>
    <row r="127" spans="1:6" ht="18" customHeight="1" x14ac:dyDescent="0.3">
      <c r="A127" s="733" t="s">
        <v>177</v>
      </c>
      <c r="B127" s="636" t="s">
        <v>22</v>
      </c>
      <c r="C127" s="742"/>
      <c r="D127" s="742"/>
      <c r="E127" s="742"/>
      <c r="F127" s="148">
        <v>123101000</v>
      </c>
    </row>
    <row r="128" spans="1:6" ht="18" customHeight="1" x14ac:dyDescent="0.3">
      <c r="A128" s="733"/>
      <c r="B128" s="742"/>
      <c r="C128" s="742"/>
      <c r="D128" s="742"/>
      <c r="E128" s="742"/>
      <c r="F128" s="742"/>
    </row>
    <row r="129" spans="1:11" ht="42.75" customHeight="1" x14ac:dyDescent="0.3">
      <c r="A129" s="742"/>
      <c r="B129" s="742"/>
      <c r="C129" s="742"/>
      <c r="D129" s="742"/>
      <c r="E129" s="742"/>
      <c r="F129" s="641" t="s">
        <v>9</v>
      </c>
      <c r="G129" s="641" t="s">
        <v>37</v>
      </c>
      <c r="H129" s="641" t="s">
        <v>29</v>
      </c>
      <c r="I129" s="641" t="s">
        <v>30</v>
      </c>
      <c r="J129" s="641" t="s">
        <v>33</v>
      </c>
      <c r="K129" s="641" t="s">
        <v>34</v>
      </c>
    </row>
    <row r="130" spans="1:11" ht="18" customHeight="1" x14ac:dyDescent="0.3">
      <c r="A130" s="639" t="s">
        <v>157</v>
      </c>
      <c r="B130" s="636" t="s">
        <v>23</v>
      </c>
      <c r="C130" s="742"/>
      <c r="D130" s="742"/>
      <c r="E130" s="742"/>
      <c r="F130" s="742"/>
      <c r="G130" s="742"/>
      <c r="H130" s="742"/>
      <c r="I130" s="742"/>
      <c r="J130" s="742"/>
      <c r="K130" s="742"/>
    </row>
    <row r="131" spans="1:11" ht="18" customHeight="1" x14ac:dyDescent="0.3">
      <c r="A131" s="733" t="s">
        <v>158</v>
      </c>
      <c r="B131" s="742" t="s">
        <v>24</v>
      </c>
      <c r="C131" s="742"/>
      <c r="D131" s="742"/>
      <c r="E131" s="742"/>
      <c r="F131" s="282"/>
      <c r="G131" s="282"/>
      <c r="H131" s="283"/>
      <c r="I131" s="306">
        <v>0</v>
      </c>
      <c r="J131" s="283"/>
      <c r="K131" s="284">
        <f>(H131+I131)-J131</f>
        <v>0</v>
      </c>
    </row>
    <row r="132" spans="1:11" ht="18" customHeight="1" x14ac:dyDescent="0.3">
      <c r="A132" s="733" t="s">
        <v>159</v>
      </c>
      <c r="B132" s="742" t="s">
        <v>25</v>
      </c>
      <c r="C132" s="742"/>
      <c r="D132" s="742"/>
      <c r="E132" s="742"/>
      <c r="F132" s="282"/>
      <c r="G132" s="282"/>
      <c r="H132" s="283"/>
      <c r="I132" s="306">
        <v>0</v>
      </c>
      <c r="J132" s="283"/>
      <c r="K132" s="284">
        <f>(H132+I132)-J132</f>
        <v>0</v>
      </c>
    </row>
    <row r="133" spans="1:11" ht="18" customHeight="1" x14ac:dyDescent="0.3">
      <c r="A133" s="733" t="s">
        <v>160</v>
      </c>
      <c r="B133" s="1351"/>
      <c r="C133" s="1352"/>
      <c r="D133" s="1353"/>
      <c r="E133" s="742"/>
      <c r="F133" s="282"/>
      <c r="G133" s="282"/>
      <c r="H133" s="283"/>
      <c r="I133" s="306">
        <v>0</v>
      </c>
      <c r="J133" s="283"/>
      <c r="K133" s="284">
        <f>(H133+I133)-J133</f>
        <v>0</v>
      </c>
    </row>
    <row r="134" spans="1:11" ht="18" customHeight="1" x14ac:dyDescent="0.3">
      <c r="A134" s="733" t="s">
        <v>161</v>
      </c>
      <c r="B134" s="1351"/>
      <c r="C134" s="1352"/>
      <c r="D134" s="1353"/>
      <c r="E134" s="742"/>
      <c r="F134" s="282"/>
      <c r="G134" s="282"/>
      <c r="H134" s="283"/>
      <c r="I134" s="306">
        <v>0</v>
      </c>
      <c r="J134" s="283"/>
      <c r="K134" s="284">
        <f>(H134+I134)-J134</f>
        <v>0</v>
      </c>
    </row>
    <row r="135" spans="1:11" ht="18" customHeight="1" x14ac:dyDescent="0.3">
      <c r="A135" s="733" t="s">
        <v>162</v>
      </c>
      <c r="B135" s="1351"/>
      <c r="C135" s="1352"/>
      <c r="D135" s="1353"/>
      <c r="E135" s="742"/>
      <c r="F135" s="282"/>
      <c r="G135" s="282"/>
      <c r="H135" s="283"/>
      <c r="I135" s="306">
        <v>0</v>
      </c>
      <c r="J135" s="283"/>
      <c r="K135" s="284">
        <f>(H135+I135)-J135</f>
        <v>0</v>
      </c>
    </row>
    <row r="136" spans="1:11" ht="18" customHeight="1" x14ac:dyDescent="0.3">
      <c r="A136" s="639"/>
      <c r="B136" s="742"/>
      <c r="C136" s="742"/>
      <c r="D136" s="742"/>
      <c r="E136" s="742"/>
      <c r="F136" s="742"/>
      <c r="G136" s="742"/>
      <c r="H136" s="742"/>
      <c r="I136" s="742"/>
      <c r="J136" s="742"/>
      <c r="K136" s="742"/>
    </row>
    <row r="137" spans="1:11" ht="18" customHeight="1" x14ac:dyDescent="0.3">
      <c r="A137" s="639" t="s">
        <v>163</v>
      </c>
      <c r="B137" s="636" t="s">
        <v>27</v>
      </c>
      <c r="C137" s="742"/>
      <c r="D137" s="742"/>
      <c r="E137" s="742"/>
      <c r="F137" s="286">
        <f t="shared" ref="F137:K137" si="13">SUM(F131:F135)</f>
        <v>0</v>
      </c>
      <c r="G137" s="286">
        <f t="shared" si="13"/>
        <v>0</v>
      </c>
      <c r="H137" s="284">
        <f t="shared" si="13"/>
        <v>0</v>
      </c>
      <c r="I137" s="284">
        <f t="shared" si="13"/>
        <v>0</v>
      </c>
      <c r="J137" s="284">
        <f t="shared" si="13"/>
        <v>0</v>
      </c>
      <c r="K137" s="284">
        <f t="shared" si="13"/>
        <v>0</v>
      </c>
    </row>
    <row r="138" spans="1:11" ht="18" customHeight="1" x14ac:dyDescent="0.25">
      <c r="A138" s="742"/>
      <c r="B138" s="742"/>
      <c r="C138" s="742"/>
      <c r="D138" s="742"/>
      <c r="E138" s="742"/>
      <c r="F138" s="742"/>
      <c r="G138" s="742"/>
      <c r="H138" s="742"/>
      <c r="I138" s="742"/>
      <c r="J138" s="742"/>
      <c r="K138" s="742"/>
    </row>
    <row r="139" spans="1:11" ht="42.75" customHeight="1" x14ac:dyDescent="0.3">
      <c r="A139" s="742"/>
      <c r="B139" s="742"/>
      <c r="C139" s="742"/>
      <c r="D139" s="742"/>
      <c r="E139" s="742"/>
      <c r="F139" s="641" t="s">
        <v>9</v>
      </c>
      <c r="G139" s="641" t="s">
        <v>37</v>
      </c>
      <c r="H139" s="641" t="s">
        <v>29</v>
      </c>
      <c r="I139" s="641" t="s">
        <v>30</v>
      </c>
      <c r="J139" s="641" t="s">
        <v>33</v>
      </c>
      <c r="K139" s="641" t="s">
        <v>34</v>
      </c>
    </row>
    <row r="140" spans="1:11" ht="18" customHeight="1" x14ac:dyDescent="0.3">
      <c r="A140" s="639" t="s">
        <v>166</v>
      </c>
      <c r="B140" s="636" t="s">
        <v>26</v>
      </c>
      <c r="C140" s="742"/>
      <c r="D140" s="742"/>
      <c r="E140" s="742"/>
      <c r="F140" s="742"/>
      <c r="G140" s="742"/>
      <c r="H140" s="742"/>
      <c r="I140" s="742"/>
      <c r="J140" s="742"/>
      <c r="K140" s="742"/>
    </row>
    <row r="141" spans="1:11" ht="18" customHeight="1" x14ac:dyDescent="0.3">
      <c r="A141" s="733" t="s">
        <v>137</v>
      </c>
      <c r="B141" s="636" t="s">
        <v>64</v>
      </c>
      <c r="C141" s="742"/>
      <c r="D141" s="742"/>
      <c r="E141" s="742"/>
      <c r="F141" s="300">
        <f t="shared" ref="F141:K141" si="14">F36</f>
        <v>46777</v>
      </c>
      <c r="G141" s="300">
        <f t="shared" si="14"/>
        <v>25015</v>
      </c>
      <c r="H141" s="300">
        <f t="shared" si="14"/>
        <v>1898013.6394046394</v>
      </c>
      <c r="I141" s="300">
        <f t="shared" si="14"/>
        <v>683680.23273704981</v>
      </c>
      <c r="J141" s="300">
        <f t="shared" si="14"/>
        <v>674443</v>
      </c>
      <c r="K141" s="300">
        <f t="shared" si="14"/>
        <v>1907250.8721416891</v>
      </c>
    </row>
    <row r="142" spans="1:11" ht="18" customHeight="1" x14ac:dyDescent="0.3">
      <c r="A142" s="733" t="s">
        <v>142</v>
      </c>
      <c r="B142" s="636" t="s">
        <v>65</v>
      </c>
      <c r="C142" s="742"/>
      <c r="D142" s="742"/>
      <c r="E142" s="742"/>
      <c r="F142" s="300">
        <f t="shared" ref="F142:K142" si="15">F49</f>
        <v>2539163.4686425272</v>
      </c>
      <c r="G142" s="300">
        <f t="shared" si="15"/>
        <v>1355</v>
      </c>
      <c r="H142" s="300">
        <f t="shared" si="15"/>
        <v>123120046.31122464</v>
      </c>
      <c r="I142" s="300">
        <f t="shared" si="15"/>
        <v>44348860.392308876</v>
      </c>
      <c r="J142" s="300">
        <f t="shared" si="15"/>
        <v>0</v>
      </c>
      <c r="K142" s="300">
        <f t="shared" si="15"/>
        <v>167468906.7035335</v>
      </c>
    </row>
    <row r="143" spans="1:11" ht="18" customHeight="1" x14ac:dyDescent="0.3">
      <c r="A143" s="733" t="s">
        <v>144</v>
      </c>
      <c r="B143" s="636" t="s">
        <v>66</v>
      </c>
      <c r="C143" s="742"/>
      <c r="D143" s="742"/>
      <c r="E143" s="742"/>
      <c r="F143" s="300">
        <f t="shared" ref="F143:K143" si="16">F64</f>
        <v>230709.62999720126</v>
      </c>
      <c r="G143" s="300">
        <f t="shared" si="16"/>
        <v>39458</v>
      </c>
      <c r="H143" s="300">
        <f t="shared" si="16"/>
        <v>18934256.640000001</v>
      </c>
      <c r="I143" s="300">
        <f t="shared" si="16"/>
        <v>6820276.059975394</v>
      </c>
      <c r="J143" s="300">
        <f t="shared" si="16"/>
        <v>9257143.1600000001</v>
      </c>
      <c r="K143" s="300">
        <f t="shared" si="16"/>
        <v>16497389.539975392</v>
      </c>
    </row>
    <row r="144" spans="1:11" ht="18" customHeight="1" x14ac:dyDescent="0.3">
      <c r="A144" s="733" t="s">
        <v>146</v>
      </c>
      <c r="B144" s="636" t="s">
        <v>67</v>
      </c>
      <c r="C144" s="742"/>
      <c r="D144" s="742"/>
      <c r="E144" s="742"/>
      <c r="F144" s="300">
        <f t="shared" ref="F144:K144" si="17">F74</f>
        <v>0</v>
      </c>
      <c r="G144" s="300">
        <f t="shared" si="17"/>
        <v>0</v>
      </c>
      <c r="H144" s="300">
        <f t="shared" si="17"/>
        <v>0</v>
      </c>
      <c r="I144" s="300">
        <f t="shared" si="17"/>
        <v>0</v>
      </c>
      <c r="J144" s="300">
        <f t="shared" si="17"/>
        <v>0</v>
      </c>
      <c r="K144" s="300">
        <f t="shared" si="17"/>
        <v>0</v>
      </c>
    </row>
    <row r="145" spans="1:11" ht="18" customHeight="1" x14ac:dyDescent="0.3">
      <c r="A145" s="733" t="s">
        <v>148</v>
      </c>
      <c r="B145" s="636" t="s">
        <v>68</v>
      </c>
      <c r="C145" s="742"/>
      <c r="D145" s="742"/>
      <c r="E145" s="742"/>
      <c r="F145" s="300">
        <f t="shared" ref="F145:K145" si="18">F82</f>
        <v>870</v>
      </c>
      <c r="G145" s="300">
        <f t="shared" si="18"/>
        <v>1685</v>
      </c>
      <c r="H145" s="300">
        <f t="shared" si="18"/>
        <v>561241.56000000006</v>
      </c>
      <c r="I145" s="300">
        <f t="shared" si="18"/>
        <v>0</v>
      </c>
      <c r="J145" s="300">
        <f t="shared" si="18"/>
        <v>0</v>
      </c>
      <c r="K145" s="300">
        <f t="shared" si="18"/>
        <v>561241.56000000006</v>
      </c>
    </row>
    <row r="146" spans="1:11" ht="18" customHeight="1" x14ac:dyDescent="0.3">
      <c r="A146" s="733" t="s">
        <v>150</v>
      </c>
      <c r="B146" s="636" t="s">
        <v>69</v>
      </c>
      <c r="C146" s="742"/>
      <c r="D146" s="742"/>
      <c r="E146" s="742"/>
      <c r="F146" s="300">
        <f t="shared" ref="F146:K146" si="19">F98</f>
        <v>5819</v>
      </c>
      <c r="G146" s="300">
        <f t="shared" si="19"/>
        <v>4384</v>
      </c>
      <c r="H146" s="300">
        <f t="shared" si="19"/>
        <v>181559.45660574999</v>
      </c>
      <c r="I146" s="300">
        <f t="shared" si="19"/>
        <v>65399.219990203856</v>
      </c>
      <c r="J146" s="300">
        <f t="shared" si="19"/>
        <v>0</v>
      </c>
      <c r="K146" s="300">
        <f t="shared" si="19"/>
        <v>246958.67659595382</v>
      </c>
    </row>
    <row r="147" spans="1:11" ht="18" customHeight="1" x14ac:dyDescent="0.3">
      <c r="A147" s="733" t="s">
        <v>153</v>
      </c>
      <c r="B147" s="636" t="s">
        <v>61</v>
      </c>
      <c r="C147" s="742"/>
      <c r="D147" s="742"/>
      <c r="E147" s="742"/>
      <c r="F147" s="286">
        <f t="shared" ref="F147:K147" si="20">F108</f>
        <v>1480</v>
      </c>
      <c r="G147" s="286">
        <f t="shared" si="20"/>
        <v>564</v>
      </c>
      <c r="H147" s="286">
        <f t="shared" si="20"/>
        <v>167532.90285554199</v>
      </c>
      <c r="I147" s="286">
        <f t="shared" si="20"/>
        <v>60346.739157953889</v>
      </c>
      <c r="J147" s="286">
        <f t="shared" si="20"/>
        <v>0</v>
      </c>
      <c r="K147" s="286">
        <f t="shared" si="20"/>
        <v>227879.64201349588</v>
      </c>
    </row>
    <row r="148" spans="1:11" ht="18" customHeight="1" x14ac:dyDescent="0.3">
      <c r="A148" s="733" t="s">
        <v>155</v>
      </c>
      <c r="B148" s="636" t="s">
        <v>70</v>
      </c>
      <c r="C148" s="742"/>
      <c r="D148" s="742"/>
      <c r="E148" s="742"/>
      <c r="F148" s="301" t="s">
        <v>73</v>
      </c>
      <c r="G148" s="301" t="s">
        <v>73</v>
      </c>
      <c r="H148" s="302" t="s">
        <v>73</v>
      </c>
      <c r="I148" s="302" t="s">
        <v>73</v>
      </c>
      <c r="J148" s="302" t="s">
        <v>73</v>
      </c>
      <c r="K148" s="296">
        <f>F111</f>
        <v>20308000</v>
      </c>
    </row>
    <row r="149" spans="1:11" ht="18" customHeight="1" x14ac:dyDescent="0.3">
      <c r="A149" s="733" t="s">
        <v>163</v>
      </c>
      <c r="B149" s="636" t="s">
        <v>71</v>
      </c>
      <c r="C149" s="742"/>
      <c r="D149" s="742"/>
      <c r="E149" s="742"/>
      <c r="F149" s="286">
        <f t="shared" ref="F149:K149" si="21">F137</f>
        <v>0</v>
      </c>
      <c r="G149" s="286">
        <f t="shared" si="21"/>
        <v>0</v>
      </c>
      <c r="H149" s="286">
        <f t="shared" si="21"/>
        <v>0</v>
      </c>
      <c r="I149" s="286">
        <f t="shared" si="21"/>
        <v>0</v>
      </c>
      <c r="J149" s="286">
        <f t="shared" si="21"/>
        <v>0</v>
      </c>
      <c r="K149" s="286">
        <f t="shared" si="21"/>
        <v>0</v>
      </c>
    </row>
    <row r="150" spans="1:11" ht="18" customHeight="1" x14ac:dyDescent="0.3">
      <c r="A150" s="733" t="s">
        <v>185</v>
      </c>
      <c r="B150" s="636" t="s">
        <v>186</v>
      </c>
      <c r="C150" s="742"/>
      <c r="D150" s="742"/>
      <c r="E150" s="742"/>
      <c r="F150" s="301" t="s">
        <v>73</v>
      </c>
      <c r="G150" s="301" t="s">
        <v>73</v>
      </c>
      <c r="H150" s="286">
        <f>H18</f>
        <v>35422972.254569598</v>
      </c>
      <c r="I150" s="286">
        <f>I18</f>
        <v>0</v>
      </c>
      <c r="J150" s="286">
        <f>J18</f>
        <v>29939401.578260981</v>
      </c>
      <c r="K150" s="286">
        <f>K18</f>
        <v>5483570.676308617</v>
      </c>
    </row>
    <row r="151" spans="1:11" ht="18" customHeight="1" x14ac:dyDescent="0.3">
      <c r="A151" s="742"/>
      <c r="B151" s="636"/>
      <c r="C151" s="742"/>
      <c r="D151" s="742"/>
      <c r="E151" s="742"/>
      <c r="F151" s="304"/>
      <c r="G151" s="304"/>
      <c r="H151" s="304"/>
      <c r="I151" s="304"/>
      <c r="J151" s="304"/>
      <c r="K151" s="304"/>
    </row>
    <row r="152" spans="1:11" ht="18" customHeight="1" x14ac:dyDescent="0.3">
      <c r="A152" s="639" t="s">
        <v>165</v>
      </c>
      <c r="B152" s="636" t="s">
        <v>26</v>
      </c>
      <c r="C152" s="742"/>
      <c r="D152" s="742"/>
      <c r="E152" s="742"/>
      <c r="F152" s="305">
        <f t="shared" ref="F152:K152" si="22">SUM(F141:F150)</f>
        <v>2824819.0986397285</v>
      </c>
      <c r="G152" s="305">
        <f t="shared" si="22"/>
        <v>72461</v>
      </c>
      <c r="H152" s="305">
        <f t="shared" si="22"/>
        <v>180285622.76466018</v>
      </c>
      <c r="I152" s="305">
        <f t="shared" si="22"/>
        <v>51978562.644169472</v>
      </c>
      <c r="J152" s="305">
        <f t="shared" si="22"/>
        <v>39870987.738260984</v>
      </c>
      <c r="K152" s="305">
        <f t="shared" si="22"/>
        <v>212701197.67056865</v>
      </c>
    </row>
    <row r="154" spans="1:11" ht="18" customHeight="1" x14ac:dyDescent="0.3">
      <c r="A154" s="639" t="s">
        <v>168</v>
      </c>
      <c r="B154" s="636" t="s">
        <v>28</v>
      </c>
      <c r="C154" s="742"/>
      <c r="D154" s="742"/>
      <c r="E154" s="742"/>
      <c r="F154" s="310">
        <f>K152/F121</f>
        <v>0.14468534187965312</v>
      </c>
      <c r="G154" s="742"/>
      <c r="H154" s="742"/>
      <c r="I154" s="742"/>
      <c r="J154" s="742"/>
      <c r="K154" s="742"/>
    </row>
    <row r="155" spans="1:11" ht="18" customHeight="1" x14ac:dyDescent="0.3">
      <c r="A155" s="639" t="s">
        <v>169</v>
      </c>
      <c r="B155" s="636" t="s">
        <v>72</v>
      </c>
      <c r="C155" s="742"/>
      <c r="D155" s="742"/>
      <c r="E155" s="742"/>
      <c r="F155" s="310">
        <f>K152/F127</f>
        <v>1.7278592186137289</v>
      </c>
      <c r="G155" s="636"/>
      <c r="H155" s="742"/>
      <c r="I155" s="742"/>
      <c r="J155" s="742"/>
      <c r="K155" s="742"/>
    </row>
    <row r="156" spans="1:11" ht="18" customHeight="1" x14ac:dyDescent="0.3">
      <c r="A156" s="146"/>
      <c r="B156" s="146"/>
      <c r="C156" s="146"/>
      <c r="D156" s="146"/>
      <c r="E156" s="146"/>
      <c r="F156" s="146"/>
      <c r="G156" s="147"/>
      <c r="H156" s="146"/>
      <c r="I156" s="146"/>
      <c r="J156" s="146"/>
      <c r="K156" s="146"/>
    </row>
  </sheetData>
  <sheetProtection sheet="1" objects="1" scenarios="1"/>
  <mergeCells count="34">
    <mergeCell ref="B34:D34"/>
    <mergeCell ref="C10:G10"/>
    <mergeCell ref="C11:G11"/>
    <mergeCell ref="B13:H13"/>
    <mergeCell ref="B30:D30"/>
    <mergeCell ref="B31:D31"/>
    <mergeCell ref="D2:H2"/>
    <mergeCell ref="C5:G5"/>
    <mergeCell ref="C6:G6"/>
    <mergeCell ref="C7:G7"/>
    <mergeCell ref="C9:G9"/>
    <mergeCell ref="B56:D56"/>
    <mergeCell ref="B57:D57"/>
    <mergeCell ref="B41:C41"/>
    <mergeCell ref="B106:D106"/>
    <mergeCell ref="B133:D133"/>
    <mergeCell ref="B90:C90"/>
    <mergeCell ref="B44:D44"/>
    <mergeCell ref="B45:D45"/>
    <mergeCell ref="B46:D46"/>
    <mergeCell ref="B47:D47"/>
    <mergeCell ref="B59:D59"/>
    <mergeCell ref="B62:D62"/>
    <mergeCell ref="B52:C52"/>
    <mergeCell ref="B53:D53"/>
    <mergeCell ref="B55:D55"/>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543AA4-D21D-4FBB-B10B-46F42739E379}"/>
</file>

<file path=customXml/itemProps2.xml><?xml version="1.0" encoding="utf-8"?>
<ds:datastoreItem xmlns:ds="http://schemas.openxmlformats.org/officeDocument/2006/customXml" ds:itemID="{A42A9087-94DA-4D50-8C3C-B71F6577DED7}"/>
</file>

<file path=customXml/itemProps3.xml><?xml version="1.0" encoding="utf-8"?>
<ds:datastoreItem xmlns:ds="http://schemas.openxmlformats.org/officeDocument/2006/customXml" ds:itemID="{52354440-13EB-40F2-A6A2-215C88B594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50</vt:i4>
      </vt:variant>
    </vt:vector>
  </HeadingPairs>
  <TitlesOfParts>
    <vt:vector size="109" baseType="lpstr">
      <vt:lpstr>DME_NSPI-all</vt:lpstr>
      <vt:lpstr>Charity in Rates</vt:lpstr>
      <vt:lpstr>Charts</vt:lpstr>
      <vt:lpstr>CB Table 1</vt:lpstr>
      <vt:lpstr>Rate Support-Attachment I</vt:lpstr>
      <vt:lpstr>Attachment II-All Hospitals</vt:lpstr>
      <vt:lpstr>Attachment III-All</vt:lpstr>
      <vt:lpstr>#1-Meritus</vt:lpstr>
      <vt:lpstr>#2-UMMC</vt:lpstr>
      <vt:lpstr>#3-Prince Georges Hospital</vt:lpstr>
      <vt:lpstr>#4-Holy Cross Hospital</vt:lpstr>
      <vt:lpstr>#5-Frederick Memorial Hospital</vt:lpstr>
      <vt:lpstr>#6-UM Harford Memorial</vt:lpstr>
      <vt:lpstr>#8-Mercy</vt:lpstr>
      <vt:lpstr>#9-Johns Hopkins</vt:lpstr>
      <vt:lpstr>#10-UM Shore Health Dorchester</vt:lpstr>
      <vt:lpstr>#11-St. Agnes Hospital</vt:lpstr>
      <vt:lpstr>#12-Sinai</vt:lpstr>
      <vt:lpstr>#13-Bon Secours</vt:lpstr>
      <vt:lpstr>#15-MedStar Franklin Square</vt:lpstr>
      <vt:lpstr>#16-Washington Adventist</vt:lpstr>
      <vt:lpstr>#17-Garrett County Memorial</vt:lpstr>
      <vt:lpstr>#18-MedStar Montgomery General</vt:lpstr>
      <vt:lpstr>#19-Peninsula Regional</vt:lpstr>
      <vt:lpstr>#22-Suburban</vt:lpstr>
      <vt:lpstr>#23-AAMC</vt:lpstr>
      <vt:lpstr>#24-MedStar Union Memorial</vt:lpstr>
      <vt:lpstr>#27-Western Maryland Regional</vt:lpstr>
      <vt:lpstr>#28-MedStar St. Marys</vt:lpstr>
      <vt:lpstr>#29-JH Bayview</vt:lpstr>
      <vt:lpstr>#30-UM Shore Health Chestertown</vt:lpstr>
      <vt:lpstr>#32-Union Hospital Cecil Co</vt:lpstr>
      <vt:lpstr>#33-Carroll Hospital Center</vt:lpstr>
      <vt:lpstr>#34-MedStar Harbor Hospital</vt:lpstr>
      <vt:lpstr>#35-UM Charles Regional</vt:lpstr>
      <vt:lpstr>#37-UM Shore Health Easton</vt:lpstr>
      <vt:lpstr>#38-UM Midtown</vt:lpstr>
      <vt:lpstr>#39-Calvert Memorial</vt:lpstr>
      <vt:lpstr>#40-Lifebridge Northwest</vt:lpstr>
      <vt:lpstr>#43-UM BWMC</vt:lpstr>
      <vt:lpstr>#44-GBMC</vt:lpstr>
      <vt:lpstr>#45-McCready</vt:lpstr>
      <vt:lpstr>#48-Howard County</vt:lpstr>
      <vt:lpstr>#49-UM Upper Chesapeake Medical</vt:lpstr>
      <vt:lpstr>#51-Doctors Community Hospital</vt:lpstr>
      <vt:lpstr>#55-Laurel Regional</vt:lpstr>
      <vt:lpstr>#60-Fort Washington</vt:lpstr>
      <vt:lpstr>#61-Atlantic General</vt:lpstr>
      <vt:lpstr>#62-MedStar Southern Maryland</vt:lpstr>
      <vt:lpstr>#63-UM St Joseph</vt:lpstr>
      <vt:lpstr>#64-Levindale</vt:lpstr>
      <vt:lpstr>#65-Holy Cross Germantown</vt:lpstr>
      <vt:lpstr>#2001-UM ROI</vt:lpstr>
      <vt:lpstr>#2004-MedStar Good Samaritan</vt:lpstr>
      <vt:lpstr>#5050-Shady Grove Adventist</vt:lpstr>
      <vt:lpstr>#3029-Adventist Rehab</vt:lpstr>
      <vt:lpstr>#4000-Sheppard Pratt</vt:lpstr>
      <vt:lpstr>#4013-ABH-Rockville</vt:lpstr>
      <vt:lpstr>#5034-Mt Washington Pediatric</vt:lpstr>
      <vt:lpstr>'#11-St. Agnes Hospital'!Print_Area</vt:lpstr>
      <vt:lpstr>'#12-Sinai'!Print_Area</vt:lpstr>
      <vt:lpstr>'#13-Bon Secours'!Print_Area</vt:lpstr>
      <vt:lpstr>'#15-MedStar Franklin Square'!Print_Area</vt:lpstr>
      <vt:lpstr>'#16-Washington Adventist'!Print_Area</vt:lpstr>
      <vt:lpstr>'#17-Garrett County Memorial'!Print_Area</vt:lpstr>
      <vt:lpstr>'#19-Peninsula Regional'!Print_Area</vt:lpstr>
      <vt:lpstr>'#1-Meritus'!Print_Area</vt:lpstr>
      <vt:lpstr>'#2001-UM ROI'!Print_Area</vt:lpstr>
      <vt:lpstr>'#2004-MedStar Good Samaritan'!Print_Area</vt:lpstr>
      <vt:lpstr>'#22-Suburban'!Print_Area</vt:lpstr>
      <vt:lpstr>'#27-Western Maryland Regional'!Print_Area</vt:lpstr>
      <vt:lpstr>'#2-UMMC'!Print_Area</vt:lpstr>
      <vt:lpstr>'#3029-Adventist Rehab'!Print_Area</vt:lpstr>
      <vt:lpstr>'#32-Union Hospital Cecil Co'!Print_Area</vt:lpstr>
      <vt:lpstr>'#33-Carroll Hospital Center'!Print_Area</vt:lpstr>
      <vt:lpstr>'#35-UM Charles Regional'!Print_Area</vt:lpstr>
      <vt:lpstr>'#38-UM Midtown'!Print_Area</vt:lpstr>
      <vt:lpstr>'#39-Calvert Memorial'!Print_Area</vt:lpstr>
      <vt:lpstr>'#3-Prince Georges Hospital'!Print_Area</vt:lpstr>
      <vt:lpstr>'#4000-Sheppard Pratt'!Print_Area</vt:lpstr>
      <vt:lpstr>'#4013-ABH-Rockville'!Print_Area</vt:lpstr>
      <vt:lpstr>'#40-Lifebridge Northwest'!Print_Area</vt:lpstr>
      <vt:lpstr>'#43-UM BWMC'!Print_Area</vt:lpstr>
      <vt:lpstr>'#44-GBMC'!Print_Area</vt:lpstr>
      <vt:lpstr>'#45-McCready'!Print_Area</vt:lpstr>
      <vt:lpstr>'#48-Howard County'!Print_Area</vt:lpstr>
      <vt:lpstr>'#49-UM Upper Chesapeake Medical'!Print_Area</vt:lpstr>
      <vt:lpstr>'#4-Holy Cross Hospital'!Print_Area</vt:lpstr>
      <vt:lpstr>'#5050-Shady Grove Adventist'!Print_Area</vt:lpstr>
      <vt:lpstr>'#51-Doctors Community Hospital'!Print_Area</vt:lpstr>
      <vt:lpstr>'#55-Laurel Regional'!Print_Area</vt:lpstr>
      <vt:lpstr>'#5-Frederick Memorial Hospital'!Print_Area</vt:lpstr>
      <vt:lpstr>'#60-Fort Washington'!Print_Area</vt:lpstr>
      <vt:lpstr>'#61-Atlantic General'!Print_Area</vt:lpstr>
      <vt:lpstr>'#62-MedStar Southern Maryland'!Print_Area</vt:lpstr>
      <vt:lpstr>'#64-Levindale'!Print_Area</vt:lpstr>
      <vt:lpstr>'#65-Holy Cross Germantown'!Print_Area</vt:lpstr>
      <vt:lpstr>'#6-UM Harford Memorial'!Print_Area</vt:lpstr>
      <vt:lpstr>'#8-Mercy'!Print_Area</vt:lpstr>
      <vt:lpstr>'#9-Johns Hopkins'!Print_Area</vt:lpstr>
      <vt:lpstr>'Attachment II-All Hospitals'!Print_Area</vt:lpstr>
      <vt:lpstr>'CB Table 1'!Print_Area</vt:lpstr>
      <vt:lpstr>Charts!Print_Area</vt:lpstr>
      <vt:lpstr>'DME_NSPI-all'!Print_Area</vt:lpstr>
      <vt:lpstr>'Rate Support-Attachment I'!Print_Area</vt:lpstr>
      <vt:lpstr>'#10-UM Shore Health Dorchester'!Print_Titles</vt:lpstr>
      <vt:lpstr>'#30-UM Shore Health Chestertown'!Print_Titles</vt:lpstr>
      <vt:lpstr>'#37-UM Shore Health Easton'!Print_Titles</vt:lpstr>
      <vt:lpstr>'Attachment III-All'!Print_Titles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2017 Hospital Community Benefit Report Financial Data</dc:title>
  <dc:creator>Preferred Customer</dc:creator>
  <cp:lastModifiedBy>Amanda Vaughan</cp:lastModifiedBy>
  <cp:lastPrinted>2016-10-11T20:44:07Z</cp:lastPrinted>
  <dcterms:created xsi:type="dcterms:W3CDTF">2003-01-20T15:08:29Z</dcterms:created>
  <dcterms:modified xsi:type="dcterms:W3CDTF">2018-05-08T17:59:32Z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