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filterPrivacy="1" codeName="ThisWorkbook" defaultThemeVersion="166925"/>
  <xr:revisionPtr revIDLastSave="0" documentId="8_{749D3F84-3928-44F8-BE38-F7C15947DF5D}" xr6:coauthVersionLast="47" xr6:coauthVersionMax="47" xr10:uidLastSave="{00000000-0000-0000-0000-000000000000}"/>
  <bookViews>
    <workbookView xWindow="-96" yWindow="-96" windowWidth="23232" windowHeight="13872" tabRatio="920" xr2:uid="{B725BAA1-F175-4D2C-B458-93A8509AA112}"/>
  </bookViews>
  <sheets>
    <sheet name="DME_NSPI-all" sheetId="2" r:id="rId1"/>
    <sheet name="Charity in Rates" sheetId="3" r:id="rId2"/>
    <sheet name="Figures" sheetId="4" r:id="rId3"/>
    <sheet name="CB Table 1" sheetId="5" r:id="rId4"/>
    <sheet name="Rate Support-Attachment I" sheetId="6" r:id="rId5"/>
    <sheet name="Attachment II-All Hospitals" sheetId="7" r:id="rId6"/>
    <sheet name="Attachment III-All" sheetId="8" r:id="rId7"/>
    <sheet name="Attachment III-All ReportFormat" sheetId="62" r:id="rId8"/>
    <sheet name="#1-Meritus" sheetId="9" r:id="rId9"/>
    <sheet name="#2-UMMC" sheetId="10" r:id="rId10"/>
    <sheet name="#3-UM Capital" sheetId="11" r:id="rId11"/>
    <sheet name="#4-Holy Cross Hospital" sheetId="12" r:id="rId12"/>
    <sheet name="#5-Frederick Memorial Hospital" sheetId="13" r:id="rId13"/>
    <sheet name="#6-UM Harford Memorial" sheetId="14" r:id="rId14"/>
    <sheet name="#8-Mercy" sheetId="15" r:id="rId15"/>
    <sheet name="#9-Johns Hopkins" sheetId="16" r:id="rId16"/>
    <sheet name="#10-UM Shore Health Dorchester" sheetId="17" r:id="rId17"/>
    <sheet name="#11-St. Agnes Hospital" sheetId="18" r:id="rId18"/>
    <sheet name="#12-Sinai" sheetId="19" r:id="rId19"/>
    <sheet name="#13-Grace Medical" sheetId="20" r:id="rId20"/>
    <sheet name="#15-MedStar Franklin Square" sheetId="21" r:id="rId21"/>
    <sheet name="#16-Adventist White Oak" sheetId="22" r:id="rId22"/>
    <sheet name="#17-Garrett Regional" sheetId="23" r:id="rId23"/>
    <sheet name="#18-MedStar Montgomery General" sheetId="24" r:id="rId24"/>
    <sheet name="#19-Peninsula Regional" sheetId="25" r:id="rId25"/>
    <sheet name="#22-Suburban" sheetId="26" r:id="rId26"/>
    <sheet name="#23-AAMC" sheetId="27" r:id="rId27"/>
    <sheet name="#24-MedStar Union Memorial" sheetId="28" r:id="rId28"/>
    <sheet name="#27-UPMC Western Maryland" sheetId="29" r:id="rId29"/>
    <sheet name="#28-MedStar St. Marys" sheetId="30" r:id="rId30"/>
    <sheet name="#29-JH Bayview" sheetId="31" r:id="rId31"/>
    <sheet name="#30-UM Shore Chester" sheetId="32" r:id="rId32"/>
    <sheet name="#32-ChristianaCare Union" sheetId="33" r:id="rId33"/>
    <sheet name="#33-Carroll Hospital Center" sheetId="34" r:id="rId34"/>
    <sheet name="#34-MedStar Harbor Hospital" sheetId="35" r:id="rId35"/>
    <sheet name="#35-UM Charles Regional" sheetId="36" r:id="rId36"/>
    <sheet name="#37-UM Shore Health Easton" sheetId="37" r:id="rId37"/>
    <sheet name="#38-UM Midtown" sheetId="38" r:id="rId38"/>
    <sheet name="#39-CalvertHealth" sheetId="39" r:id="rId39"/>
    <sheet name="#40-Lifebridge Northwest" sheetId="40" r:id="rId40"/>
    <sheet name="#43-UM BWMC" sheetId="41" r:id="rId41"/>
    <sheet name="#44-GBMC" sheetId="43" r:id="rId42"/>
    <sheet name="#45-McCready" sheetId="42" r:id="rId43"/>
    <sheet name="#48-Howard County" sheetId="44" r:id="rId44"/>
    <sheet name="#49-UM Upper Chesapeake Medical" sheetId="45" r:id="rId45"/>
    <sheet name="#51-Doctors Community Hospital" sheetId="46" r:id="rId46"/>
    <sheet name="#57-Adventist Shady Grove" sheetId="47" r:id="rId47"/>
    <sheet name="#58-UM ROI" sheetId="49" r:id="rId48"/>
    <sheet name="#60-Adventist Fort Washington" sheetId="50" r:id="rId49"/>
    <sheet name="#61-Atlantic General" sheetId="51" r:id="rId50"/>
    <sheet name="#62-MedStar Southern Maryland" sheetId="52" r:id="rId51"/>
    <sheet name="#63-UM St Joseph" sheetId="53" r:id="rId52"/>
    <sheet name="#64-Levindale" sheetId="54" r:id="rId53"/>
    <sheet name="#65-Holy Cross Germantown" sheetId="55" r:id="rId54"/>
    <sheet name="#2004-MedStar Good Samaritan" sheetId="59" r:id="rId55"/>
    <sheet name="#3029-Adventist Rehab" sheetId="56" r:id="rId56"/>
    <sheet name="#4000-Sheppard Pratt" sheetId="58" r:id="rId57"/>
    <sheet name="#4020-McNew Family Medical" sheetId="60" r:id="rId58"/>
    <sheet name="#5034-Mt Washington Pediatric" sheetId="57" r:id="rId59"/>
  </sheets>
  <externalReferences>
    <externalReference r:id="rId60"/>
  </externalReferences>
  <definedNames>
    <definedName name="_xlnm._FilterDatabase" localSheetId="5" hidden="1">'Attachment II-All Hospitals'!$A$2:$I$2</definedName>
    <definedName name="_xlnm._FilterDatabase" localSheetId="2" hidden="1">Figures!$A$2:$C$11</definedName>
    <definedName name="H1_Depr_I">'[1]H1_H4 Input'!$A$1</definedName>
    <definedName name="_xlnm.Print_Area" localSheetId="16">'#10-UM Shore Health Dorchester'!$A$1:$L$156</definedName>
    <definedName name="_xlnm.Print_Area" localSheetId="17">'#11-St. Agnes Hospital'!$A$1:$L$156</definedName>
    <definedName name="_xlnm.Print_Area" localSheetId="18">'#12-Sinai'!$A$1:$L$156</definedName>
    <definedName name="_xlnm.Print_Area" localSheetId="19">'#13-Grace Medical'!$A$1:$L$156</definedName>
    <definedName name="_xlnm.Print_Area" localSheetId="20">'#15-MedStar Franklin Square'!$A$1:$L$156</definedName>
    <definedName name="_xlnm.Print_Area" localSheetId="21">'#16-Adventist White Oak'!$A$1:$L$156</definedName>
    <definedName name="_xlnm.Print_Area" localSheetId="22">'#17-Garrett Regional'!$A$1:$L$156</definedName>
    <definedName name="_xlnm.Print_Area" localSheetId="23">'#18-MedStar Montgomery General'!$A$1:$L$156</definedName>
    <definedName name="_xlnm.Print_Area" localSheetId="24">'#19-Peninsula Regional'!$A$1:$L$156</definedName>
    <definedName name="_xlnm.Print_Area" localSheetId="8">'#1-Meritus'!$A$1:$L$156</definedName>
    <definedName name="_xlnm.Print_Area" localSheetId="25">'#22-Suburban'!$A$1:$H$156</definedName>
    <definedName name="_xlnm.Print_Area" localSheetId="9">'#2-UMMC'!$A$1:$L$156</definedName>
    <definedName name="_xlnm.Print_Area" localSheetId="10">'#3-UM Capital'!$A$1:$L$156</definedName>
    <definedName name="_xlnm.Print_Area" localSheetId="11">'#4-Holy Cross Hospital'!$A$1:$L$156</definedName>
    <definedName name="_xlnm.Print_Area" localSheetId="12">'#5-Frederick Memorial Hospital'!$A$1:$L$156</definedName>
    <definedName name="_xlnm.Print_Area" localSheetId="13">'#6-UM Harford Memorial'!$A$1:$L$156</definedName>
    <definedName name="_xlnm.Print_Area" localSheetId="14">'#8-Mercy'!$A$1:$L$156</definedName>
    <definedName name="_xlnm.Print_Area" localSheetId="15">'#9-Johns Hopkins'!$A$1:$L$156</definedName>
    <definedName name="_xlnm.Print_Area" localSheetId="5">'Attachment II-All Hospitals'!$A$1:$K$54</definedName>
    <definedName name="_xlnm.Print_Area" localSheetId="3">'CB Table 1'!$A$1:$G$13</definedName>
    <definedName name="_xlnm.Print_Area" localSheetId="0">'DME_NSPI-all'!$B$2:$F$54</definedName>
    <definedName name="_xlnm.Print_Area" localSheetId="2">Figures!$A$1:$Q$93</definedName>
    <definedName name="_xlnm.Print_Area" localSheetId="4">'Rate Support-Attachment I'!$A$1:$H$54</definedName>
    <definedName name="_xlnm.Print_Titles" localSheetId="6">'Attachment III-All'!$1:$1</definedName>
    <definedName name="SAPBEXdnldView" hidden="1">"45B0DMIFL4DG42VFK6L1FXXXP"</definedName>
    <definedName name="SAPBEXsysID" hidden="1">"BWP"</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53" i="7" l="1"/>
  <c r="F53" i="7"/>
  <c r="D53" i="7"/>
  <c r="G53" i="7" s="1"/>
  <c r="H53" i="7" s="1"/>
  <c r="C53" i="7"/>
  <c r="I52" i="7"/>
  <c r="F52" i="7"/>
  <c r="D52" i="7"/>
  <c r="G52" i="7" s="1"/>
  <c r="H52" i="7" s="1"/>
  <c r="C52" i="7"/>
  <c r="I51" i="7"/>
  <c r="H51" i="7"/>
  <c r="G51" i="7"/>
  <c r="F51" i="7"/>
  <c r="D51" i="7"/>
  <c r="E51" i="7" s="1"/>
  <c r="C51" i="7"/>
  <c r="I50" i="7"/>
  <c r="G50" i="7"/>
  <c r="H50" i="7" s="1"/>
  <c r="F50" i="7"/>
  <c r="E50" i="7"/>
  <c r="D50" i="7"/>
  <c r="C50" i="7"/>
  <c r="I49" i="7"/>
  <c r="F49" i="7"/>
  <c r="D49" i="7"/>
  <c r="E49" i="7" s="1"/>
  <c r="C49" i="7"/>
  <c r="I48" i="7"/>
  <c r="G48" i="7"/>
  <c r="H48" i="7" s="1"/>
  <c r="F48" i="7"/>
  <c r="E48" i="7"/>
  <c r="D48" i="7"/>
  <c r="C48" i="7"/>
  <c r="I47" i="7"/>
  <c r="F47" i="7"/>
  <c r="D47" i="7"/>
  <c r="G47" i="7" s="1"/>
  <c r="H47" i="7" s="1"/>
  <c r="C47" i="7"/>
  <c r="I46" i="7"/>
  <c r="F46" i="7"/>
  <c r="G46" i="7" s="1"/>
  <c r="H46" i="7" s="1"/>
  <c r="E46" i="7"/>
  <c r="D46" i="7"/>
  <c r="C46" i="7"/>
  <c r="I45" i="7"/>
  <c r="F45" i="7"/>
  <c r="D45" i="7"/>
  <c r="G45" i="7" s="1"/>
  <c r="H45" i="7" s="1"/>
  <c r="C45" i="7"/>
  <c r="I44" i="7"/>
  <c r="F44" i="7"/>
  <c r="D44" i="7"/>
  <c r="G44" i="7" s="1"/>
  <c r="H44" i="7" s="1"/>
  <c r="C44" i="7"/>
  <c r="I43" i="7"/>
  <c r="H43" i="7"/>
  <c r="G43" i="7"/>
  <c r="F43" i="7"/>
  <c r="D43" i="7"/>
  <c r="E43" i="7" s="1"/>
  <c r="C43" i="7"/>
  <c r="I42" i="7"/>
  <c r="G42" i="7"/>
  <c r="H42" i="7" s="1"/>
  <c r="F42" i="7"/>
  <c r="E42" i="7"/>
  <c r="D42" i="7"/>
  <c r="C42" i="7"/>
  <c r="I41" i="7"/>
  <c r="F41" i="7"/>
  <c r="D41" i="7"/>
  <c r="E41" i="7" s="1"/>
  <c r="C41" i="7"/>
  <c r="I40" i="7"/>
  <c r="G40" i="7"/>
  <c r="H40" i="7" s="1"/>
  <c r="F40" i="7"/>
  <c r="E40" i="7"/>
  <c r="D40" i="7"/>
  <c r="C40" i="7"/>
  <c r="I39" i="7"/>
  <c r="F39" i="7"/>
  <c r="D39" i="7"/>
  <c r="G39" i="7" s="1"/>
  <c r="H39" i="7" s="1"/>
  <c r="C39" i="7"/>
  <c r="I38" i="7"/>
  <c r="F38" i="7"/>
  <c r="G38" i="7" s="1"/>
  <c r="H38" i="7" s="1"/>
  <c r="E38" i="7"/>
  <c r="D38" i="7"/>
  <c r="C38" i="7"/>
  <c r="I37" i="7"/>
  <c r="F37" i="7"/>
  <c r="D37" i="7"/>
  <c r="G37" i="7" s="1"/>
  <c r="H37" i="7" s="1"/>
  <c r="C37" i="7"/>
  <c r="I36" i="7"/>
  <c r="G36" i="7"/>
  <c r="H36" i="7" s="1"/>
  <c r="F36" i="7"/>
  <c r="D36" i="7"/>
  <c r="E36" i="7" s="1"/>
  <c r="C36" i="7"/>
  <c r="I35" i="7"/>
  <c r="F35" i="7"/>
  <c r="G35" i="7" s="1"/>
  <c r="H35" i="7" s="1"/>
  <c r="D35" i="7"/>
  <c r="E35" i="7" s="1"/>
  <c r="C35" i="7"/>
  <c r="I34" i="7"/>
  <c r="G34" i="7"/>
  <c r="H34" i="7" s="1"/>
  <c r="F34" i="7"/>
  <c r="E34" i="7"/>
  <c r="D34" i="7"/>
  <c r="C34" i="7"/>
  <c r="I33" i="7"/>
  <c r="F33" i="7"/>
  <c r="D33" i="7"/>
  <c r="E33" i="7" s="1"/>
  <c r="C33" i="7"/>
  <c r="I32" i="7"/>
  <c r="G32" i="7"/>
  <c r="H32" i="7" s="1"/>
  <c r="F32" i="7"/>
  <c r="E32" i="7"/>
  <c r="D32" i="7"/>
  <c r="C32" i="7"/>
  <c r="I31" i="7"/>
  <c r="F31" i="7"/>
  <c r="D31" i="7"/>
  <c r="G31" i="7" s="1"/>
  <c r="H31" i="7" s="1"/>
  <c r="C31" i="7"/>
  <c r="I30" i="7"/>
  <c r="F30" i="7"/>
  <c r="G30" i="7" s="1"/>
  <c r="H30" i="7" s="1"/>
  <c r="E30" i="7"/>
  <c r="D30" i="7"/>
  <c r="C30" i="7"/>
  <c r="I29" i="7"/>
  <c r="F29" i="7"/>
  <c r="D29" i="7"/>
  <c r="G29" i="7" s="1"/>
  <c r="H29" i="7" s="1"/>
  <c r="C29" i="7"/>
  <c r="I28" i="7"/>
  <c r="G28" i="7"/>
  <c r="H28" i="7" s="1"/>
  <c r="F28" i="7"/>
  <c r="D28" i="7"/>
  <c r="E28" i="7" s="1"/>
  <c r="C28" i="7"/>
  <c r="I27" i="7"/>
  <c r="F27" i="7"/>
  <c r="G27" i="7" s="1"/>
  <c r="H27" i="7" s="1"/>
  <c r="D27" i="7"/>
  <c r="E27" i="7" s="1"/>
  <c r="C27" i="7"/>
  <c r="I26" i="7"/>
  <c r="G26" i="7"/>
  <c r="H26" i="7" s="1"/>
  <c r="F26" i="7"/>
  <c r="E26" i="7"/>
  <c r="D26" i="7"/>
  <c r="C26" i="7"/>
  <c r="I25" i="7"/>
  <c r="F25" i="7"/>
  <c r="D25" i="7"/>
  <c r="E25" i="7" s="1"/>
  <c r="C25" i="7"/>
  <c r="I24" i="7"/>
  <c r="G24" i="7"/>
  <c r="H24" i="7" s="1"/>
  <c r="F24" i="7"/>
  <c r="E24" i="7"/>
  <c r="D24" i="7"/>
  <c r="C24" i="7"/>
  <c r="I23" i="7"/>
  <c r="F23" i="7"/>
  <c r="D23" i="7"/>
  <c r="G23" i="7" s="1"/>
  <c r="H23" i="7" s="1"/>
  <c r="C23" i="7"/>
  <c r="I22" i="7"/>
  <c r="F22" i="7"/>
  <c r="E22" i="7"/>
  <c r="D22" i="7"/>
  <c r="G22" i="7" s="1"/>
  <c r="H22" i="7" s="1"/>
  <c r="C22" i="7"/>
  <c r="I21" i="7"/>
  <c r="F21" i="7"/>
  <c r="D21" i="7"/>
  <c r="G21" i="7" s="1"/>
  <c r="H21" i="7" s="1"/>
  <c r="C21" i="7"/>
  <c r="I20" i="7"/>
  <c r="G20" i="7"/>
  <c r="H20" i="7" s="1"/>
  <c r="F20" i="7"/>
  <c r="D20" i="7"/>
  <c r="E20" i="7" s="1"/>
  <c r="C20" i="7"/>
  <c r="I19" i="7"/>
  <c r="F19" i="7"/>
  <c r="G19" i="7" s="1"/>
  <c r="H19" i="7" s="1"/>
  <c r="D19" i="7"/>
  <c r="E19" i="7" s="1"/>
  <c r="C19" i="7"/>
  <c r="I18" i="7"/>
  <c r="G18" i="7"/>
  <c r="H18" i="7" s="1"/>
  <c r="F18" i="7"/>
  <c r="E18" i="7"/>
  <c r="D18" i="7"/>
  <c r="C18" i="7"/>
  <c r="I17" i="7"/>
  <c r="F17" i="7"/>
  <c r="D17" i="7"/>
  <c r="E17" i="7" s="1"/>
  <c r="C17" i="7"/>
  <c r="I16" i="7"/>
  <c r="G16" i="7"/>
  <c r="H16" i="7" s="1"/>
  <c r="F16" i="7"/>
  <c r="E16" i="7"/>
  <c r="D16" i="7"/>
  <c r="C16" i="7"/>
  <c r="I15" i="7"/>
  <c r="F15" i="7"/>
  <c r="D15" i="7"/>
  <c r="G15" i="7" s="1"/>
  <c r="H15" i="7" s="1"/>
  <c r="C15" i="7"/>
  <c r="I14" i="7"/>
  <c r="F14" i="7"/>
  <c r="D14" i="7"/>
  <c r="G14" i="7" s="1"/>
  <c r="H14" i="7" s="1"/>
  <c r="C14" i="7"/>
  <c r="E14" i="7" s="1"/>
  <c r="I13" i="7"/>
  <c r="F13" i="7"/>
  <c r="D13" i="7"/>
  <c r="G13" i="7" s="1"/>
  <c r="H13" i="7" s="1"/>
  <c r="C13" i="7"/>
  <c r="I12" i="7"/>
  <c r="G12" i="7"/>
  <c r="H12" i="7" s="1"/>
  <c r="F12" i="7"/>
  <c r="D12" i="7"/>
  <c r="E12" i="7" s="1"/>
  <c r="C12" i="7"/>
  <c r="I11" i="7"/>
  <c r="F11" i="7"/>
  <c r="G11" i="7" s="1"/>
  <c r="H11" i="7" s="1"/>
  <c r="D11" i="7"/>
  <c r="E11" i="7" s="1"/>
  <c r="C11" i="7"/>
  <c r="I10" i="7"/>
  <c r="G10" i="7"/>
  <c r="H10" i="7" s="1"/>
  <c r="F10" i="7"/>
  <c r="E10" i="7"/>
  <c r="D10" i="7"/>
  <c r="C10" i="7"/>
  <c r="I9" i="7"/>
  <c r="F9" i="7"/>
  <c r="D9" i="7"/>
  <c r="E9" i="7" s="1"/>
  <c r="C9" i="7"/>
  <c r="I8" i="7"/>
  <c r="G8" i="7"/>
  <c r="H8" i="7" s="1"/>
  <c r="F8" i="7"/>
  <c r="E8" i="7"/>
  <c r="D8" i="7"/>
  <c r="C8" i="7"/>
  <c r="I7" i="7"/>
  <c r="F7" i="7"/>
  <c r="D7" i="7"/>
  <c r="G7" i="7" s="1"/>
  <c r="H7" i="7" s="1"/>
  <c r="C7" i="7"/>
  <c r="I6" i="7"/>
  <c r="F6" i="7"/>
  <c r="G6" i="7" s="1"/>
  <c r="H6" i="7" s="1"/>
  <c r="D6" i="7"/>
  <c r="C6" i="7"/>
  <c r="E6" i="7" s="1"/>
  <c r="I5" i="7"/>
  <c r="F5" i="7"/>
  <c r="D5" i="7"/>
  <c r="G5" i="7" s="1"/>
  <c r="H5" i="7" s="1"/>
  <c r="C5" i="7"/>
  <c r="I4" i="7"/>
  <c r="G4" i="7"/>
  <c r="H4" i="7" s="1"/>
  <c r="F4" i="7"/>
  <c r="D4" i="7"/>
  <c r="E4" i="7" s="1"/>
  <c r="C4" i="7"/>
  <c r="I3" i="7"/>
  <c r="F3" i="7"/>
  <c r="G3" i="7" s="1"/>
  <c r="H3" i="7" s="1"/>
  <c r="D3" i="7"/>
  <c r="E3" i="7" s="1"/>
  <c r="C3" i="7"/>
  <c r="D155" i="25"/>
  <c r="D154" i="25"/>
  <c r="D150" i="25"/>
  <c r="G150" i="25"/>
  <c r="G152" i="25" s="1"/>
  <c r="H150" i="25"/>
  <c r="E152" i="25"/>
  <c r="F152" i="25"/>
  <c r="H152" i="25"/>
  <c r="D152" i="25"/>
  <c r="E150" i="25"/>
  <c r="F150" i="25"/>
  <c r="E150" i="59"/>
  <c r="F150" i="59"/>
  <c r="G150" i="59"/>
  <c r="H150" i="59"/>
  <c r="D150" i="59"/>
  <c r="E150" i="52"/>
  <c r="F150" i="52"/>
  <c r="G150" i="52"/>
  <c r="H150" i="52"/>
  <c r="D150" i="52"/>
  <c r="E150" i="35"/>
  <c r="F150" i="35"/>
  <c r="G150" i="35"/>
  <c r="H150" i="35"/>
  <c r="D150" i="35"/>
  <c r="E150" i="30"/>
  <c r="F150" i="30"/>
  <c r="G150" i="30"/>
  <c r="H150" i="30"/>
  <c r="D150" i="30"/>
  <c r="E150" i="28"/>
  <c r="F150" i="28"/>
  <c r="G150" i="28"/>
  <c r="H150" i="28"/>
  <c r="D150" i="28"/>
  <c r="E150" i="24"/>
  <c r="F150" i="24"/>
  <c r="G150" i="24"/>
  <c r="H150" i="24"/>
  <c r="D150" i="24"/>
  <c r="E150" i="21"/>
  <c r="F150" i="21"/>
  <c r="G150" i="21"/>
  <c r="H150" i="21"/>
  <c r="D150" i="21"/>
  <c r="E7" i="7" l="1"/>
  <c r="G9" i="7"/>
  <c r="H9" i="7" s="1"/>
  <c r="E15" i="7"/>
  <c r="G17" i="7"/>
  <c r="H17" i="7" s="1"/>
  <c r="E23" i="7"/>
  <c r="G25" i="7"/>
  <c r="H25" i="7" s="1"/>
  <c r="E31" i="7"/>
  <c r="G33" i="7"/>
  <c r="H33" i="7" s="1"/>
  <c r="E39" i="7"/>
  <c r="G41" i="7"/>
  <c r="H41" i="7" s="1"/>
  <c r="E47" i="7"/>
  <c r="G49" i="7"/>
  <c r="H49" i="7" s="1"/>
  <c r="E5" i="7"/>
  <c r="E29" i="7"/>
  <c r="E37" i="7"/>
  <c r="E45" i="7"/>
  <c r="E53" i="7"/>
  <c r="E44" i="7"/>
  <c r="E52" i="7"/>
  <c r="E13" i="7"/>
  <c r="E21" i="7"/>
  <c r="F4" i="2"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3" i="2"/>
  <c r="H4" i="6"/>
  <c r="H6" i="6"/>
  <c r="H7" i="6"/>
  <c r="H8" i="6"/>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3" i="6"/>
  <c r="F54" i="6"/>
  <c r="F43" i="4" s="1"/>
  <c r="F32" i="4" s="1"/>
  <c r="F5" i="2"/>
  <c r="E54" i="2" l="1"/>
  <c r="H5" i="6"/>
  <c r="E54" i="6" l="1"/>
  <c r="E43" i="4" s="1"/>
  <c r="E32" i="4" s="1"/>
  <c r="H18" i="59" l="1"/>
  <c r="H18" i="54"/>
  <c r="H18" i="53"/>
  <c r="H18" i="52"/>
  <c r="H18" i="40"/>
  <c r="H18" i="39"/>
  <c r="H18" i="38"/>
  <c r="H18" i="35"/>
  <c r="H18" i="34"/>
  <c r="H18" i="31"/>
  <c r="H18" i="30"/>
  <c r="H18" i="28"/>
  <c r="H18" i="25"/>
  <c r="H18" i="24"/>
  <c r="H18" i="23"/>
  <c r="H18" i="21"/>
  <c r="H80" i="21"/>
  <c r="H79" i="21"/>
  <c r="H78" i="21"/>
  <c r="H77" i="21"/>
  <c r="H82" i="21" s="1"/>
  <c r="H145" i="21" s="1"/>
  <c r="H152" i="21" s="1"/>
  <c r="H145" i="35"/>
  <c r="H152" i="35" s="1"/>
  <c r="H82" i="35"/>
  <c r="H80" i="35"/>
  <c r="H79" i="35"/>
  <c r="H78" i="35"/>
  <c r="H77" i="35"/>
  <c r="G150" i="43" l="1"/>
  <c r="F150" i="43"/>
  <c r="E150" i="43"/>
  <c r="D150" i="43"/>
  <c r="F149" i="43"/>
  <c r="D147" i="43"/>
  <c r="G145" i="43"/>
  <c r="F145" i="43"/>
  <c r="E145" i="43"/>
  <c r="D144" i="43"/>
  <c r="F142" i="43"/>
  <c r="E142" i="43"/>
  <c r="G137" i="43"/>
  <c r="G149" i="43" s="1"/>
  <c r="F137" i="43"/>
  <c r="E137" i="43"/>
  <c r="E149" i="43" s="1"/>
  <c r="D137" i="43"/>
  <c r="D149" i="43" s="1"/>
  <c r="H135" i="43"/>
  <c r="H134" i="43"/>
  <c r="H133" i="43"/>
  <c r="H132" i="43"/>
  <c r="H131" i="43"/>
  <c r="H137" i="43" s="1"/>
  <c r="H149" i="43" s="1"/>
  <c r="E119" i="43"/>
  <c r="H111" i="43"/>
  <c r="H148" i="43" s="1"/>
  <c r="G108" i="43"/>
  <c r="G147" i="43" s="1"/>
  <c r="F108" i="43"/>
  <c r="F147" i="43" s="1"/>
  <c r="D108" i="43"/>
  <c r="H106" i="43"/>
  <c r="H105" i="43"/>
  <c r="H104" i="43"/>
  <c r="E103" i="43"/>
  <c r="H103" i="43" s="1"/>
  <c r="E102" i="43"/>
  <c r="H102" i="43" s="1"/>
  <c r="H108" i="43" s="1"/>
  <c r="H147" i="43" s="1"/>
  <c r="G98" i="43"/>
  <c r="G146" i="43" s="1"/>
  <c r="F98" i="43"/>
  <c r="F146" i="43" s="1"/>
  <c r="D98" i="43"/>
  <c r="D146" i="43" s="1"/>
  <c r="H96" i="43"/>
  <c r="H95" i="43"/>
  <c r="H94" i="43"/>
  <c r="E93" i="43"/>
  <c r="H93" i="43" s="1"/>
  <c r="E92" i="43"/>
  <c r="H92" i="43" s="1"/>
  <c r="H91" i="43"/>
  <c r="E90" i="43"/>
  <c r="E98" i="43" s="1"/>
  <c r="E146" i="43" s="1"/>
  <c r="H89" i="43"/>
  <c r="H88" i="43"/>
  <c r="H87" i="43"/>
  <c r="H86" i="43"/>
  <c r="G82" i="43"/>
  <c r="F82" i="43"/>
  <c r="D82" i="43"/>
  <c r="D145" i="43" s="1"/>
  <c r="H80" i="43"/>
  <c r="H79" i="43"/>
  <c r="H78" i="43"/>
  <c r="H77" i="43"/>
  <c r="H82" i="43" s="1"/>
  <c r="H145" i="43" s="1"/>
  <c r="G74" i="43"/>
  <c r="G144" i="43" s="1"/>
  <c r="F74" i="43"/>
  <c r="F144" i="43" s="1"/>
  <c r="E74" i="43"/>
  <c r="E144" i="43" s="1"/>
  <c r="D74" i="43"/>
  <c r="H72" i="43"/>
  <c r="H71" i="43"/>
  <c r="H70" i="43"/>
  <c r="H69" i="43"/>
  <c r="H68" i="43"/>
  <c r="H74" i="43" s="1"/>
  <c r="H144" i="43" s="1"/>
  <c r="G64" i="43"/>
  <c r="G143" i="43" s="1"/>
  <c r="F64" i="43"/>
  <c r="F143" i="43" s="1"/>
  <c r="E64" i="43"/>
  <c r="E143" i="43" s="1"/>
  <c r="D64" i="43"/>
  <c r="D143" i="43" s="1"/>
  <c r="H62" i="43"/>
  <c r="H61" i="43"/>
  <c r="H60" i="43"/>
  <c r="H59" i="43"/>
  <c r="H58" i="43"/>
  <c r="H57" i="43"/>
  <c r="H56" i="43"/>
  <c r="H55" i="43"/>
  <c r="H54" i="43"/>
  <c r="H53" i="43"/>
  <c r="H64" i="43" s="1"/>
  <c r="H143" i="43" s="1"/>
  <c r="G49" i="43"/>
  <c r="G142" i="43" s="1"/>
  <c r="F49" i="43"/>
  <c r="E49" i="43"/>
  <c r="D49" i="43"/>
  <c r="D142" i="43" s="1"/>
  <c r="H47" i="43"/>
  <c r="H46" i="43"/>
  <c r="H45" i="43"/>
  <c r="H44" i="43"/>
  <c r="H43" i="43"/>
  <c r="H42" i="43"/>
  <c r="H41" i="43"/>
  <c r="H40" i="43"/>
  <c r="H49" i="43" s="1"/>
  <c r="H142" i="43" s="1"/>
  <c r="G36" i="43"/>
  <c r="G141" i="43" s="1"/>
  <c r="F36" i="43"/>
  <c r="F141" i="43" s="1"/>
  <c r="D36" i="43"/>
  <c r="D141" i="43" s="1"/>
  <c r="H34" i="43"/>
  <c r="H33" i="43"/>
  <c r="H32" i="43"/>
  <c r="H31" i="43"/>
  <c r="E30" i="43"/>
  <c r="H30" i="43" s="1"/>
  <c r="E29" i="43"/>
  <c r="H29" i="43" s="1"/>
  <c r="E28" i="43"/>
  <c r="H28" i="43" s="1"/>
  <c r="E27" i="43"/>
  <c r="H27" i="43" s="1"/>
  <c r="E26" i="43"/>
  <c r="H26" i="43" s="1"/>
  <c r="H25" i="43"/>
  <c r="H24" i="43"/>
  <c r="H23" i="43"/>
  <c r="E22" i="43"/>
  <c r="E36" i="43" s="1"/>
  <c r="E141" i="43" s="1"/>
  <c r="H21" i="43"/>
  <c r="H18" i="43"/>
  <c r="H150" i="43" s="1"/>
  <c r="G152" i="43" l="1"/>
  <c r="D152" i="43"/>
  <c r="F152" i="43"/>
  <c r="E108" i="43"/>
  <c r="E147" i="43" s="1"/>
  <c r="E152" i="43" s="1"/>
  <c r="H90" i="43"/>
  <c r="H98" i="43" s="1"/>
  <c r="H146" i="43" s="1"/>
  <c r="H22" i="43"/>
  <c r="H36" i="43" s="1"/>
  <c r="H141" i="43" s="1"/>
  <c r="H152" i="43" s="1"/>
  <c r="D155" i="43" l="1"/>
  <c r="D154" i="43"/>
  <c r="H79" i="41" l="1"/>
  <c r="G150" i="10"/>
  <c r="F150" i="10"/>
  <c r="E150" i="10"/>
  <c r="D150" i="10"/>
  <c r="G149" i="10"/>
  <c r="D149" i="10"/>
  <c r="E147" i="10"/>
  <c r="G146" i="10"/>
  <c r="G145" i="10"/>
  <c r="E145" i="10"/>
  <c r="D144" i="10"/>
  <c r="F143" i="10"/>
  <c r="D142" i="10"/>
  <c r="G137" i="10"/>
  <c r="F137" i="10"/>
  <c r="F149" i="10" s="1"/>
  <c r="E137" i="10"/>
  <c r="E149" i="10" s="1"/>
  <c r="D137" i="10"/>
  <c r="H135" i="10"/>
  <c r="H134" i="10"/>
  <c r="H133" i="10"/>
  <c r="H132" i="10"/>
  <c r="H137" i="10" s="1"/>
  <c r="H149" i="10" s="1"/>
  <c r="H131" i="10"/>
  <c r="E123" i="10"/>
  <c r="E127" i="10" s="1"/>
  <c r="E119" i="10"/>
  <c r="H111" i="10"/>
  <c r="H148" i="10" s="1"/>
  <c r="G108" i="10"/>
  <c r="G147" i="10" s="1"/>
  <c r="F108" i="10"/>
  <c r="F147" i="10" s="1"/>
  <c r="E108" i="10"/>
  <c r="D108" i="10"/>
  <c r="D147" i="10" s="1"/>
  <c r="H106" i="10"/>
  <c r="H105" i="10"/>
  <c r="H104" i="10"/>
  <c r="H103" i="10"/>
  <c r="H102" i="10"/>
  <c r="H108" i="10" s="1"/>
  <c r="H147" i="10" s="1"/>
  <c r="G98" i="10"/>
  <c r="F98" i="10"/>
  <c r="F146" i="10" s="1"/>
  <c r="E98" i="10"/>
  <c r="E146" i="10" s="1"/>
  <c r="D98" i="10"/>
  <c r="D146" i="10" s="1"/>
  <c r="H96" i="10"/>
  <c r="H95" i="10"/>
  <c r="H94" i="10"/>
  <c r="H93" i="10"/>
  <c r="H92" i="10"/>
  <c r="H91" i="10"/>
  <c r="H90" i="10"/>
  <c r="H98" i="10" s="1"/>
  <c r="H146" i="10" s="1"/>
  <c r="H89" i="10"/>
  <c r="H88" i="10"/>
  <c r="H87" i="10"/>
  <c r="H86" i="10"/>
  <c r="H82" i="10"/>
  <c r="H145" i="10" s="1"/>
  <c r="G82" i="10"/>
  <c r="F82" i="10"/>
  <c r="F145" i="10" s="1"/>
  <c r="D82" i="10"/>
  <c r="D145" i="10" s="1"/>
  <c r="H80" i="10"/>
  <c r="H79" i="10"/>
  <c r="H78" i="10"/>
  <c r="H77" i="10"/>
  <c r="G74" i="10"/>
  <c r="G144" i="10" s="1"/>
  <c r="F74" i="10"/>
  <c r="F144" i="10" s="1"/>
  <c r="E74" i="10"/>
  <c r="E144" i="10" s="1"/>
  <c r="D74" i="10"/>
  <c r="H72" i="10"/>
  <c r="H71" i="10"/>
  <c r="H70" i="10"/>
  <c r="H69" i="10"/>
  <c r="H74" i="10" s="1"/>
  <c r="H144" i="10" s="1"/>
  <c r="H68" i="10"/>
  <c r="G64" i="10"/>
  <c r="G143" i="10" s="1"/>
  <c r="F64" i="10"/>
  <c r="E64" i="10"/>
  <c r="E143" i="10" s="1"/>
  <c r="D64" i="10"/>
  <c r="D143" i="10" s="1"/>
  <c r="H62" i="10"/>
  <c r="H61" i="10"/>
  <c r="H60" i="10"/>
  <c r="H59" i="10"/>
  <c r="H58" i="10"/>
  <c r="H64" i="10" s="1"/>
  <c r="H143" i="10" s="1"/>
  <c r="H57" i="10"/>
  <c r="H56" i="10"/>
  <c r="H55" i="10"/>
  <c r="H54" i="10"/>
  <c r="G49" i="10"/>
  <c r="G142" i="10" s="1"/>
  <c r="F49" i="10"/>
  <c r="F142" i="10" s="1"/>
  <c r="E49" i="10"/>
  <c r="E142" i="10" s="1"/>
  <c r="D49" i="10"/>
  <c r="H47" i="10"/>
  <c r="H46" i="10"/>
  <c r="H45" i="10"/>
  <c r="H44" i="10"/>
  <c r="H43" i="10"/>
  <c r="H42" i="10"/>
  <c r="H41" i="10"/>
  <c r="H49" i="10" s="1"/>
  <c r="H142" i="10" s="1"/>
  <c r="H40" i="10"/>
  <c r="G36" i="10"/>
  <c r="G141" i="10" s="1"/>
  <c r="F36" i="10"/>
  <c r="F141" i="10" s="1"/>
  <c r="E36" i="10"/>
  <c r="E141" i="10" s="1"/>
  <c r="D36" i="10"/>
  <c r="D141" i="10" s="1"/>
  <c r="H34" i="10"/>
  <c r="H33" i="10"/>
  <c r="H32" i="10"/>
  <c r="H31" i="10"/>
  <c r="H30" i="10"/>
  <c r="H29" i="10"/>
  <c r="H28" i="10"/>
  <c r="H27" i="10"/>
  <c r="H26" i="10"/>
  <c r="H25" i="10"/>
  <c r="H24" i="10"/>
  <c r="H23" i="10"/>
  <c r="H22" i="10"/>
  <c r="H21" i="10"/>
  <c r="H36" i="10" s="1"/>
  <c r="H141" i="10" s="1"/>
  <c r="H18" i="10"/>
  <c r="H150" i="10" s="1"/>
  <c r="D152" i="10" l="1"/>
  <c r="E152" i="10"/>
  <c r="H152" i="10"/>
  <c r="G152" i="10"/>
  <c r="F152" i="10"/>
  <c r="D154" i="10" l="1"/>
  <c r="D155" i="10"/>
  <c r="F99" i="8" l="1"/>
  <c r="G99" i="8"/>
  <c r="H99" i="8"/>
  <c r="F100" i="8"/>
  <c r="G100" i="8"/>
  <c r="H100" i="8"/>
  <c r="F101" i="8"/>
  <c r="G101" i="8"/>
  <c r="H101" i="8"/>
  <c r="F102" i="8"/>
  <c r="G102" i="8"/>
  <c r="H102" i="8"/>
  <c r="F103" i="8"/>
  <c r="G103" i="8"/>
  <c r="H103" i="8"/>
  <c r="E100" i="8"/>
  <c r="E101" i="8"/>
  <c r="E102" i="8"/>
  <c r="E103" i="8"/>
  <c r="E99" i="8"/>
  <c r="G83" i="8"/>
  <c r="H83" i="8"/>
  <c r="G84" i="8"/>
  <c r="H84" i="8"/>
  <c r="G85" i="8"/>
  <c r="H85" i="8"/>
  <c r="G86" i="8"/>
  <c r="H86" i="8"/>
  <c r="G87" i="8"/>
  <c r="H87" i="8"/>
  <c r="E84" i="8"/>
  <c r="E85" i="8"/>
  <c r="E86" i="8"/>
  <c r="E87" i="8"/>
  <c r="E83" i="8"/>
  <c r="G66" i="8"/>
  <c r="H66" i="8"/>
  <c r="G67" i="8"/>
  <c r="H67" i="8"/>
  <c r="G68" i="8"/>
  <c r="H68" i="8"/>
  <c r="G69" i="8"/>
  <c r="H69" i="8"/>
  <c r="G70" i="8"/>
  <c r="H70" i="8"/>
  <c r="G71" i="8"/>
  <c r="H71" i="8"/>
  <c r="G72" i="8"/>
  <c r="H72" i="8"/>
  <c r="G73" i="8"/>
  <c r="H73" i="8"/>
  <c r="F74" i="8"/>
  <c r="G74" i="8"/>
  <c r="H74" i="8"/>
  <c r="F75" i="8"/>
  <c r="G75" i="8"/>
  <c r="H75" i="8"/>
  <c r="F76" i="8"/>
  <c r="G76" i="8"/>
  <c r="H76" i="8"/>
  <c r="E67" i="8"/>
  <c r="E68" i="8"/>
  <c r="E69" i="8"/>
  <c r="E70" i="8"/>
  <c r="E71" i="8"/>
  <c r="E72" i="8"/>
  <c r="E73" i="8"/>
  <c r="E74" i="8"/>
  <c r="E75" i="8"/>
  <c r="E76" i="8"/>
  <c r="E66" i="8"/>
  <c r="F55" i="8"/>
  <c r="G55" i="8"/>
  <c r="H55" i="8"/>
  <c r="F56" i="8"/>
  <c r="G56" i="8"/>
  <c r="H56" i="8"/>
  <c r="F57" i="8"/>
  <c r="G57" i="8"/>
  <c r="H57" i="8"/>
  <c r="F58" i="8"/>
  <c r="G58" i="8"/>
  <c r="H58" i="8"/>
  <c r="E56" i="8"/>
  <c r="E57" i="8"/>
  <c r="E58" i="8"/>
  <c r="E55" i="8"/>
  <c r="G47" i="8"/>
  <c r="H47" i="8"/>
  <c r="G48" i="8"/>
  <c r="H48" i="8"/>
  <c r="G49" i="8"/>
  <c r="H49" i="8"/>
  <c r="E48" i="8"/>
  <c r="E49" i="8"/>
  <c r="E47" i="8"/>
  <c r="H30" i="8"/>
  <c r="H31" i="8"/>
  <c r="H32" i="8"/>
  <c r="H33" i="8"/>
  <c r="H34" i="8"/>
  <c r="H35" i="8"/>
  <c r="H36" i="8"/>
  <c r="H29" i="8"/>
  <c r="G30" i="8"/>
  <c r="G31" i="8"/>
  <c r="G32" i="8"/>
  <c r="G33" i="8"/>
  <c r="G34" i="8"/>
  <c r="G35" i="8"/>
  <c r="G36" i="8"/>
  <c r="G29" i="8"/>
  <c r="E30" i="8"/>
  <c r="E31" i="8"/>
  <c r="E32" i="8"/>
  <c r="E33" i="8"/>
  <c r="E34" i="8"/>
  <c r="E35" i="8"/>
  <c r="E36" i="8"/>
  <c r="E29" i="8"/>
  <c r="H10" i="8"/>
  <c r="H11" i="8"/>
  <c r="H12" i="8"/>
  <c r="H13" i="8"/>
  <c r="H14" i="8"/>
  <c r="H15" i="8"/>
  <c r="H16" i="8"/>
  <c r="H17" i="8"/>
  <c r="H18" i="8"/>
  <c r="H19" i="8"/>
  <c r="H20" i="8"/>
  <c r="H21" i="8"/>
  <c r="H22" i="8"/>
  <c r="H9" i="8"/>
  <c r="G10" i="8"/>
  <c r="G11" i="8"/>
  <c r="G12" i="8"/>
  <c r="G13" i="8"/>
  <c r="G14" i="8"/>
  <c r="G15" i="8"/>
  <c r="G16" i="8"/>
  <c r="G17" i="8"/>
  <c r="G18" i="8"/>
  <c r="G19" i="8"/>
  <c r="G20" i="8"/>
  <c r="G21" i="8"/>
  <c r="G22" i="8"/>
  <c r="G9" i="8"/>
  <c r="E10" i="8"/>
  <c r="E11" i="8"/>
  <c r="E12" i="8"/>
  <c r="E13" i="8"/>
  <c r="E14" i="8"/>
  <c r="E15" i="8"/>
  <c r="E16" i="8"/>
  <c r="E17" i="8"/>
  <c r="E18" i="8"/>
  <c r="E19" i="8"/>
  <c r="E20" i="8"/>
  <c r="E21" i="8"/>
  <c r="E22" i="8"/>
  <c r="E9" i="8"/>
  <c r="H6" i="8"/>
  <c r="G6" i="8"/>
  <c r="G118" i="8" s="1"/>
  <c r="F6" i="8"/>
  <c r="E6" i="8"/>
  <c r="H150" i="60"/>
  <c r="G150" i="60"/>
  <c r="F150" i="60"/>
  <c r="E150" i="60"/>
  <c r="D150" i="60"/>
  <c r="G149" i="60"/>
  <c r="E149" i="60"/>
  <c r="H148" i="60"/>
  <c r="E147" i="60"/>
  <c r="F146" i="60"/>
  <c r="G145" i="60"/>
  <c r="E145" i="60"/>
  <c r="D144" i="60"/>
  <c r="G137" i="60"/>
  <c r="F137" i="60"/>
  <c r="F149" i="60" s="1"/>
  <c r="E137" i="60"/>
  <c r="D137" i="60"/>
  <c r="D149" i="60" s="1"/>
  <c r="H135" i="60"/>
  <c r="H134" i="60"/>
  <c r="H133" i="60"/>
  <c r="H132" i="60"/>
  <c r="H137" i="60" s="1"/>
  <c r="H149" i="60" s="1"/>
  <c r="H131" i="60"/>
  <c r="E119" i="60"/>
  <c r="G108" i="60"/>
  <c r="G147" i="60" s="1"/>
  <c r="F108" i="60"/>
  <c r="F147" i="60" s="1"/>
  <c r="E108" i="60"/>
  <c r="D108" i="60"/>
  <c r="D147" i="60" s="1"/>
  <c r="H106" i="60"/>
  <c r="H105" i="60"/>
  <c r="H104" i="60"/>
  <c r="H103" i="60"/>
  <c r="H102" i="60"/>
  <c r="H108" i="60" s="1"/>
  <c r="H147" i="60" s="1"/>
  <c r="G98" i="60"/>
  <c r="G146" i="60" s="1"/>
  <c r="F98" i="60"/>
  <c r="E98" i="60"/>
  <c r="E146" i="60" s="1"/>
  <c r="D98" i="60"/>
  <c r="D146" i="60" s="1"/>
  <c r="H96" i="60"/>
  <c r="H95" i="60"/>
  <c r="H94" i="60"/>
  <c r="H93" i="60"/>
  <c r="H92" i="60"/>
  <c r="H91" i="60"/>
  <c r="H90" i="60"/>
  <c r="H89" i="60"/>
  <c r="H88" i="60"/>
  <c r="H87" i="60"/>
  <c r="H86" i="60"/>
  <c r="H98" i="60" s="1"/>
  <c r="H146" i="60" s="1"/>
  <c r="G82" i="60"/>
  <c r="F82" i="60"/>
  <c r="F145" i="60" s="1"/>
  <c r="D82" i="60"/>
  <c r="D145" i="60" s="1"/>
  <c r="H80" i="60"/>
  <c r="H79" i="60"/>
  <c r="H78" i="60"/>
  <c r="H77" i="60"/>
  <c r="H82" i="60" s="1"/>
  <c r="H145" i="60" s="1"/>
  <c r="G74" i="60"/>
  <c r="G144" i="60" s="1"/>
  <c r="F74" i="60"/>
  <c r="F144" i="60" s="1"/>
  <c r="E74" i="60"/>
  <c r="E144" i="60" s="1"/>
  <c r="D74" i="60"/>
  <c r="H72" i="60"/>
  <c r="H71" i="60"/>
  <c r="H70" i="60"/>
  <c r="H69" i="60"/>
  <c r="H68" i="60"/>
  <c r="H74" i="60" s="1"/>
  <c r="H144" i="60" s="1"/>
  <c r="G64" i="60"/>
  <c r="G143" i="60" s="1"/>
  <c r="F64" i="60"/>
  <c r="F143" i="60" s="1"/>
  <c r="E64" i="60"/>
  <c r="E143" i="60" s="1"/>
  <c r="D64" i="60"/>
  <c r="D143" i="60" s="1"/>
  <c r="H62" i="60"/>
  <c r="H61" i="60"/>
  <c r="H60" i="60"/>
  <c r="H59" i="60"/>
  <c r="H58" i="60"/>
  <c r="H57" i="60"/>
  <c r="H56" i="60"/>
  <c r="H55" i="60"/>
  <c r="H54" i="60"/>
  <c r="H53" i="60"/>
  <c r="H64" i="60" s="1"/>
  <c r="H143" i="60" s="1"/>
  <c r="G49" i="60"/>
  <c r="G142" i="60" s="1"/>
  <c r="F49" i="60"/>
  <c r="F142" i="60" s="1"/>
  <c r="E49" i="60"/>
  <c r="E142" i="60" s="1"/>
  <c r="D49" i="60"/>
  <c r="D142" i="60" s="1"/>
  <c r="H47" i="60"/>
  <c r="H46" i="60"/>
  <c r="H45" i="60"/>
  <c r="H44" i="60"/>
  <c r="H43" i="60"/>
  <c r="H42" i="60"/>
  <c r="H41" i="60"/>
  <c r="H40" i="60"/>
  <c r="H49" i="60" s="1"/>
  <c r="H142" i="60" s="1"/>
  <c r="G36" i="60"/>
  <c r="G141" i="60" s="1"/>
  <c r="F36" i="60"/>
  <c r="F141" i="60" s="1"/>
  <c r="E36" i="60"/>
  <c r="E141" i="60" s="1"/>
  <c r="D36" i="60"/>
  <c r="D141" i="60" s="1"/>
  <c r="H34" i="60"/>
  <c r="H33" i="60"/>
  <c r="H32" i="60"/>
  <c r="H31" i="60"/>
  <c r="H30" i="60"/>
  <c r="H29" i="60"/>
  <c r="H28" i="60"/>
  <c r="H27" i="60"/>
  <c r="H26" i="60"/>
  <c r="H25" i="60"/>
  <c r="H24" i="60"/>
  <c r="H23" i="60"/>
  <c r="H22" i="60"/>
  <c r="H21" i="60"/>
  <c r="H36" i="60" s="1"/>
  <c r="H141" i="60" s="1"/>
  <c r="H18" i="60"/>
  <c r="G78" i="8" l="1"/>
  <c r="G114" i="8" s="1"/>
  <c r="G24" i="8"/>
  <c r="G109" i="8" s="1"/>
  <c r="G38" i="8"/>
  <c r="G110" i="8" s="1"/>
  <c r="G60" i="8"/>
  <c r="G113" i="8" s="1"/>
  <c r="G89" i="8"/>
  <c r="G115" i="8" s="1"/>
  <c r="G104" i="8"/>
  <c r="G117" i="8" s="1"/>
  <c r="G51" i="8"/>
  <c r="G112" i="8" s="1"/>
  <c r="E152" i="60"/>
  <c r="D152" i="60"/>
  <c r="H152" i="60"/>
  <c r="F152" i="60"/>
  <c r="G152" i="60"/>
  <c r="D155" i="60" l="1"/>
  <c r="D154" i="60"/>
  <c r="G150" i="58" l="1"/>
  <c r="F150" i="58"/>
  <c r="E150" i="58"/>
  <c r="D150" i="58"/>
  <c r="G149" i="58"/>
  <c r="E149" i="58"/>
  <c r="E147" i="58"/>
  <c r="G146" i="58"/>
  <c r="E146" i="58"/>
  <c r="G145" i="58"/>
  <c r="E145" i="58"/>
  <c r="D145" i="58"/>
  <c r="G144" i="58"/>
  <c r="G143" i="58"/>
  <c r="D142" i="58"/>
  <c r="G141" i="58"/>
  <c r="G152" i="58" s="1"/>
  <c r="F141" i="58"/>
  <c r="F152" i="58" s="1"/>
  <c r="E141" i="58"/>
  <c r="D141" i="58"/>
  <c r="G137" i="58"/>
  <c r="F137" i="58"/>
  <c r="F149" i="58" s="1"/>
  <c r="E137" i="58"/>
  <c r="D137" i="58"/>
  <c r="D149" i="58" s="1"/>
  <c r="H135" i="58"/>
  <c r="H134" i="58"/>
  <c r="H133" i="58"/>
  <c r="H132" i="58"/>
  <c r="H137" i="58" s="1"/>
  <c r="H149" i="58" s="1"/>
  <c r="H131" i="58"/>
  <c r="E119" i="58"/>
  <c r="H111" i="58"/>
  <c r="H148" i="58" s="1"/>
  <c r="G108" i="58"/>
  <c r="G147" i="58" s="1"/>
  <c r="F108" i="58"/>
  <c r="F147" i="58" s="1"/>
  <c r="E108" i="58"/>
  <c r="D108" i="58"/>
  <c r="D147" i="58" s="1"/>
  <c r="H106" i="58"/>
  <c r="H105" i="58"/>
  <c r="H104" i="58"/>
  <c r="H103" i="58"/>
  <c r="H102" i="58"/>
  <c r="H108" i="58" s="1"/>
  <c r="H147" i="58" s="1"/>
  <c r="G98" i="58"/>
  <c r="F98" i="58"/>
  <c r="F146" i="58" s="1"/>
  <c r="E98" i="58"/>
  <c r="D98" i="58"/>
  <c r="D146" i="58" s="1"/>
  <c r="H96" i="58"/>
  <c r="H95" i="58"/>
  <c r="H94" i="58"/>
  <c r="H93" i="58"/>
  <c r="H92" i="58"/>
  <c r="H91" i="58"/>
  <c r="H90" i="58"/>
  <c r="H89" i="58"/>
  <c r="H88" i="58"/>
  <c r="H87" i="58"/>
  <c r="H86" i="58"/>
  <c r="H98" i="58" s="1"/>
  <c r="H146" i="58" s="1"/>
  <c r="G82" i="58"/>
  <c r="F82" i="58"/>
  <c r="F145" i="58" s="1"/>
  <c r="D82" i="58"/>
  <c r="H80" i="58"/>
  <c r="H79" i="58"/>
  <c r="H78" i="58"/>
  <c r="H77" i="58"/>
  <c r="H82" i="58" s="1"/>
  <c r="H145" i="58" s="1"/>
  <c r="G74" i="58"/>
  <c r="F74" i="58"/>
  <c r="F144" i="58" s="1"/>
  <c r="E74" i="58"/>
  <c r="E144" i="58" s="1"/>
  <c r="D74" i="58"/>
  <c r="D144" i="58" s="1"/>
  <c r="H72" i="58"/>
  <c r="H71" i="58"/>
  <c r="H70" i="58"/>
  <c r="H69" i="58"/>
  <c r="H68" i="58"/>
  <c r="H74" i="58" s="1"/>
  <c r="H144" i="58" s="1"/>
  <c r="G64" i="58"/>
  <c r="F64" i="58"/>
  <c r="F143" i="58" s="1"/>
  <c r="E64" i="58"/>
  <c r="E143" i="58" s="1"/>
  <c r="D64" i="58"/>
  <c r="D143" i="58" s="1"/>
  <c r="H62" i="58"/>
  <c r="H61" i="58"/>
  <c r="H60" i="58"/>
  <c r="H59" i="58"/>
  <c r="H58" i="58"/>
  <c r="H57" i="58"/>
  <c r="H56" i="58"/>
  <c r="H55" i="58"/>
  <c r="H54" i="58"/>
  <c r="H64" i="58" s="1"/>
  <c r="H143" i="58" s="1"/>
  <c r="H53" i="58"/>
  <c r="G49" i="58"/>
  <c r="G142" i="58" s="1"/>
  <c r="F49" i="58"/>
  <c r="F142" i="58" s="1"/>
  <c r="E49" i="58"/>
  <c r="E142" i="58" s="1"/>
  <c r="D49" i="58"/>
  <c r="H47" i="58"/>
  <c r="H46" i="58"/>
  <c r="H45" i="58"/>
  <c r="H44" i="58"/>
  <c r="H43" i="58"/>
  <c r="H42" i="58"/>
  <c r="H41" i="58"/>
  <c r="H40" i="58"/>
  <c r="H49" i="58" s="1"/>
  <c r="H142" i="58" s="1"/>
  <c r="H34" i="58"/>
  <c r="H33" i="58"/>
  <c r="H32" i="58"/>
  <c r="H31" i="58"/>
  <c r="H30" i="58"/>
  <c r="H29" i="58"/>
  <c r="H28" i="58"/>
  <c r="H27" i="58"/>
  <c r="H26" i="58"/>
  <c r="H25" i="58"/>
  <c r="H24" i="58"/>
  <c r="H23" i="58"/>
  <c r="H22" i="58"/>
  <c r="H21" i="58"/>
  <c r="H36" i="58" s="1"/>
  <c r="H141" i="58" s="1"/>
  <c r="H152" i="58" s="1"/>
  <c r="H18" i="58"/>
  <c r="H150" i="58" s="1"/>
  <c r="E152" i="58" l="1"/>
  <c r="D155" i="58"/>
  <c r="D154" i="58"/>
  <c r="D152" i="58"/>
  <c r="G150" i="57" l="1"/>
  <c r="F150" i="57"/>
  <c r="E150" i="57"/>
  <c r="D150" i="57"/>
  <c r="D149" i="57"/>
  <c r="G146" i="57"/>
  <c r="E145" i="57"/>
  <c r="D145" i="57"/>
  <c r="D142" i="57"/>
  <c r="H141" i="57"/>
  <c r="F141" i="57"/>
  <c r="G137" i="57"/>
  <c r="G149" i="57" s="1"/>
  <c r="F137" i="57"/>
  <c r="F149" i="57" s="1"/>
  <c r="E137" i="57"/>
  <c r="E149" i="57" s="1"/>
  <c r="D137" i="57"/>
  <c r="H135" i="57"/>
  <c r="H134" i="57"/>
  <c r="H133" i="57"/>
  <c r="H132" i="57"/>
  <c r="H131" i="57"/>
  <c r="H137" i="57" s="1"/>
  <c r="H149" i="57" s="1"/>
  <c r="E119" i="57"/>
  <c r="H111" i="57"/>
  <c r="H148" i="57" s="1"/>
  <c r="G108" i="57"/>
  <c r="G147" i="57" s="1"/>
  <c r="F108" i="57"/>
  <c r="F147" i="57" s="1"/>
  <c r="E108" i="57"/>
  <c r="E147" i="57" s="1"/>
  <c r="D108" i="57"/>
  <c r="D147" i="57" s="1"/>
  <c r="H106" i="57"/>
  <c r="H105" i="57"/>
  <c r="H104" i="57"/>
  <c r="H103" i="57"/>
  <c r="H108" i="57" s="1"/>
  <c r="H147" i="57" s="1"/>
  <c r="H102" i="57"/>
  <c r="G98" i="57"/>
  <c r="F98" i="57"/>
  <c r="F146" i="57" s="1"/>
  <c r="E98" i="57"/>
  <c r="E146" i="57" s="1"/>
  <c r="D98" i="57"/>
  <c r="D146" i="57" s="1"/>
  <c r="H96" i="57"/>
  <c r="H95" i="57"/>
  <c r="H94" i="57"/>
  <c r="H93" i="57"/>
  <c r="H92" i="57"/>
  <c r="H91" i="57"/>
  <c r="H90" i="57"/>
  <c r="H89" i="57"/>
  <c r="H88" i="57"/>
  <c r="H87" i="57"/>
  <c r="H86" i="57"/>
  <c r="H98" i="57" s="1"/>
  <c r="H146" i="57" s="1"/>
  <c r="G82" i="57"/>
  <c r="G145" i="57" s="1"/>
  <c r="F82" i="57"/>
  <c r="F145" i="57" s="1"/>
  <c r="D82" i="57"/>
  <c r="H80" i="57"/>
  <c r="H79" i="57"/>
  <c r="H78" i="57"/>
  <c r="H77" i="57"/>
  <c r="H82" i="57" s="1"/>
  <c r="H145" i="57" s="1"/>
  <c r="G74" i="57"/>
  <c r="G144" i="57" s="1"/>
  <c r="F74" i="57"/>
  <c r="F144" i="57" s="1"/>
  <c r="E74" i="57"/>
  <c r="E144" i="57" s="1"/>
  <c r="D74" i="57"/>
  <c r="D144" i="57" s="1"/>
  <c r="H72" i="57"/>
  <c r="H71" i="57"/>
  <c r="H70" i="57"/>
  <c r="H69" i="57"/>
  <c r="H68" i="57"/>
  <c r="H74" i="57" s="1"/>
  <c r="H144" i="57" s="1"/>
  <c r="G64" i="57"/>
  <c r="G143" i="57" s="1"/>
  <c r="F64" i="57"/>
  <c r="F143" i="57" s="1"/>
  <c r="E64" i="57"/>
  <c r="E143" i="57" s="1"/>
  <c r="D64" i="57"/>
  <c r="D143" i="57" s="1"/>
  <c r="H62" i="57"/>
  <c r="H61" i="57"/>
  <c r="H60" i="57"/>
  <c r="H59" i="57"/>
  <c r="H58" i="57"/>
  <c r="H57" i="57"/>
  <c r="H56" i="57"/>
  <c r="H55" i="57"/>
  <c r="H54" i="57"/>
  <c r="H53" i="57"/>
  <c r="H64" i="57" s="1"/>
  <c r="H143" i="57" s="1"/>
  <c r="H49" i="57"/>
  <c r="H142" i="57" s="1"/>
  <c r="G49" i="57"/>
  <c r="G142" i="57" s="1"/>
  <c r="F49" i="57"/>
  <c r="F142" i="57" s="1"/>
  <c r="E49" i="57"/>
  <c r="E142" i="57" s="1"/>
  <c r="D49" i="57"/>
  <c r="H36" i="57"/>
  <c r="G36" i="57"/>
  <c r="G141" i="57" s="1"/>
  <c r="F36" i="57"/>
  <c r="E36" i="57"/>
  <c r="E141" i="57" s="1"/>
  <c r="D36" i="57"/>
  <c r="D141" i="57" s="1"/>
  <c r="H18" i="57"/>
  <c r="H150" i="57" s="1"/>
  <c r="D152" i="57" l="1"/>
  <c r="E152" i="57"/>
  <c r="F152" i="57"/>
  <c r="G152" i="57"/>
  <c r="H152" i="57"/>
  <c r="D154" i="57" l="1"/>
  <c r="D155" i="57"/>
  <c r="H150" i="56" l="1"/>
  <c r="G150" i="56"/>
  <c r="F150" i="56"/>
  <c r="E150" i="56"/>
  <c r="D150" i="56"/>
  <c r="E149" i="56"/>
  <c r="E145" i="56"/>
  <c r="G143" i="56"/>
  <c r="D142" i="56"/>
  <c r="G137" i="56"/>
  <c r="G149" i="56" s="1"/>
  <c r="F137" i="56"/>
  <c r="F149" i="56" s="1"/>
  <c r="E137" i="56"/>
  <c r="D137" i="56"/>
  <c r="D149" i="56" s="1"/>
  <c r="H135" i="56"/>
  <c r="H134" i="56"/>
  <c r="H133" i="56"/>
  <c r="H132" i="56"/>
  <c r="H131" i="56"/>
  <c r="H137" i="56" s="1"/>
  <c r="H149" i="56" s="1"/>
  <c r="E119" i="56"/>
  <c r="E123" i="56" s="1"/>
  <c r="E127" i="56" s="1"/>
  <c r="H111" i="56"/>
  <c r="H148" i="56" s="1"/>
  <c r="G108" i="56"/>
  <c r="G147" i="56" s="1"/>
  <c r="F108" i="56"/>
  <c r="F147" i="56" s="1"/>
  <c r="E108" i="56"/>
  <c r="E147" i="56" s="1"/>
  <c r="D108" i="56"/>
  <c r="D147" i="56" s="1"/>
  <c r="H106" i="56"/>
  <c r="H105" i="56"/>
  <c r="H104" i="56"/>
  <c r="H103" i="56"/>
  <c r="H102" i="56"/>
  <c r="H108" i="56" s="1"/>
  <c r="H147" i="56" s="1"/>
  <c r="G98" i="56"/>
  <c r="G146" i="56" s="1"/>
  <c r="F98" i="56"/>
  <c r="F146" i="56" s="1"/>
  <c r="E98" i="56"/>
  <c r="E146" i="56" s="1"/>
  <c r="D98" i="56"/>
  <c r="D146" i="56" s="1"/>
  <c r="H96" i="56"/>
  <c r="H95" i="56"/>
  <c r="H94" i="56"/>
  <c r="H93" i="56"/>
  <c r="H92" i="56"/>
  <c r="H91" i="56"/>
  <c r="H90" i="56"/>
  <c r="H89" i="56"/>
  <c r="H88" i="56"/>
  <c r="H87" i="56"/>
  <c r="H86" i="56"/>
  <c r="H98" i="56" s="1"/>
  <c r="H146" i="56" s="1"/>
  <c r="G82" i="56"/>
  <c r="G145" i="56" s="1"/>
  <c r="F82" i="56"/>
  <c r="F145" i="56" s="1"/>
  <c r="D82" i="56"/>
  <c r="D145" i="56" s="1"/>
  <c r="H80" i="56"/>
  <c r="H79" i="56"/>
  <c r="H78" i="56"/>
  <c r="H77" i="56"/>
  <c r="H82" i="56" s="1"/>
  <c r="H145" i="56" s="1"/>
  <c r="G74" i="56"/>
  <c r="G144" i="56" s="1"/>
  <c r="F74" i="56"/>
  <c r="F144" i="56" s="1"/>
  <c r="E74" i="56"/>
  <c r="E144" i="56" s="1"/>
  <c r="D74" i="56"/>
  <c r="D144" i="56" s="1"/>
  <c r="H72" i="56"/>
  <c r="H71" i="56"/>
  <c r="H70" i="56"/>
  <c r="H69" i="56"/>
  <c r="H68" i="56"/>
  <c r="H74" i="56" s="1"/>
  <c r="H144" i="56" s="1"/>
  <c r="G64" i="56"/>
  <c r="F64" i="56"/>
  <c r="F143" i="56" s="1"/>
  <c r="E64" i="56"/>
  <c r="E143" i="56" s="1"/>
  <c r="D64" i="56"/>
  <c r="D143" i="56" s="1"/>
  <c r="H62" i="56"/>
  <c r="H61" i="56"/>
  <c r="H60" i="56"/>
  <c r="H59" i="56"/>
  <c r="H64" i="56" s="1"/>
  <c r="H143" i="56" s="1"/>
  <c r="H58" i="56"/>
  <c r="H57" i="56"/>
  <c r="H56" i="56"/>
  <c r="H55" i="56"/>
  <c r="H54" i="56"/>
  <c r="H53" i="56"/>
  <c r="G49" i="56"/>
  <c r="G142" i="56" s="1"/>
  <c r="F49" i="56"/>
  <c r="F142" i="56" s="1"/>
  <c r="E49" i="56"/>
  <c r="E142" i="56" s="1"/>
  <c r="D49" i="56"/>
  <c r="H47" i="56"/>
  <c r="H46" i="56"/>
  <c r="H45" i="56"/>
  <c r="H44" i="56"/>
  <c r="H43" i="56"/>
  <c r="H42" i="56"/>
  <c r="H41" i="56"/>
  <c r="H40" i="56"/>
  <c r="H49" i="56" s="1"/>
  <c r="H142" i="56" s="1"/>
  <c r="G36" i="56"/>
  <c r="G141" i="56" s="1"/>
  <c r="F36" i="56"/>
  <c r="F141" i="56" s="1"/>
  <c r="E36" i="56"/>
  <c r="E141" i="56" s="1"/>
  <c r="E152" i="56" s="1"/>
  <c r="D36" i="56"/>
  <c r="D141" i="56" s="1"/>
  <c r="H34" i="56"/>
  <c r="H33" i="56"/>
  <c r="H32" i="56"/>
  <c r="H31" i="56"/>
  <c r="H30" i="56"/>
  <c r="H29" i="56"/>
  <c r="H28" i="56"/>
  <c r="H27" i="56"/>
  <c r="H26" i="56"/>
  <c r="H25" i="56"/>
  <c r="H24" i="56"/>
  <c r="H23" i="56"/>
  <c r="H22" i="56"/>
  <c r="H21" i="56"/>
  <c r="H36" i="56" s="1"/>
  <c r="H141" i="56" s="1"/>
  <c r="H18" i="56"/>
  <c r="H152" i="56" l="1"/>
  <c r="F152" i="56"/>
  <c r="G152" i="56"/>
  <c r="D152" i="56"/>
  <c r="D155" i="56" l="1"/>
  <c r="D154" i="56"/>
  <c r="G150" i="55" l="1"/>
  <c r="F150" i="55"/>
  <c r="E150" i="55"/>
  <c r="D150" i="55"/>
  <c r="H148" i="55"/>
  <c r="G147" i="55"/>
  <c r="F146" i="55"/>
  <c r="E145" i="55"/>
  <c r="D145" i="55"/>
  <c r="F144" i="55"/>
  <c r="E144" i="55"/>
  <c r="G143" i="55"/>
  <c r="F143" i="55"/>
  <c r="E143" i="55"/>
  <c r="G142" i="55"/>
  <c r="G141" i="55"/>
  <c r="D141" i="55"/>
  <c r="G137" i="55"/>
  <c r="G149" i="55" s="1"/>
  <c r="F137" i="55"/>
  <c r="F149" i="55" s="1"/>
  <c r="E137" i="55"/>
  <c r="E149" i="55" s="1"/>
  <c r="D137" i="55"/>
  <c r="D149" i="55" s="1"/>
  <c r="H135" i="55"/>
  <c r="H134" i="55"/>
  <c r="H133" i="55"/>
  <c r="H132" i="55"/>
  <c r="H131" i="55"/>
  <c r="H137" i="55" s="1"/>
  <c r="H149" i="55" s="1"/>
  <c r="E119" i="55"/>
  <c r="H111" i="55"/>
  <c r="G108" i="55"/>
  <c r="F108" i="55"/>
  <c r="F147" i="55" s="1"/>
  <c r="E108" i="55"/>
  <c r="E147" i="55" s="1"/>
  <c r="D108" i="55"/>
  <c r="D147" i="55" s="1"/>
  <c r="H106" i="55"/>
  <c r="H105" i="55"/>
  <c r="H104" i="55"/>
  <c r="H103" i="55"/>
  <c r="H108" i="55" s="1"/>
  <c r="H147" i="55" s="1"/>
  <c r="H102" i="55"/>
  <c r="G98" i="55"/>
  <c r="G146" i="55" s="1"/>
  <c r="F98" i="55"/>
  <c r="E98" i="55"/>
  <c r="E146" i="55" s="1"/>
  <c r="D98" i="55"/>
  <c r="D146" i="55" s="1"/>
  <c r="H96" i="55"/>
  <c r="H95" i="55"/>
  <c r="H94" i="55"/>
  <c r="H93" i="55"/>
  <c r="H92" i="55"/>
  <c r="H91" i="55"/>
  <c r="H90" i="55"/>
  <c r="H89" i="55"/>
  <c r="H88" i="55"/>
  <c r="H87" i="55"/>
  <c r="H98" i="55" s="1"/>
  <c r="H146" i="55" s="1"/>
  <c r="H86" i="55"/>
  <c r="G82" i="55"/>
  <c r="G145" i="55" s="1"/>
  <c r="F82" i="55"/>
  <c r="F145" i="55" s="1"/>
  <c r="D82" i="55"/>
  <c r="H80" i="55"/>
  <c r="H79" i="55"/>
  <c r="H78" i="55"/>
  <c r="H82" i="55" s="1"/>
  <c r="H145" i="55" s="1"/>
  <c r="H77" i="55"/>
  <c r="G74" i="55"/>
  <c r="G144" i="55" s="1"/>
  <c r="F74" i="55"/>
  <c r="E74" i="55"/>
  <c r="D74" i="55"/>
  <c r="D144" i="55" s="1"/>
  <c r="H72" i="55"/>
  <c r="H71" i="55"/>
  <c r="H70" i="55"/>
  <c r="H69" i="55"/>
  <c r="H68" i="55"/>
  <c r="H74" i="55" s="1"/>
  <c r="H144" i="55" s="1"/>
  <c r="G64" i="55"/>
  <c r="F64" i="55"/>
  <c r="E64" i="55"/>
  <c r="D64" i="55"/>
  <c r="D143" i="55" s="1"/>
  <c r="H62" i="55"/>
  <c r="H61" i="55"/>
  <c r="H60" i="55"/>
  <c r="H59" i="55"/>
  <c r="H58" i="55"/>
  <c r="H57" i="55"/>
  <c r="H56" i="55"/>
  <c r="H55" i="55"/>
  <c r="H54" i="55"/>
  <c r="H53" i="55"/>
  <c r="H64" i="55" s="1"/>
  <c r="H143" i="55" s="1"/>
  <c r="G49" i="55"/>
  <c r="F49" i="55"/>
  <c r="F142" i="55" s="1"/>
  <c r="E49" i="55"/>
  <c r="E142" i="55" s="1"/>
  <c r="D49" i="55"/>
  <c r="D142" i="55" s="1"/>
  <c r="H47" i="55"/>
  <c r="H46" i="55"/>
  <c r="H45" i="55"/>
  <c r="H44" i="55"/>
  <c r="H49" i="55" s="1"/>
  <c r="H142" i="55" s="1"/>
  <c r="H43" i="55"/>
  <c r="H42" i="55"/>
  <c r="H41" i="55"/>
  <c r="H40" i="55"/>
  <c r="G36" i="55"/>
  <c r="F36" i="55"/>
  <c r="F141" i="55" s="1"/>
  <c r="E36" i="55"/>
  <c r="E141" i="55" s="1"/>
  <c r="E152" i="55" s="1"/>
  <c r="D36" i="55"/>
  <c r="H34" i="55"/>
  <c r="H33" i="55"/>
  <c r="H32" i="55"/>
  <c r="H31" i="55"/>
  <c r="H30" i="55"/>
  <c r="H29" i="55"/>
  <c r="H28" i="55"/>
  <c r="H27" i="55"/>
  <c r="H26" i="55"/>
  <c r="H25" i="55"/>
  <c r="H24" i="55"/>
  <c r="H23" i="55"/>
  <c r="H36" i="55" s="1"/>
  <c r="H141" i="55" s="1"/>
  <c r="H22" i="55"/>
  <c r="H21" i="55"/>
  <c r="H18" i="55"/>
  <c r="H150" i="55" s="1"/>
  <c r="D152" i="55" l="1"/>
  <c r="F152" i="55"/>
  <c r="G152" i="55"/>
  <c r="H152" i="55"/>
  <c r="D155" i="55" l="1"/>
  <c r="D154" i="55"/>
  <c r="H150" i="54" l="1"/>
  <c r="G150" i="54"/>
  <c r="F150" i="54"/>
  <c r="E150" i="54"/>
  <c r="D150" i="54"/>
  <c r="G149" i="54"/>
  <c r="F146" i="54"/>
  <c r="E146" i="54"/>
  <c r="E145" i="54"/>
  <c r="G144" i="54"/>
  <c r="E143" i="54"/>
  <c r="D143" i="54"/>
  <c r="D142" i="54"/>
  <c r="G141" i="54"/>
  <c r="F141" i="54"/>
  <c r="G137" i="54"/>
  <c r="F137" i="54"/>
  <c r="F149" i="54" s="1"/>
  <c r="E137" i="54"/>
  <c r="E149" i="54" s="1"/>
  <c r="D137" i="54"/>
  <c r="D149" i="54" s="1"/>
  <c r="H135" i="54"/>
  <c r="H134" i="54"/>
  <c r="H133" i="54"/>
  <c r="H132" i="54"/>
  <c r="H137" i="54" s="1"/>
  <c r="H149" i="54" s="1"/>
  <c r="H131" i="54"/>
  <c r="E119" i="54"/>
  <c r="E123" i="54" s="1"/>
  <c r="E127" i="54" s="1"/>
  <c r="H111" i="54"/>
  <c r="H148" i="54" s="1"/>
  <c r="G108" i="54"/>
  <c r="G147" i="54" s="1"/>
  <c r="F108" i="54"/>
  <c r="F147" i="54" s="1"/>
  <c r="D108" i="54"/>
  <c r="D147" i="54" s="1"/>
  <c r="H106" i="54"/>
  <c r="H105" i="54"/>
  <c r="H104" i="54"/>
  <c r="H103" i="54"/>
  <c r="E102" i="54"/>
  <c r="H102" i="54" s="1"/>
  <c r="H108" i="54" s="1"/>
  <c r="H147" i="54" s="1"/>
  <c r="G98" i="54"/>
  <c r="G146" i="54" s="1"/>
  <c r="F98" i="54"/>
  <c r="E98" i="54"/>
  <c r="D98" i="54"/>
  <c r="D146" i="54" s="1"/>
  <c r="H96" i="54"/>
  <c r="H95" i="54"/>
  <c r="H94" i="54"/>
  <c r="H93" i="54"/>
  <c r="H92" i="54"/>
  <c r="H91" i="54"/>
  <c r="H90" i="54"/>
  <c r="H89" i="54"/>
  <c r="H88" i="54"/>
  <c r="H87" i="54"/>
  <c r="H86" i="54"/>
  <c r="H98" i="54" s="1"/>
  <c r="H146" i="54" s="1"/>
  <c r="G82" i="54"/>
  <c r="G145" i="54" s="1"/>
  <c r="F82" i="54"/>
  <c r="F145" i="54" s="1"/>
  <c r="D82" i="54"/>
  <c r="D145" i="54" s="1"/>
  <c r="H80" i="54"/>
  <c r="H79" i="54"/>
  <c r="H78" i="54"/>
  <c r="H77" i="54"/>
  <c r="H82" i="54" s="1"/>
  <c r="H145" i="54" s="1"/>
  <c r="G74" i="54"/>
  <c r="F74" i="54"/>
  <c r="F144" i="54" s="1"/>
  <c r="E74" i="54"/>
  <c r="E144" i="54" s="1"/>
  <c r="D74" i="54"/>
  <c r="D144" i="54" s="1"/>
  <c r="H72" i="54"/>
  <c r="H71" i="54"/>
  <c r="H70" i="54"/>
  <c r="H69" i="54"/>
  <c r="H68" i="54"/>
  <c r="H74" i="54" s="1"/>
  <c r="H144" i="54" s="1"/>
  <c r="G64" i="54"/>
  <c r="G143" i="54" s="1"/>
  <c r="F64" i="54"/>
  <c r="F143" i="54" s="1"/>
  <c r="E64" i="54"/>
  <c r="D64" i="54"/>
  <c r="H62" i="54"/>
  <c r="H61" i="54"/>
  <c r="H60" i="54"/>
  <c r="H59" i="54"/>
  <c r="H58" i="54"/>
  <c r="H57" i="54"/>
  <c r="H64" i="54" s="1"/>
  <c r="H143" i="54" s="1"/>
  <c r="H56" i="54"/>
  <c r="H55" i="54"/>
  <c r="H54" i="54"/>
  <c r="H53" i="54"/>
  <c r="G49" i="54"/>
  <c r="G142" i="54" s="1"/>
  <c r="F49" i="54"/>
  <c r="F142" i="54" s="1"/>
  <c r="D49" i="54"/>
  <c r="H47" i="54"/>
  <c r="H46" i="54"/>
  <c r="H45" i="54"/>
  <c r="H44" i="54"/>
  <c r="H43" i="54"/>
  <c r="E42" i="54"/>
  <c r="H42" i="54" s="1"/>
  <c r="H49" i="54" s="1"/>
  <c r="H142" i="54" s="1"/>
  <c r="H41" i="54"/>
  <c r="H40" i="54"/>
  <c r="G36" i="54"/>
  <c r="F36" i="54"/>
  <c r="E36" i="54"/>
  <c r="E141" i="54" s="1"/>
  <c r="D36" i="54"/>
  <c r="D141" i="54" s="1"/>
  <c r="H34" i="54"/>
  <c r="H33" i="54"/>
  <c r="H32" i="54"/>
  <c r="H31" i="54"/>
  <c r="H30" i="54"/>
  <c r="H29" i="54"/>
  <c r="H28" i="54"/>
  <c r="H27" i="54"/>
  <c r="H26" i="54"/>
  <c r="H25" i="54"/>
  <c r="H24" i="54"/>
  <c r="H23" i="54"/>
  <c r="H22" i="54"/>
  <c r="H21" i="54"/>
  <c r="H36" i="54" s="1"/>
  <c r="H141" i="54" s="1"/>
  <c r="F152" i="54" l="1"/>
  <c r="D152" i="54"/>
  <c r="G152" i="54"/>
  <c r="H152" i="54"/>
  <c r="E108" i="54"/>
  <c r="E147" i="54" s="1"/>
  <c r="E49" i="54"/>
  <c r="E142" i="54" s="1"/>
  <c r="E152" i="54" s="1"/>
  <c r="D155" i="54" l="1"/>
  <c r="D154" i="54"/>
  <c r="G150" i="51" l="1"/>
  <c r="F150" i="51"/>
  <c r="E150" i="51"/>
  <c r="D150" i="51"/>
  <c r="E149" i="51"/>
  <c r="F146" i="51"/>
  <c r="E146" i="51"/>
  <c r="E145" i="51"/>
  <c r="G144" i="51"/>
  <c r="D143" i="51"/>
  <c r="D142" i="51"/>
  <c r="G137" i="51"/>
  <c r="G149" i="51" s="1"/>
  <c r="F137" i="51"/>
  <c r="F149" i="51" s="1"/>
  <c r="E137" i="51"/>
  <c r="D137" i="51"/>
  <c r="D149" i="51" s="1"/>
  <c r="H135" i="51"/>
  <c r="H134" i="51"/>
  <c r="H133" i="51"/>
  <c r="H132" i="51"/>
  <c r="H131" i="51"/>
  <c r="H137" i="51" s="1"/>
  <c r="H149" i="51" s="1"/>
  <c r="E119" i="51"/>
  <c r="E123" i="51" s="1"/>
  <c r="E127" i="51" s="1"/>
  <c r="E114" i="51"/>
  <c r="H111" i="51"/>
  <c r="H148" i="51" s="1"/>
  <c r="G108" i="51"/>
  <c r="G147" i="51" s="1"/>
  <c r="F108" i="51"/>
  <c r="F147" i="51" s="1"/>
  <c r="E108" i="51"/>
  <c r="E147" i="51" s="1"/>
  <c r="D108" i="51"/>
  <c r="D147" i="51" s="1"/>
  <c r="H106" i="51"/>
  <c r="H105" i="51"/>
  <c r="H104" i="51"/>
  <c r="H103" i="51"/>
  <c r="H102" i="51"/>
  <c r="H108" i="51" s="1"/>
  <c r="H147" i="51" s="1"/>
  <c r="G98" i="51"/>
  <c r="G146" i="51" s="1"/>
  <c r="F98" i="51"/>
  <c r="E98" i="51"/>
  <c r="D98" i="51"/>
  <c r="D146" i="51" s="1"/>
  <c r="H96" i="51"/>
  <c r="H95" i="51"/>
  <c r="H94" i="51"/>
  <c r="H93" i="51"/>
  <c r="H92" i="51"/>
  <c r="H91" i="51"/>
  <c r="H90" i="51"/>
  <c r="H89" i="51"/>
  <c r="H88" i="51"/>
  <c r="H87" i="51"/>
  <c r="H86" i="51"/>
  <c r="H98" i="51" s="1"/>
  <c r="H146" i="51" s="1"/>
  <c r="G82" i="51"/>
  <c r="G145" i="51" s="1"/>
  <c r="F82" i="51"/>
  <c r="F145" i="51" s="1"/>
  <c r="D82" i="51"/>
  <c r="D145" i="51" s="1"/>
  <c r="H80" i="51"/>
  <c r="H79" i="51"/>
  <c r="H78" i="51"/>
  <c r="H77" i="51"/>
  <c r="H82" i="51" s="1"/>
  <c r="H145" i="51" s="1"/>
  <c r="G74" i="51"/>
  <c r="F74" i="51"/>
  <c r="F144" i="51" s="1"/>
  <c r="E74" i="51"/>
  <c r="E144" i="51" s="1"/>
  <c r="D74" i="51"/>
  <c r="D144" i="51" s="1"/>
  <c r="H72" i="51"/>
  <c r="H71" i="51"/>
  <c r="H70" i="51"/>
  <c r="H69" i="51"/>
  <c r="H68" i="51"/>
  <c r="H74" i="51" s="1"/>
  <c r="H144" i="51" s="1"/>
  <c r="G64" i="51"/>
  <c r="G143" i="51" s="1"/>
  <c r="F64" i="51"/>
  <c r="F143" i="51" s="1"/>
  <c r="E64" i="51"/>
  <c r="E143" i="51" s="1"/>
  <c r="D64" i="51"/>
  <c r="H62" i="51"/>
  <c r="H61" i="51"/>
  <c r="H60" i="51"/>
  <c r="H59" i="51"/>
  <c r="H58" i="51"/>
  <c r="H57" i="51"/>
  <c r="H56" i="51"/>
  <c r="E55" i="51"/>
  <c r="H55" i="51" s="1"/>
  <c r="E54" i="51"/>
  <c r="H54" i="51" s="1"/>
  <c r="H53" i="51"/>
  <c r="G49" i="51"/>
  <c r="G142" i="51" s="1"/>
  <c r="F49" i="51"/>
  <c r="F142" i="51" s="1"/>
  <c r="D49" i="51"/>
  <c r="H47" i="51"/>
  <c r="H46" i="51"/>
  <c r="H45" i="51"/>
  <c r="H44" i="51"/>
  <c r="H43" i="51"/>
  <c r="H42" i="51"/>
  <c r="H49" i="51" s="1"/>
  <c r="H142" i="51" s="1"/>
  <c r="E42" i="51"/>
  <c r="H41" i="51"/>
  <c r="E41" i="51"/>
  <c r="E49" i="51" s="1"/>
  <c r="E142" i="51" s="1"/>
  <c r="H40" i="51"/>
  <c r="G36" i="51"/>
  <c r="G141" i="51" s="1"/>
  <c r="F36" i="51"/>
  <c r="F141" i="51" s="1"/>
  <c r="E36" i="51"/>
  <c r="E141" i="51" s="1"/>
  <c r="E152" i="51" s="1"/>
  <c r="D36" i="51"/>
  <c r="D141" i="51" s="1"/>
  <c r="D152" i="51" s="1"/>
  <c r="H34" i="51"/>
  <c r="H33" i="51"/>
  <c r="H32" i="51"/>
  <c r="H31" i="51"/>
  <c r="H30" i="51"/>
  <c r="E29" i="51"/>
  <c r="H29" i="51" s="1"/>
  <c r="H28" i="51"/>
  <c r="E27" i="51"/>
  <c r="H27" i="51" s="1"/>
  <c r="H26" i="51"/>
  <c r="H25" i="51"/>
  <c r="H24" i="51"/>
  <c r="H23" i="51"/>
  <c r="H22" i="51"/>
  <c r="E22" i="51"/>
  <c r="E21" i="51"/>
  <c r="H21" i="51" s="1"/>
  <c r="H36" i="51" s="1"/>
  <c r="H141" i="51" s="1"/>
  <c r="H18" i="51"/>
  <c r="H150" i="51" s="1"/>
  <c r="H64" i="51" l="1"/>
  <c r="H143" i="51" s="1"/>
  <c r="H152" i="51" s="1"/>
  <c r="F152" i="51"/>
  <c r="G152" i="51"/>
  <c r="D155" i="51" l="1"/>
  <c r="D154" i="51"/>
  <c r="G150" i="50" l="1"/>
  <c r="F150" i="50"/>
  <c r="E150" i="50"/>
  <c r="D150" i="50"/>
  <c r="E149" i="50"/>
  <c r="E146" i="50"/>
  <c r="E145" i="50"/>
  <c r="G143" i="50"/>
  <c r="D143" i="50"/>
  <c r="E142" i="50"/>
  <c r="D142" i="50"/>
  <c r="F141" i="50"/>
  <c r="G137" i="50"/>
  <c r="G149" i="50" s="1"/>
  <c r="F137" i="50"/>
  <c r="F149" i="50" s="1"/>
  <c r="E137" i="50"/>
  <c r="D137" i="50"/>
  <c r="D149" i="50" s="1"/>
  <c r="H135" i="50"/>
  <c r="H134" i="50"/>
  <c r="H133" i="50"/>
  <c r="H132" i="50"/>
  <c r="H131" i="50"/>
  <c r="H137" i="50" s="1"/>
  <c r="H149" i="50" s="1"/>
  <c r="E119" i="50"/>
  <c r="E123" i="50" s="1"/>
  <c r="E127" i="50" s="1"/>
  <c r="H111" i="50"/>
  <c r="H148" i="50" s="1"/>
  <c r="G108" i="50"/>
  <c r="G147" i="50" s="1"/>
  <c r="F108" i="50"/>
  <c r="F147" i="50" s="1"/>
  <c r="E108" i="50"/>
  <c r="E147" i="50" s="1"/>
  <c r="D108" i="50"/>
  <c r="D147" i="50" s="1"/>
  <c r="H106" i="50"/>
  <c r="H105" i="50"/>
  <c r="H104" i="50"/>
  <c r="H103" i="50"/>
  <c r="H102" i="50"/>
  <c r="H108" i="50" s="1"/>
  <c r="H147" i="50" s="1"/>
  <c r="G98" i="50"/>
  <c r="G146" i="50" s="1"/>
  <c r="F98" i="50"/>
  <c r="F146" i="50" s="1"/>
  <c r="E98" i="50"/>
  <c r="D98" i="50"/>
  <c r="D146" i="50" s="1"/>
  <c r="H96" i="50"/>
  <c r="H95" i="50"/>
  <c r="H94" i="50"/>
  <c r="H93" i="50"/>
  <c r="H92" i="50"/>
  <c r="H91" i="50"/>
  <c r="H90" i="50"/>
  <c r="H89" i="50"/>
  <c r="H88" i="50"/>
  <c r="H87" i="50"/>
  <c r="H86" i="50"/>
  <c r="H98" i="50" s="1"/>
  <c r="H146" i="50" s="1"/>
  <c r="G82" i="50"/>
  <c r="G145" i="50" s="1"/>
  <c r="F82" i="50"/>
  <c r="F145" i="50" s="1"/>
  <c r="D82" i="50"/>
  <c r="D145" i="50" s="1"/>
  <c r="H80" i="50"/>
  <c r="H79" i="50"/>
  <c r="H78" i="50"/>
  <c r="H77" i="50"/>
  <c r="H82" i="50" s="1"/>
  <c r="H145" i="50" s="1"/>
  <c r="G74" i="50"/>
  <c r="G144" i="50" s="1"/>
  <c r="F74" i="50"/>
  <c r="F144" i="50" s="1"/>
  <c r="E74" i="50"/>
  <c r="E144" i="50" s="1"/>
  <c r="D74" i="50"/>
  <c r="D144" i="50" s="1"/>
  <c r="H72" i="50"/>
  <c r="H71" i="50"/>
  <c r="H70" i="50"/>
  <c r="H69" i="50"/>
  <c r="H68" i="50"/>
  <c r="H74" i="50" s="1"/>
  <c r="H144" i="50" s="1"/>
  <c r="G64" i="50"/>
  <c r="F64" i="50"/>
  <c r="F143" i="50" s="1"/>
  <c r="E64" i="50"/>
  <c r="E143" i="50" s="1"/>
  <c r="D64" i="50"/>
  <c r="H62" i="50"/>
  <c r="H61" i="50"/>
  <c r="H60" i="50"/>
  <c r="H59" i="50"/>
  <c r="H64" i="50" s="1"/>
  <c r="H143" i="50" s="1"/>
  <c r="H58" i="50"/>
  <c r="H57" i="50"/>
  <c r="H56" i="50"/>
  <c r="H55" i="50"/>
  <c r="H54" i="50"/>
  <c r="H53" i="50"/>
  <c r="G49" i="50"/>
  <c r="G142" i="50" s="1"/>
  <c r="F49" i="50"/>
  <c r="F142" i="50" s="1"/>
  <c r="E49" i="50"/>
  <c r="D49" i="50"/>
  <c r="H47" i="50"/>
  <c r="H46" i="50"/>
  <c r="H45" i="50"/>
  <c r="H44" i="50"/>
  <c r="H43" i="50"/>
  <c r="H42" i="50"/>
  <c r="H41" i="50"/>
  <c r="H40" i="50"/>
  <c r="H49" i="50" s="1"/>
  <c r="H142" i="50" s="1"/>
  <c r="G36" i="50"/>
  <c r="G141" i="50" s="1"/>
  <c r="F36" i="50"/>
  <c r="E36" i="50"/>
  <c r="E141" i="50" s="1"/>
  <c r="D36" i="50"/>
  <c r="D141" i="50" s="1"/>
  <c r="D152" i="50" s="1"/>
  <c r="H34" i="50"/>
  <c r="H33" i="50"/>
  <c r="H32" i="50"/>
  <c r="H31" i="50"/>
  <c r="H30" i="50"/>
  <c r="H29" i="50"/>
  <c r="H28" i="50"/>
  <c r="H27" i="50"/>
  <c r="H26" i="50"/>
  <c r="H25" i="50"/>
  <c r="H24" i="50"/>
  <c r="H23" i="50"/>
  <c r="H22" i="50"/>
  <c r="H21" i="50"/>
  <c r="H36" i="50" s="1"/>
  <c r="H141" i="50" s="1"/>
  <c r="H18" i="50"/>
  <c r="H150" i="50" s="1"/>
  <c r="F152" i="50" l="1"/>
  <c r="E152" i="50"/>
  <c r="H152" i="50"/>
  <c r="G152" i="50"/>
  <c r="D155" i="50" l="1"/>
  <c r="D154" i="50"/>
  <c r="G150" i="49" l="1"/>
  <c r="F150" i="49"/>
  <c r="E150" i="49"/>
  <c r="D150" i="49"/>
  <c r="E149" i="49"/>
  <c r="F147" i="49"/>
  <c r="E147" i="49"/>
  <c r="D147" i="49"/>
  <c r="E145" i="49"/>
  <c r="E144" i="49"/>
  <c r="D144" i="49"/>
  <c r="G143" i="49"/>
  <c r="G142" i="49"/>
  <c r="F142" i="49"/>
  <c r="G137" i="49"/>
  <c r="G149" i="49" s="1"/>
  <c r="F137" i="49"/>
  <c r="F149" i="49" s="1"/>
  <c r="E137" i="49"/>
  <c r="D137" i="49"/>
  <c r="D149" i="49" s="1"/>
  <c r="H135" i="49"/>
  <c r="H134" i="49"/>
  <c r="H133" i="49"/>
  <c r="H132" i="49"/>
  <c r="H131" i="49"/>
  <c r="H137" i="49" s="1"/>
  <c r="H149" i="49" s="1"/>
  <c r="E119" i="49"/>
  <c r="H111" i="49"/>
  <c r="H148" i="49" s="1"/>
  <c r="G108" i="49"/>
  <c r="G147" i="49" s="1"/>
  <c r="F108" i="49"/>
  <c r="E108" i="49"/>
  <c r="D108" i="49"/>
  <c r="H106" i="49"/>
  <c r="H105" i="49"/>
  <c r="H104" i="49"/>
  <c r="H103" i="49"/>
  <c r="E102" i="49"/>
  <c r="H102" i="49" s="1"/>
  <c r="H108" i="49" s="1"/>
  <c r="H147" i="49" s="1"/>
  <c r="G98" i="49"/>
  <c r="G146" i="49" s="1"/>
  <c r="F98" i="49"/>
  <c r="F146" i="49" s="1"/>
  <c r="E98" i="49"/>
  <c r="E146" i="49" s="1"/>
  <c r="D98" i="49"/>
  <c r="D146" i="49" s="1"/>
  <c r="H96" i="49"/>
  <c r="H95" i="49"/>
  <c r="H94" i="49"/>
  <c r="H93" i="49"/>
  <c r="H92" i="49"/>
  <c r="H91" i="49"/>
  <c r="H90" i="49"/>
  <c r="H98" i="49" s="1"/>
  <c r="H146" i="49" s="1"/>
  <c r="H89" i="49"/>
  <c r="H88" i="49"/>
  <c r="H87" i="49"/>
  <c r="H86" i="49"/>
  <c r="G82" i="49"/>
  <c r="G145" i="49" s="1"/>
  <c r="F82" i="49"/>
  <c r="F145" i="49" s="1"/>
  <c r="D82" i="49"/>
  <c r="D145" i="49" s="1"/>
  <c r="H80" i="49"/>
  <c r="H79" i="49"/>
  <c r="E79" i="49"/>
  <c r="H78" i="49"/>
  <c r="H77" i="49"/>
  <c r="H82" i="49" s="1"/>
  <c r="H145" i="49" s="1"/>
  <c r="G74" i="49"/>
  <c r="G144" i="49" s="1"/>
  <c r="F74" i="49"/>
  <c r="F144" i="49" s="1"/>
  <c r="E74" i="49"/>
  <c r="D74" i="49"/>
  <c r="H72" i="49"/>
  <c r="H71" i="49"/>
  <c r="H70" i="49"/>
  <c r="H69" i="49"/>
  <c r="H68" i="49"/>
  <c r="H74" i="49" s="1"/>
  <c r="H144" i="49" s="1"/>
  <c r="G64" i="49"/>
  <c r="F64" i="49"/>
  <c r="F143" i="49" s="1"/>
  <c r="H62" i="49"/>
  <c r="H61" i="49"/>
  <c r="H60" i="49"/>
  <c r="H59" i="49"/>
  <c r="H58" i="49"/>
  <c r="H57" i="49"/>
  <c r="D56" i="49"/>
  <c r="E55" i="49"/>
  <c r="H55" i="49" s="1"/>
  <c r="H54" i="49"/>
  <c r="H53" i="49"/>
  <c r="G49" i="49"/>
  <c r="F49" i="49"/>
  <c r="H47" i="49"/>
  <c r="H46" i="49"/>
  <c r="H45" i="49"/>
  <c r="H44" i="49"/>
  <c r="H43" i="49"/>
  <c r="D42" i="49"/>
  <c r="E42" i="49" s="1"/>
  <c r="E49" i="49" s="1"/>
  <c r="E142" i="49" s="1"/>
  <c r="H41" i="49"/>
  <c r="H40" i="49"/>
  <c r="G36" i="49"/>
  <c r="G141" i="49" s="1"/>
  <c r="F36" i="49"/>
  <c r="F141" i="49" s="1"/>
  <c r="D36" i="49"/>
  <c r="D141" i="49" s="1"/>
  <c r="H34" i="49"/>
  <c r="H33" i="49"/>
  <c r="H32" i="49"/>
  <c r="H31" i="49"/>
  <c r="D30" i="49"/>
  <c r="J29" i="49"/>
  <c r="E29" i="49"/>
  <c r="H29" i="49" s="1"/>
  <c r="H28" i="49"/>
  <c r="H27" i="49"/>
  <c r="H26" i="49"/>
  <c r="H25" i="49"/>
  <c r="H24" i="49"/>
  <c r="H23" i="49"/>
  <c r="H22" i="49"/>
  <c r="E21" i="49"/>
  <c r="H18" i="49"/>
  <c r="H150" i="49" s="1"/>
  <c r="H56" i="49" l="1"/>
  <c r="H64" i="49" s="1"/>
  <c r="H143" i="49" s="1"/>
  <c r="F152" i="49"/>
  <c r="G152" i="49"/>
  <c r="H30" i="49"/>
  <c r="H49" i="49"/>
  <c r="H142" i="49" s="1"/>
  <c r="H21" i="49"/>
  <c r="H42" i="49"/>
  <c r="E56" i="49"/>
  <c r="D64" i="49"/>
  <c r="D143" i="49" s="1"/>
  <c r="D49" i="49"/>
  <c r="D142" i="49" s="1"/>
  <c r="D152" i="49" s="1"/>
  <c r="E30" i="49"/>
  <c r="E36" i="49" s="1"/>
  <c r="E141" i="49" s="1"/>
  <c r="E152" i="49" s="1"/>
  <c r="E64" i="49"/>
  <c r="E143" i="49" s="1"/>
  <c r="H36" i="49" l="1"/>
  <c r="H141" i="49" s="1"/>
  <c r="H152" i="49" s="1"/>
  <c r="D155" i="49" l="1"/>
  <c r="D154" i="49"/>
  <c r="G150" i="47" l="1"/>
  <c r="F150" i="47"/>
  <c r="E150" i="47"/>
  <c r="D150" i="47"/>
  <c r="D149" i="47"/>
  <c r="G146" i="47"/>
  <c r="E145" i="47"/>
  <c r="D144" i="47"/>
  <c r="F143" i="47"/>
  <c r="D143" i="47"/>
  <c r="E142" i="47"/>
  <c r="D142" i="47"/>
  <c r="G137" i="47"/>
  <c r="G149" i="47" s="1"/>
  <c r="F137" i="47"/>
  <c r="F149" i="47" s="1"/>
  <c r="E137" i="47"/>
  <c r="E149" i="47" s="1"/>
  <c r="D137" i="47"/>
  <c r="H135" i="47"/>
  <c r="H134" i="47"/>
  <c r="H133" i="47"/>
  <c r="H132" i="47"/>
  <c r="H131" i="47"/>
  <c r="H137" i="47" s="1"/>
  <c r="H149" i="47" s="1"/>
  <c r="E123" i="47"/>
  <c r="E127" i="47" s="1"/>
  <c r="E119" i="47"/>
  <c r="H111" i="47"/>
  <c r="H148" i="47" s="1"/>
  <c r="G108" i="47"/>
  <c r="G147" i="47" s="1"/>
  <c r="F108" i="47"/>
  <c r="F147" i="47" s="1"/>
  <c r="E108" i="47"/>
  <c r="E147" i="47" s="1"/>
  <c r="D108" i="47"/>
  <c r="D147" i="47" s="1"/>
  <c r="H106" i="47"/>
  <c r="H105" i="47"/>
  <c r="H104" i="47"/>
  <c r="H103" i="47"/>
  <c r="H102" i="47"/>
  <c r="H108" i="47" s="1"/>
  <c r="H147" i="47" s="1"/>
  <c r="G98" i="47"/>
  <c r="F98" i="47"/>
  <c r="F146" i="47" s="1"/>
  <c r="E98" i="47"/>
  <c r="E146" i="47" s="1"/>
  <c r="D98" i="47"/>
  <c r="D146" i="47" s="1"/>
  <c r="H96" i="47"/>
  <c r="H95" i="47"/>
  <c r="H94" i="47"/>
  <c r="H93" i="47"/>
  <c r="H92" i="47"/>
  <c r="H91" i="47"/>
  <c r="H90" i="47"/>
  <c r="H89" i="47"/>
  <c r="H88" i="47"/>
  <c r="H98" i="47" s="1"/>
  <c r="H146" i="47" s="1"/>
  <c r="H87" i="47"/>
  <c r="H86" i="47"/>
  <c r="G82" i="47"/>
  <c r="G145" i="47" s="1"/>
  <c r="F82" i="47"/>
  <c r="F145" i="47" s="1"/>
  <c r="D82" i="47"/>
  <c r="D145" i="47" s="1"/>
  <c r="H80" i="47"/>
  <c r="H79" i="47"/>
  <c r="H82" i="47" s="1"/>
  <c r="H145" i="47" s="1"/>
  <c r="H78" i="47"/>
  <c r="H77" i="47"/>
  <c r="G74" i="47"/>
  <c r="G144" i="47" s="1"/>
  <c r="F74" i="47"/>
  <c r="F144" i="47" s="1"/>
  <c r="E74" i="47"/>
  <c r="E144" i="47" s="1"/>
  <c r="D74" i="47"/>
  <c r="H72" i="47"/>
  <c r="H71" i="47"/>
  <c r="H70" i="47"/>
  <c r="H69" i="47"/>
  <c r="H68" i="47"/>
  <c r="H74" i="47" s="1"/>
  <c r="H144" i="47" s="1"/>
  <c r="G64" i="47"/>
  <c r="G143" i="47" s="1"/>
  <c r="F64" i="47"/>
  <c r="E64" i="47"/>
  <c r="E143" i="47" s="1"/>
  <c r="D64" i="47"/>
  <c r="H62" i="47"/>
  <c r="H61" i="47"/>
  <c r="H60" i="47"/>
  <c r="H59" i="47"/>
  <c r="H58" i="47"/>
  <c r="H64" i="47" s="1"/>
  <c r="H143" i="47" s="1"/>
  <c r="H57" i="47"/>
  <c r="H56" i="47"/>
  <c r="H55" i="47"/>
  <c r="H54" i="47"/>
  <c r="H53" i="47"/>
  <c r="G49" i="47"/>
  <c r="G142" i="47" s="1"/>
  <c r="F49" i="47"/>
  <c r="F142" i="47" s="1"/>
  <c r="E49" i="47"/>
  <c r="D49" i="47"/>
  <c r="H47" i="47"/>
  <c r="H46" i="47"/>
  <c r="H45" i="47"/>
  <c r="H44" i="47"/>
  <c r="H43" i="47"/>
  <c r="H42" i="47"/>
  <c r="H49" i="47" s="1"/>
  <c r="H142" i="47" s="1"/>
  <c r="H41" i="47"/>
  <c r="H40" i="47"/>
  <c r="G36" i="47"/>
  <c r="G141" i="47" s="1"/>
  <c r="F36" i="47"/>
  <c r="F141" i="47" s="1"/>
  <c r="E36" i="47"/>
  <c r="E141" i="47" s="1"/>
  <c r="D36" i="47"/>
  <c r="D141" i="47" s="1"/>
  <c r="D152" i="47" s="1"/>
  <c r="H34" i="47"/>
  <c r="H33" i="47"/>
  <c r="H32" i="47"/>
  <c r="H31" i="47"/>
  <c r="H30" i="47"/>
  <c r="H29" i="47"/>
  <c r="H28" i="47"/>
  <c r="H27" i="47"/>
  <c r="H26" i="47"/>
  <c r="H25" i="47"/>
  <c r="H24" i="47"/>
  <c r="H23" i="47"/>
  <c r="H22" i="47"/>
  <c r="H21" i="47"/>
  <c r="H36" i="47" s="1"/>
  <c r="H141" i="47" s="1"/>
  <c r="H18" i="47"/>
  <c r="H150" i="47" s="1"/>
  <c r="F152" i="47" l="1"/>
  <c r="E152" i="47"/>
  <c r="G152" i="47"/>
  <c r="H152" i="47"/>
  <c r="D154" i="47" l="1"/>
  <c r="D155" i="47"/>
  <c r="G150" i="46" l="1"/>
  <c r="F150" i="46"/>
  <c r="E150" i="46"/>
  <c r="D150" i="46"/>
  <c r="E149" i="46"/>
  <c r="H148" i="46"/>
  <c r="F147" i="46"/>
  <c r="E147" i="46"/>
  <c r="D147" i="46"/>
  <c r="G145" i="46"/>
  <c r="F145" i="46"/>
  <c r="E145" i="46"/>
  <c r="G143" i="46"/>
  <c r="G142" i="46"/>
  <c r="F142" i="46"/>
  <c r="E142" i="46"/>
  <c r="D142" i="46"/>
  <c r="D141" i="46"/>
  <c r="G137" i="46"/>
  <c r="G149" i="46" s="1"/>
  <c r="F137" i="46"/>
  <c r="F149" i="46" s="1"/>
  <c r="E137" i="46"/>
  <c r="D137" i="46"/>
  <c r="D149" i="46" s="1"/>
  <c r="H135" i="46"/>
  <c r="H134" i="46"/>
  <c r="H133" i="46"/>
  <c r="H132" i="46"/>
  <c r="H131" i="46"/>
  <c r="H137" i="46" s="1"/>
  <c r="H149" i="46" s="1"/>
  <c r="E119" i="46"/>
  <c r="G108" i="46"/>
  <c r="G147" i="46" s="1"/>
  <c r="F108" i="46"/>
  <c r="E108" i="46"/>
  <c r="D108" i="46"/>
  <c r="H106" i="46"/>
  <c r="H105" i="46"/>
  <c r="H104" i="46"/>
  <c r="H103" i="46"/>
  <c r="H108" i="46" s="1"/>
  <c r="H147" i="46" s="1"/>
  <c r="G98" i="46"/>
  <c r="G146" i="46" s="1"/>
  <c r="F98" i="46"/>
  <c r="F146" i="46" s="1"/>
  <c r="E98" i="46"/>
  <c r="E146" i="46" s="1"/>
  <c r="D98" i="46"/>
  <c r="D146" i="46" s="1"/>
  <c r="H96" i="46"/>
  <c r="H95" i="46"/>
  <c r="H94" i="46"/>
  <c r="H93" i="46"/>
  <c r="H92" i="46"/>
  <c r="H91" i="46"/>
  <c r="H90" i="46"/>
  <c r="H89" i="46"/>
  <c r="H88" i="46"/>
  <c r="H87" i="46"/>
  <c r="H86" i="46"/>
  <c r="H98" i="46" s="1"/>
  <c r="H146" i="46" s="1"/>
  <c r="G82" i="46"/>
  <c r="F82" i="46"/>
  <c r="D82" i="46"/>
  <c r="D145" i="46" s="1"/>
  <c r="H80" i="46"/>
  <c r="H79" i="46"/>
  <c r="H78" i="46"/>
  <c r="H77" i="46"/>
  <c r="H82" i="46" s="1"/>
  <c r="H145" i="46" s="1"/>
  <c r="G74" i="46"/>
  <c r="G144" i="46" s="1"/>
  <c r="F74" i="46"/>
  <c r="F144" i="46" s="1"/>
  <c r="E74" i="46"/>
  <c r="E144" i="46" s="1"/>
  <c r="D74" i="46"/>
  <c r="D144" i="46" s="1"/>
  <c r="H72" i="46"/>
  <c r="H71" i="46"/>
  <c r="H70" i="46"/>
  <c r="H69" i="46"/>
  <c r="H68" i="46"/>
  <c r="H74" i="46" s="1"/>
  <c r="H144" i="46" s="1"/>
  <c r="G64" i="46"/>
  <c r="F64" i="46"/>
  <c r="F143" i="46" s="1"/>
  <c r="E64" i="46"/>
  <c r="E143" i="46" s="1"/>
  <c r="D64" i="46"/>
  <c r="D143" i="46" s="1"/>
  <c r="H62" i="46"/>
  <c r="H61" i="46"/>
  <c r="H60" i="46"/>
  <c r="H59" i="46"/>
  <c r="H58" i="46"/>
  <c r="H57" i="46"/>
  <c r="H56" i="46"/>
  <c r="H55" i="46"/>
  <c r="H54" i="46"/>
  <c r="H53" i="46"/>
  <c r="H64" i="46" s="1"/>
  <c r="H143" i="46" s="1"/>
  <c r="G49" i="46"/>
  <c r="F49" i="46"/>
  <c r="E49" i="46"/>
  <c r="D49" i="46"/>
  <c r="H47" i="46"/>
  <c r="H46" i="46"/>
  <c r="H45" i="46"/>
  <c r="H44" i="46"/>
  <c r="H43" i="46"/>
  <c r="H42" i="46"/>
  <c r="H41" i="46"/>
  <c r="H40" i="46"/>
  <c r="H49" i="46" s="1"/>
  <c r="H142" i="46" s="1"/>
  <c r="G36" i="46"/>
  <c r="G141" i="46" s="1"/>
  <c r="F36" i="46"/>
  <c r="F141" i="46" s="1"/>
  <c r="F152" i="46" s="1"/>
  <c r="E36" i="46"/>
  <c r="E141" i="46" s="1"/>
  <c r="E152" i="46" s="1"/>
  <c r="D36" i="46"/>
  <c r="H34" i="46"/>
  <c r="H33" i="46"/>
  <c r="H32" i="46"/>
  <c r="H31" i="46"/>
  <c r="H30" i="46"/>
  <c r="H29" i="46"/>
  <c r="H28" i="46"/>
  <c r="H27" i="46"/>
  <c r="H26" i="46"/>
  <c r="H25" i="46"/>
  <c r="H24" i="46"/>
  <c r="H23" i="46"/>
  <c r="H36" i="46" s="1"/>
  <c r="H141" i="46" s="1"/>
  <c r="H22" i="46"/>
  <c r="H21" i="46"/>
  <c r="H18" i="46"/>
  <c r="H150" i="46" s="1"/>
  <c r="D152" i="46" l="1"/>
  <c r="G152" i="46"/>
  <c r="H152" i="46"/>
  <c r="D155" i="46" l="1"/>
  <c r="D154" i="46"/>
  <c r="F150" i="45" l="1"/>
  <c r="E150" i="45"/>
  <c r="E145" i="45"/>
  <c r="G137" i="45"/>
  <c r="G149" i="45" s="1"/>
  <c r="F137" i="45"/>
  <c r="F149" i="45" s="1"/>
  <c r="E137" i="45"/>
  <c r="E149" i="45" s="1"/>
  <c r="D137" i="45"/>
  <c r="D149" i="45" s="1"/>
  <c r="H135" i="45"/>
  <c r="I103" i="8" s="1"/>
  <c r="H134" i="45"/>
  <c r="I102" i="8" s="1"/>
  <c r="H133" i="45"/>
  <c r="I101" i="8" s="1"/>
  <c r="H132" i="45"/>
  <c r="I100" i="8" s="1"/>
  <c r="H131" i="45"/>
  <c r="E125" i="45"/>
  <c r="E121" i="45"/>
  <c r="E117" i="45"/>
  <c r="E119" i="45" s="1"/>
  <c r="E123" i="45" s="1"/>
  <c r="E127" i="45" s="1"/>
  <c r="F111" i="45"/>
  <c r="H111" i="45" s="1"/>
  <c r="G108" i="45"/>
  <c r="G147" i="45" s="1"/>
  <c r="F108" i="45"/>
  <c r="F147" i="45" s="1"/>
  <c r="D108" i="45"/>
  <c r="D147" i="45" s="1"/>
  <c r="E106" i="45"/>
  <c r="E105" i="45"/>
  <c r="E104" i="45"/>
  <c r="E103" i="45"/>
  <c r="E102" i="45"/>
  <c r="G98" i="45"/>
  <c r="G146" i="45" s="1"/>
  <c r="F98" i="45"/>
  <c r="F146" i="45" s="1"/>
  <c r="D98" i="45"/>
  <c r="D146" i="45" s="1"/>
  <c r="H96" i="45"/>
  <c r="I76" i="8" s="1"/>
  <c r="H95" i="45"/>
  <c r="I75" i="8" s="1"/>
  <c r="H94" i="45"/>
  <c r="I74" i="8" s="1"/>
  <c r="E93" i="45"/>
  <c r="E92" i="45"/>
  <c r="E91" i="45"/>
  <c r="F71" i="8" s="1"/>
  <c r="E90" i="45"/>
  <c r="E89" i="45"/>
  <c r="E88" i="45"/>
  <c r="E87" i="45"/>
  <c r="F67" i="8" s="1"/>
  <c r="E86" i="45"/>
  <c r="G82" i="45"/>
  <c r="G145" i="45" s="1"/>
  <c r="F82" i="45"/>
  <c r="F145" i="45" s="1"/>
  <c r="D82" i="45"/>
  <c r="D145" i="45" s="1"/>
  <c r="H80" i="45"/>
  <c r="I58" i="8" s="1"/>
  <c r="H79" i="45"/>
  <c r="I57" i="8" s="1"/>
  <c r="H78" i="45"/>
  <c r="I56" i="8" s="1"/>
  <c r="H77" i="45"/>
  <c r="G74" i="45"/>
  <c r="G144" i="45" s="1"/>
  <c r="F74" i="45"/>
  <c r="F144" i="45" s="1"/>
  <c r="D74" i="45"/>
  <c r="D144" i="45" s="1"/>
  <c r="E72" i="45"/>
  <c r="H72" i="45" s="1"/>
  <c r="E71" i="45"/>
  <c r="H71" i="45" s="1"/>
  <c r="H70" i="45"/>
  <c r="I49" i="8" s="1"/>
  <c r="E70" i="45"/>
  <c r="F49" i="8" s="1"/>
  <c r="E69" i="45"/>
  <c r="E68" i="45"/>
  <c r="H68" i="45" s="1"/>
  <c r="G64" i="45"/>
  <c r="G143" i="45" s="1"/>
  <c r="F64" i="45"/>
  <c r="F143" i="45" s="1"/>
  <c r="E64" i="45"/>
  <c r="E143" i="45" s="1"/>
  <c r="H62" i="45"/>
  <c r="H61" i="45"/>
  <c r="H60" i="45"/>
  <c r="H59" i="45"/>
  <c r="H58" i="45"/>
  <c r="H57" i="45"/>
  <c r="H56" i="45"/>
  <c r="D55" i="45"/>
  <c r="H55" i="45" s="1"/>
  <c r="H54" i="45"/>
  <c r="D54" i="45"/>
  <c r="H53" i="45"/>
  <c r="G49" i="45"/>
  <c r="G142" i="45" s="1"/>
  <c r="F49" i="45"/>
  <c r="F142" i="45" s="1"/>
  <c r="D49" i="45"/>
  <c r="D142" i="45" s="1"/>
  <c r="E47" i="45"/>
  <c r="F36" i="8" s="1"/>
  <c r="E46" i="45"/>
  <c r="F35" i="8" s="1"/>
  <c r="E45" i="45"/>
  <c r="F34" i="8" s="1"/>
  <c r="E44" i="45"/>
  <c r="E43" i="45"/>
  <c r="F32" i="8" s="1"/>
  <c r="E42" i="45"/>
  <c r="F31" i="8" s="1"/>
  <c r="H41" i="45"/>
  <c r="I30" i="8" s="1"/>
  <c r="E41" i="45"/>
  <c r="F30" i="8" s="1"/>
  <c r="E40" i="45"/>
  <c r="G36" i="45"/>
  <c r="G141" i="45" s="1"/>
  <c r="F36" i="45"/>
  <c r="F141" i="45" s="1"/>
  <c r="D36" i="45"/>
  <c r="D141" i="45" s="1"/>
  <c r="E34" i="45"/>
  <c r="E33" i="45"/>
  <c r="E32" i="45"/>
  <c r="E31" i="45"/>
  <c r="E30" i="45"/>
  <c r="E29" i="45"/>
  <c r="E28" i="45"/>
  <c r="E27" i="45"/>
  <c r="E26" i="45"/>
  <c r="E25" i="45"/>
  <c r="E24" i="45"/>
  <c r="E23" i="45"/>
  <c r="E22" i="45"/>
  <c r="E21" i="45"/>
  <c r="G150" i="45"/>
  <c r="D150" i="45"/>
  <c r="C7" i="45"/>
  <c r="H87" i="45" l="1"/>
  <c r="I67" i="8" s="1"/>
  <c r="H46" i="45"/>
  <c r="I35" i="8" s="1"/>
  <c r="H34" i="45"/>
  <c r="I22" i="8" s="1"/>
  <c r="F22" i="8"/>
  <c r="F152" i="45"/>
  <c r="H43" i="45"/>
  <c r="I32" i="8" s="1"/>
  <c r="H21" i="45"/>
  <c r="I9" i="8" s="1"/>
  <c r="F9" i="8"/>
  <c r="H29" i="45"/>
  <c r="I17" i="8" s="1"/>
  <c r="F17" i="8"/>
  <c r="H44" i="45"/>
  <c r="I33" i="8" s="1"/>
  <c r="F33" i="8"/>
  <c r="E74" i="45"/>
  <c r="E144" i="45" s="1"/>
  <c r="F47" i="8"/>
  <c r="H90" i="45"/>
  <c r="I70" i="8" s="1"/>
  <c r="F70" i="8"/>
  <c r="H106" i="45"/>
  <c r="I87" i="8" s="1"/>
  <c r="F87" i="8"/>
  <c r="H22" i="45"/>
  <c r="I10" i="8" s="1"/>
  <c r="F10" i="8"/>
  <c r="E49" i="45"/>
  <c r="E142" i="45" s="1"/>
  <c r="F29" i="8"/>
  <c r="I47" i="8"/>
  <c r="H137" i="45"/>
  <c r="H149" i="45" s="1"/>
  <c r="I99" i="8"/>
  <c r="H23" i="45"/>
  <c r="I11" i="8" s="1"/>
  <c r="F11" i="8"/>
  <c r="H31" i="45"/>
  <c r="I19" i="8" s="1"/>
  <c r="F19" i="8"/>
  <c r="H45" i="45"/>
  <c r="I34" i="8" s="1"/>
  <c r="H64" i="45"/>
  <c r="H143" i="45" s="1"/>
  <c r="H69" i="45"/>
  <c r="I48" i="8" s="1"/>
  <c r="F48" i="8"/>
  <c r="H91" i="45"/>
  <c r="I71" i="8" s="1"/>
  <c r="D64" i="45"/>
  <c r="D143" i="45" s="1"/>
  <c r="E98" i="45"/>
  <c r="E146" i="45" s="1"/>
  <c r="F66" i="8"/>
  <c r="H92" i="45"/>
  <c r="I72" i="8" s="1"/>
  <c r="F72" i="8"/>
  <c r="H102" i="45"/>
  <c r="I83" i="8" s="1"/>
  <c r="F83" i="8"/>
  <c r="H82" i="45"/>
  <c r="H145" i="45" s="1"/>
  <c r="I55" i="8"/>
  <c r="H93" i="45"/>
  <c r="I73" i="8" s="1"/>
  <c r="F73" i="8"/>
  <c r="E108" i="45"/>
  <c r="E147" i="45" s="1"/>
  <c r="F84" i="8"/>
  <c r="H148" i="45"/>
  <c r="E93" i="8"/>
  <c r="H30" i="45"/>
  <c r="I18" i="8" s="1"/>
  <c r="F18" i="8"/>
  <c r="H32" i="45"/>
  <c r="I20" i="8" s="1"/>
  <c r="F20" i="8"/>
  <c r="H25" i="45"/>
  <c r="I13" i="8" s="1"/>
  <c r="F13" i="8"/>
  <c r="H33" i="45"/>
  <c r="I21" i="8" s="1"/>
  <c r="F21" i="8"/>
  <c r="H26" i="45"/>
  <c r="I14" i="8" s="1"/>
  <c r="F14" i="8"/>
  <c r="H42" i="45"/>
  <c r="I31" i="8" s="1"/>
  <c r="H103" i="45"/>
  <c r="I84" i="8" s="1"/>
  <c r="H27" i="45"/>
  <c r="I15" i="8" s="1"/>
  <c r="F15" i="8"/>
  <c r="H88" i="45"/>
  <c r="I68" i="8" s="1"/>
  <c r="F68" i="8"/>
  <c r="H104" i="45"/>
  <c r="I85" i="8" s="1"/>
  <c r="F85" i="8"/>
  <c r="H24" i="45"/>
  <c r="I12" i="8" s="1"/>
  <c r="F12" i="8"/>
  <c r="H47" i="45"/>
  <c r="I36" i="8" s="1"/>
  <c r="H28" i="45"/>
  <c r="I16" i="8" s="1"/>
  <c r="F16" i="8"/>
  <c r="H89" i="45"/>
  <c r="I69" i="8" s="1"/>
  <c r="F69" i="8"/>
  <c r="H105" i="45"/>
  <c r="I86" i="8" s="1"/>
  <c r="F86" i="8"/>
  <c r="E122" i="8"/>
  <c r="H108" i="45"/>
  <c r="H147" i="45" s="1"/>
  <c r="H36" i="45"/>
  <c r="H141" i="45" s="1"/>
  <c r="G152" i="45"/>
  <c r="D152" i="45"/>
  <c r="E36" i="45"/>
  <c r="E141" i="45" s="1"/>
  <c r="E152" i="45" s="1"/>
  <c r="H18" i="45"/>
  <c r="H150" i="45" s="1"/>
  <c r="H86" i="45"/>
  <c r="H40" i="45"/>
  <c r="H98" i="45" l="1"/>
  <c r="H146" i="45" s="1"/>
  <c r="I66" i="8"/>
  <c r="H74" i="45"/>
  <c r="H144" i="45" s="1"/>
  <c r="H49" i="45"/>
  <c r="H142" i="45" s="1"/>
  <c r="I29" i="8"/>
  <c r="H152" i="45"/>
  <c r="D155" i="45" l="1"/>
  <c r="D154" i="45"/>
  <c r="G150" i="44" l="1"/>
  <c r="F150" i="44"/>
  <c r="E150" i="44"/>
  <c r="D150" i="44"/>
  <c r="G149" i="44"/>
  <c r="E149" i="44"/>
  <c r="E147" i="44"/>
  <c r="G145" i="44"/>
  <c r="E145" i="44"/>
  <c r="D144" i="44"/>
  <c r="G143" i="44"/>
  <c r="F142" i="44"/>
  <c r="D142" i="44"/>
  <c r="G137" i="44"/>
  <c r="F137" i="44"/>
  <c r="F149" i="44" s="1"/>
  <c r="E137" i="44"/>
  <c r="D137" i="44"/>
  <c r="D149" i="44" s="1"/>
  <c r="H135" i="44"/>
  <c r="H134" i="44"/>
  <c r="H133" i="44"/>
  <c r="H132" i="44"/>
  <c r="H137" i="44" s="1"/>
  <c r="H149" i="44" s="1"/>
  <c r="H131" i="44"/>
  <c r="E119" i="44"/>
  <c r="E123" i="44" s="1"/>
  <c r="E127" i="44" s="1"/>
  <c r="H111" i="44"/>
  <c r="H148" i="44" s="1"/>
  <c r="G108" i="44"/>
  <c r="G147" i="44" s="1"/>
  <c r="F108" i="44"/>
  <c r="F147" i="44" s="1"/>
  <c r="E108" i="44"/>
  <c r="D108" i="44"/>
  <c r="D147" i="44" s="1"/>
  <c r="H106" i="44"/>
  <c r="H105" i="44"/>
  <c r="H104" i="44"/>
  <c r="H103" i="44"/>
  <c r="H102" i="44"/>
  <c r="H108" i="44" s="1"/>
  <c r="H147" i="44" s="1"/>
  <c r="G98" i="44"/>
  <c r="G146" i="44" s="1"/>
  <c r="F98" i="44"/>
  <c r="F146" i="44" s="1"/>
  <c r="E98" i="44"/>
  <c r="E146" i="44" s="1"/>
  <c r="D98" i="44"/>
  <c r="D146" i="44" s="1"/>
  <c r="H96" i="44"/>
  <c r="H95" i="44"/>
  <c r="H94" i="44"/>
  <c r="H93" i="44"/>
  <c r="H92" i="44"/>
  <c r="H91" i="44"/>
  <c r="H98" i="44" s="1"/>
  <c r="H146" i="44" s="1"/>
  <c r="H90" i="44"/>
  <c r="H89" i="44"/>
  <c r="H88" i="44"/>
  <c r="H87" i="44"/>
  <c r="H86" i="44"/>
  <c r="H82" i="44"/>
  <c r="H145" i="44" s="1"/>
  <c r="G82" i="44"/>
  <c r="F82" i="44"/>
  <c r="F145" i="44" s="1"/>
  <c r="D82" i="44"/>
  <c r="D145" i="44" s="1"/>
  <c r="H80" i="44"/>
  <c r="H79" i="44"/>
  <c r="H78" i="44"/>
  <c r="H77" i="44"/>
  <c r="G74" i="44"/>
  <c r="G144" i="44" s="1"/>
  <c r="F74" i="44"/>
  <c r="F144" i="44" s="1"/>
  <c r="E74" i="44"/>
  <c r="E144" i="44" s="1"/>
  <c r="D74" i="44"/>
  <c r="H72" i="44"/>
  <c r="H71" i="44"/>
  <c r="H70" i="44"/>
  <c r="H69" i="44"/>
  <c r="H74" i="44" s="1"/>
  <c r="H144" i="44" s="1"/>
  <c r="H68" i="44"/>
  <c r="H64" i="44"/>
  <c r="H143" i="44" s="1"/>
  <c r="G64" i="44"/>
  <c r="F64" i="44"/>
  <c r="F143" i="44" s="1"/>
  <c r="E64" i="44"/>
  <c r="E143" i="44" s="1"/>
  <c r="D64" i="44"/>
  <c r="D143" i="44" s="1"/>
  <c r="H62" i="44"/>
  <c r="H61" i="44"/>
  <c r="H60" i="44"/>
  <c r="H59" i="44"/>
  <c r="H58" i="44"/>
  <c r="H57" i="44"/>
  <c r="H56" i="44"/>
  <c r="H55" i="44"/>
  <c r="H54" i="44"/>
  <c r="H53" i="44"/>
  <c r="G49" i="44"/>
  <c r="G142" i="44" s="1"/>
  <c r="F49" i="44"/>
  <c r="E49" i="44"/>
  <c r="E142" i="44" s="1"/>
  <c r="D49" i="44"/>
  <c r="H47" i="44"/>
  <c r="H46" i="44"/>
  <c r="H45" i="44"/>
  <c r="H44" i="44"/>
  <c r="H43" i="44"/>
  <c r="H42" i="44"/>
  <c r="H41" i="44"/>
  <c r="H40" i="44"/>
  <c r="H49" i="44" s="1"/>
  <c r="H142" i="44" s="1"/>
  <c r="G36" i="44"/>
  <c r="G141" i="44" s="1"/>
  <c r="G152" i="44" s="1"/>
  <c r="F36" i="44"/>
  <c r="F141" i="44" s="1"/>
  <c r="E36" i="44"/>
  <c r="E141" i="44" s="1"/>
  <c r="E152" i="44" s="1"/>
  <c r="D36" i="44"/>
  <c r="D141" i="44" s="1"/>
  <c r="H34" i="44"/>
  <c r="H33" i="44"/>
  <c r="H32" i="44"/>
  <c r="H31" i="44"/>
  <c r="H30" i="44"/>
  <c r="H29" i="44"/>
  <c r="H28" i="44"/>
  <c r="H27" i="44"/>
  <c r="H26" i="44"/>
  <c r="H25" i="44"/>
  <c r="H24" i="44"/>
  <c r="H23" i="44"/>
  <c r="H22" i="44"/>
  <c r="H21" i="44"/>
  <c r="H36" i="44" s="1"/>
  <c r="H141" i="44" s="1"/>
  <c r="H18" i="44"/>
  <c r="H150" i="44" s="1"/>
  <c r="D152" i="44" l="1"/>
  <c r="H152" i="44"/>
  <c r="F152" i="44"/>
  <c r="D155" i="44" l="1"/>
  <c r="D154" i="44"/>
  <c r="G150" i="42" l="1"/>
  <c r="F150" i="42"/>
  <c r="E150" i="42"/>
  <c r="D150" i="42"/>
  <c r="G149" i="42"/>
  <c r="H148" i="42"/>
  <c r="F147" i="42"/>
  <c r="E147" i="42"/>
  <c r="G146" i="42"/>
  <c r="F146" i="42"/>
  <c r="G145" i="42"/>
  <c r="E145" i="42"/>
  <c r="D145" i="42"/>
  <c r="E144" i="42"/>
  <c r="D144" i="42"/>
  <c r="G143" i="42"/>
  <c r="F143" i="42"/>
  <c r="E143" i="42"/>
  <c r="F142" i="42"/>
  <c r="G141" i="42"/>
  <c r="G137" i="42"/>
  <c r="F137" i="42"/>
  <c r="F149" i="42" s="1"/>
  <c r="E137" i="42"/>
  <c r="E149" i="42" s="1"/>
  <c r="D137" i="42"/>
  <c r="D149" i="42" s="1"/>
  <c r="H135" i="42"/>
  <c r="H134" i="42"/>
  <c r="H133" i="42"/>
  <c r="H132" i="42"/>
  <c r="H137" i="42" s="1"/>
  <c r="H149" i="42" s="1"/>
  <c r="H131" i="42"/>
  <c r="E119" i="42"/>
  <c r="H111" i="42"/>
  <c r="H108" i="42"/>
  <c r="H147" i="42" s="1"/>
  <c r="G108" i="42"/>
  <c r="G147" i="42" s="1"/>
  <c r="F108" i="42"/>
  <c r="E108" i="42"/>
  <c r="D108" i="42"/>
  <c r="D147" i="42" s="1"/>
  <c r="H106" i="42"/>
  <c r="H105" i="42"/>
  <c r="H104" i="42"/>
  <c r="H103" i="42"/>
  <c r="H102" i="42"/>
  <c r="G98" i="42"/>
  <c r="F98" i="42"/>
  <c r="E98" i="42"/>
  <c r="E146" i="42" s="1"/>
  <c r="D98" i="42"/>
  <c r="D146" i="42" s="1"/>
  <c r="H96" i="42"/>
  <c r="H95" i="42"/>
  <c r="H94" i="42"/>
  <c r="H93" i="42"/>
  <c r="H92" i="42"/>
  <c r="H91" i="42"/>
  <c r="H90" i="42"/>
  <c r="H89" i="42"/>
  <c r="H88" i="42"/>
  <c r="H87" i="42"/>
  <c r="H86" i="42"/>
  <c r="H98" i="42" s="1"/>
  <c r="H146" i="42" s="1"/>
  <c r="G82" i="42"/>
  <c r="F82" i="42"/>
  <c r="F145" i="42" s="1"/>
  <c r="D82" i="42"/>
  <c r="H80" i="42"/>
  <c r="H79" i="42"/>
  <c r="H78" i="42"/>
  <c r="H77" i="42"/>
  <c r="H82" i="42" s="1"/>
  <c r="H145" i="42" s="1"/>
  <c r="G74" i="42"/>
  <c r="G144" i="42" s="1"/>
  <c r="F74" i="42"/>
  <c r="F144" i="42" s="1"/>
  <c r="E74" i="42"/>
  <c r="D74" i="42"/>
  <c r="H72" i="42"/>
  <c r="H71" i="42"/>
  <c r="H70" i="42"/>
  <c r="H69" i="42"/>
  <c r="H68" i="42"/>
  <c r="H74" i="42" s="1"/>
  <c r="H144" i="42" s="1"/>
  <c r="G64" i="42"/>
  <c r="F64" i="42"/>
  <c r="E64" i="42"/>
  <c r="D64" i="42"/>
  <c r="D143" i="42" s="1"/>
  <c r="H62" i="42"/>
  <c r="H61" i="42"/>
  <c r="H60" i="42"/>
  <c r="H59" i="42"/>
  <c r="H58" i="42"/>
  <c r="H57" i="42"/>
  <c r="H56" i="42"/>
  <c r="H55" i="42"/>
  <c r="H64" i="42" s="1"/>
  <c r="H143" i="42" s="1"/>
  <c r="H54" i="42"/>
  <c r="H53" i="42"/>
  <c r="G49" i="42"/>
  <c r="G142" i="42" s="1"/>
  <c r="F49" i="42"/>
  <c r="E49" i="42"/>
  <c r="E142" i="42" s="1"/>
  <c r="D49" i="42"/>
  <c r="D142" i="42" s="1"/>
  <c r="H47" i="42"/>
  <c r="H46" i="42"/>
  <c r="H45" i="42"/>
  <c r="H44" i="42"/>
  <c r="H43" i="42"/>
  <c r="H42" i="42"/>
  <c r="H41" i="42"/>
  <c r="H40" i="42"/>
  <c r="H49" i="42" s="1"/>
  <c r="H142" i="42" s="1"/>
  <c r="G36" i="42"/>
  <c r="F36" i="42"/>
  <c r="F141" i="42" s="1"/>
  <c r="F152" i="42" s="1"/>
  <c r="E36" i="42"/>
  <c r="E141" i="42" s="1"/>
  <c r="E152" i="42" s="1"/>
  <c r="D36" i="42"/>
  <c r="D141" i="42" s="1"/>
  <c r="H34" i="42"/>
  <c r="H33" i="42"/>
  <c r="H32" i="42"/>
  <c r="H31" i="42"/>
  <c r="H30" i="42"/>
  <c r="H29" i="42"/>
  <c r="H28" i="42"/>
  <c r="H27" i="42"/>
  <c r="H26" i="42"/>
  <c r="H25" i="42"/>
  <c r="H24" i="42"/>
  <c r="H23" i="42"/>
  <c r="H36" i="42" s="1"/>
  <c r="H141" i="42" s="1"/>
  <c r="H22" i="42"/>
  <c r="H21" i="42"/>
  <c r="H18" i="42"/>
  <c r="H150" i="42" s="1"/>
  <c r="D152" i="42" l="1"/>
  <c r="G152" i="42"/>
  <c r="H152" i="42"/>
  <c r="D155" i="42" l="1"/>
  <c r="D154" i="42"/>
  <c r="G150" i="41" l="1"/>
  <c r="F150" i="41"/>
  <c r="E150" i="41"/>
  <c r="D150" i="41"/>
  <c r="G149" i="41"/>
  <c r="D149" i="41"/>
  <c r="G146" i="41"/>
  <c r="E145" i="41"/>
  <c r="D145" i="41"/>
  <c r="D144" i="41"/>
  <c r="G143" i="41"/>
  <c r="F143" i="41"/>
  <c r="F142" i="41"/>
  <c r="D142" i="41"/>
  <c r="G137" i="41"/>
  <c r="F137" i="41"/>
  <c r="F149" i="41" s="1"/>
  <c r="E137" i="41"/>
  <c r="E149" i="41" s="1"/>
  <c r="D137" i="41"/>
  <c r="H135" i="41"/>
  <c r="H134" i="41"/>
  <c r="H133" i="41"/>
  <c r="H132" i="41"/>
  <c r="H137" i="41" s="1"/>
  <c r="H149" i="41" s="1"/>
  <c r="H131" i="41"/>
  <c r="E118" i="41"/>
  <c r="E119" i="41" s="1"/>
  <c r="E123" i="41" s="1"/>
  <c r="E127" i="41" s="1"/>
  <c r="H111" i="41"/>
  <c r="H148" i="41" s="1"/>
  <c r="G108" i="41"/>
  <c r="G147" i="41" s="1"/>
  <c r="F108" i="41"/>
  <c r="F147" i="41" s="1"/>
  <c r="E108" i="41"/>
  <c r="E147" i="41" s="1"/>
  <c r="D108" i="41"/>
  <c r="D147" i="41" s="1"/>
  <c r="H106" i="41"/>
  <c r="H105" i="41"/>
  <c r="H104" i="41"/>
  <c r="H103" i="41"/>
  <c r="H102" i="41"/>
  <c r="H108" i="41" s="1"/>
  <c r="H147" i="41" s="1"/>
  <c r="G98" i="41"/>
  <c r="F98" i="41"/>
  <c r="F146" i="41" s="1"/>
  <c r="E98" i="41"/>
  <c r="E146" i="41" s="1"/>
  <c r="D98" i="41"/>
  <c r="D146" i="41" s="1"/>
  <c r="H96" i="41"/>
  <c r="H95" i="41"/>
  <c r="H94" i="41"/>
  <c r="H93" i="41"/>
  <c r="H92" i="41"/>
  <c r="H91" i="41"/>
  <c r="H90" i="41"/>
  <c r="H89" i="41"/>
  <c r="H88" i="41"/>
  <c r="H87" i="41"/>
  <c r="H86" i="41"/>
  <c r="H98" i="41" s="1"/>
  <c r="H146" i="41" s="1"/>
  <c r="G82" i="41"/>
  <c r="G145" i="41" s="1"/>
  <c r="F82" i="41"/>
  <c r="F145" i="41" s="1"/>
  <c r="E82" i="41"/>
  <c r="D82" i="41"/>
  <c r="H80" i="41"/>
  <c r="H78" i="41"/>
  <c r="H77" i="41"/>
  <c r="H82" i="41" s="1"/>
  <c r="H145" i="41" s="1"/>
  <c r="G74" i="41"/>
  <c r="G144" i="41" s="1"/>
  <c r="F74" i="41"/>
  <c r="F144" i="41" s="1"/>
  <c r="E74" i="41"/>
  <c r="E144" i="41" s="1"/>
  <c r="D74" i="41"/>
  <c r="H72" i="41"/>
  <c r="H71" i="41"/>
  <c r="H70" i="41"/>
  <c r="H69" i="41"/>
  <c r="H68" i="41"/>
  <c r="H74" i="41" s="1"/>
  <c r="H144" i="41" s="1"/>
  <c r="G64" i="41"/>
  <c r="F64" i="41"/>
  <c r="E64" i="41"/>
  <c r="E143" i="41" s="1"/>
  <c r="D64" i="41"/>
  <c r="D143" i="41" s="1"/>
  <c r="H62" i="41"/>
  <c r="H61" i="41"/>
  <c r="H60" i="41"/>
  <c r="H59" i="41"/>
  <c r="H58" i="41"/>
  <c r="H57" i="41"/>
  <c r="H56" i="41"/>
  <c r="H55" i="41"/>
  <c r="H54" i="41"/>
  <c r="H64" i="41" s="1"/>
  <c r="H143" i="41" s="1"/>
  <c r="H53" i="41"/>
  <c r="G49" i="41"/>
  <c r="G142" i="41" s="1"/>
  <c r="F49" i="41"/>
  <c r="E49" i="41"/>
  <c r="E142" i="41" s="1"/>
  <c r="D49" i="41"/>
  <c r="H47" i="41"/>
  <c r="H46" i="41"/>
  <c r="H45" i="41"/>
  <c r="H44" i="41"/>
  <c r="H49" i="41" s="1"/>
  <c r="H142" i="41" s="1"/>
  <c r="H43" i="41"/>
  <c r="H42" i="41"/>
  <c r="H41" i="41"/>
  <c r="H40" i="41"/>
  <c r="G36" i="41"/>
  <c r="G141" i="41" s="1"/>
  <c r="F36" i="41"/>
  <c r="F141" i="41" s="1"/>
  <c r="E36" i="41"/>
  <c r="E141" i="41" s="1"/>
  <c r="D36" i="41"/>
  <c r="D141" i="41" s="1"/>
  <c r="D152" i="41" s="1"/>
  <c r="H34" i="41"/>
  <c r="H33" i="41"/>
  <c r="H32" i="41"/>
  <c r="H31" i="41"/>
  <c r="H30" i="41"/>
  <c r="H29" i="41"/>
  <c r="H28" i="41"/>
  <c r="H27" i="41"/>
  <c r="H26" i="41"/>
  <c r="H25" i="41"/>
  <c r="H24" i="41"/>
  <c r="H23" i="41"/>
  <c r="H22" i="41"/>
  <c r="H21" i="41"/>
  <c r="H36" i="41" s="1"/>
  <c r="H141" i="41" s="1"/>
  <c r="H18" i="41"/>
  <c r="H150" i="41" s="1"/>
  <c r="E152" i="41" l="1"/>
  <c r="H152" i="41"/>
  <c r="F152" i="41"/>
  <c r="G152" i="41"/>
  <c r="D154" i="41" l="1"/>
  <c r="D155" i="41"/>
  <c r="H150" i="40" l="1"/>
  <c r="G150" i="40"/>
  <c r="F150" i="40"/>
  <c r="E150" i="40"/>
  <c r="D150" i="40"/>
  <c r="G149" i="40"/>
  <c r="E147" i="40"/>
  <c r="G146" i="40"/>
  <c r="F146" i="40"/>
  <c r="E146" i="40"/>
  <c r="G145" i="40"/>
  <c r="E145" i="40"/>
  <c r="G144" i="40"/>
  <c r="D143" i="40"/>
  <c r="G141" i="40"/>
  <c r="F141" i="40"/>
  <c r="G137" i="40"/>
  <c r="F137" i="40"/>
  <c r="F149" i="40" s="1"/>
  <c r="E137" i="40"/>
  <c r="E149" i="40" s="1"/>
  <c r="D137" i="40"/>
  <c r="D149" i="40" s="1"/>
  <c r="H135" i="40"/>
  <c r="H134" i="40"/>
  <c r="H133" i="40"/>
  <c r="H132" i="40"/>
  <c r="H137" i="40" s="1"/>
  <c r="H149" i="40" s="1"/>
  <c r="H131" i="40"/>
  <c r="E119" i="40"/>
  <c r="E123" i="40" s="1"/>
  <c r="E127" i="40" s="1"/>
  <c r="H111" i="40"/>
  <c r="H148" i="40" s="1"/>
  <c r="G108" i="40"/>
  <c r="G147" i="40" s="1"/>
  <c r="F108" i="40"/>
  <c r="F147" i="40" s="1"/>
  <c r="E108" i="40"/>
  <c r="D108" i="40"/>
  <c r="D147" i="40" s="1"/>
  <c r="H106" i="40"/>
  <c r="H105" i="40"/>
  <c r="H104" i="40"/>
  <c r="H103" i="40"/>
  <c r="H102" i="40"/>
  <c r="H108" i="40" s="1"/>
  <c r="H147" i="40" s="1"/>
  <c r="G98" i="40"/>
  <c r="F98" i="40"/>
  <c r="E98" i="40"/>
  <c r="D98" i="40"/>
  <c r="D146" i="40" s="1"/>
  <c r="H96" i="40"/>
  <c r="H95" i="40"/>
  <c r="H94" i="40"/>
  <c r="H93" i="40"/>
  <c r="H92" i="40"/>
  <c r="H91" i="40"/>
  <c r="H90" i="40"/>
  <c r="H89" i="40"/>
  <c r="H88" i="40"/>
  <c r="H98" i="40" s="1"/>
  <c r="H146" i="40" s="1"/>
  <c r="H87" i="40"/>
  <c r="H86" i="40"/>
  <c r="G82" i="40"/>
  <c r="F82" i="40"/>
  <c r="F145" i="40" s="1"/>
  <c r="D82" i="40"/>
  <c r="D145" i="40" s="1"/>
  <c r="H80" i="40"/>
  <c r="H79" i="40"/>
  <c r="H82" i="40" s="1"/>
  <c r="H145" i="40" s="1"/>
  <c r="H78" i="40"/>
  <c r="H77" i="40"/>
  <c r="G74" i="40"/>
  <c r="F74" i="40"/>
  <c r="F144" i="40" s="1"/>
  <c r="E74" i="40"/>
  <c r="E144" i="40" s="1"/>
  <c r="D74" i="40"/>
  <c r="D144" i="40" s="1"/>
  <c r="H72" i="40"/>
  <c r="H71" i="40"/>
  <c r="H70" i="40"/>
  <c r="H69" i="40"/>
  <c r="H74" i="40" s="1"/>
  <c r="H144" i="40" s="1"/>
  <c r="H68" i="40"/>
  <c r="G64" i="40"/>
  <c r="G143" i="40" s="1"/>
  <c r="F64" i="40"/>
  <c r="F143" i="40" s="1"/>
  <c r="E64" i="40"/>
  <c r="E143" i="40" s="1"/>
  <c r="D64" i="40"/>
  <c r="H62" i="40"/>
  <c r="H61" i="40"/>
  <c r="H60" i="40"/>
  <c r="H59" i="40"/>
  <c r="H58" i="40"/>
  <c r="H57" i="40"/>
  <c r="H56" i="40"/>
  <c r="H55" i="40"/>
  <c r="H54" i="40"/>
  <c r="H53" i="40"/>
  <c r="H64" i="40" s="1"/>
  <c r="H143" i="40" s="1"/>
  <c r="G49" i="40"/>
  <c r="G142" i="40" s="1"/>
  <c r="F49" i="40"/>
  <c r="F142" i="40" s="1"/>
  <c r="E49" i="40"/>
  <c r="E142" i="40" s="1"/>
  <c r="D49" i="40"/>
  <c r="D142" i="40" s="1"/>
  <c r="H47" i="40"/>
  <c r="H46" i="40"/>
  <c r="H45" i="40"/>
  <c r="H44" i="40"/>
  <c r="H43" i="40"/>
  <c r="H42" i="40"/>
  <c r="H41" i="40"/>
  <c r="H40" i="40"/>
  <c r="H49" i="40" s="1"/>
  <c r="H142" i="40" s="1"/>
  <c r="G36" i="40"/>
  <c r="F36" i="40"/>
  <c r="E36" i="40"/>
  <c r="E141" i="40" s="1"/>
  <c r="E152" i="40" s="1"/>
  <c r="D36" i="40"/>
  <c r="D141" i="40" s="1"/>
  <c r="H34" i="40"/>
  <c r="H33" i="40"/>
  <c r="H32" i="40"/>
  <c r="H31" i="40"/>
  <c r="H30" i="40"/>
  <c r="H29" i="40"/>
  <c r="H28" i="40"/>
  <c r="H27" i="40"/>
  <c r="H26" i="40"/>
  <c r="H25" i="40"/>
  <c r="H24" i="40"/>
  <c r="H23" i="40"/>
  <c r="H22" i="40"/>
  <c r="H21" i="40"/>
  <c r="H36" i="40" s="1"/>
  <c r="H141" i="40" s="1"/>
  <c r="D152" i="40" l="1"/>
  <c r="F152" i="40"/>
  <c r="H152" i="40"/>
  <c r="G152" i="40"/>
  <c r="D154" i="40" l="1"/>
  <c r="D155" i="40"/>
  <c r="H150" i="39" l="1"/>
  <c r="G150" i="39"/>
  <c r="F150" i="39"/>
  <c r="E150" i="39"/>
  <c r="D150" i="39"/>
  <c r="E149" i="39"/>
  <c r="E145" i="39"/>
  <c r="D144" i="39"/>
  <c r="F142" i="39"/>
  <c r="D142" i="39"/>
  <c r="G137" i="39"/>
  <c r="G149" i="39" s="1"/>
  <c r="F137" i="39"/>
  <c r="F149" i="39" s="1"/>
  <c r="E137" i="39"/>
  <c r="D137" i="39"/>
  <c r="D149" i="39" s="1"/>
  <c r="H135" i="39"/>
  <c r="H134" i="39"/>
  <c r="H133" i="39"/>
  <c r="H132" i="39"/>
  <c r="H131" i="39"/>
  <c r="H137" i="39" s="1"/>
  <c r="H149" i="39" s="1"/>
  <c r="E119" i="39"/>
  <c r="E123" i="39" s="1"/>
  <c r="E127" i="39" s="1"/>
  <c r="H111" i="39"/>
  <c r="H148" i="39" s="1"/>
  <c r="G108" i="39"/>
  <c r="G147" i="39" s="1"/>
  <c r="F108" i="39"/>
  <c r="F147" i="39" s="1"/>
  <c r="D108" i="39"/>
  <c r="D147" i="39" s="1"/>
  <c r="H106" i="39"/>
  <c r="H105" i="39"/>
  <c r="H104" i="39"/>
  <c r="E103" i="39"/>
  <c r="H103" i="39" s="1"/>
  <c r="E102" i="39"/>
  <c r="H102" i="39" s="1"/>
  <c r="H108" i="39" s="1"/>
  <c r="H147" i="39" s="1"/>
  <c r="G98" i="39"/>
  <c r="G146" i="39" s="1"/>
  <c r="F98" i="39"/>
  <c r="F146" i="39" s="1"/>
  <c r="D98" i="39"/>
  <c r="D146" i="39" s="1"/>
  <c r="H96" i="39"/>
  <c r="H95" i="39"/>
  <c r="H94" i="39"/>
  <c r="H93" i="39"/>
  <c r="E93" i="39"/>
  <c r="E92" i="39"/>
  <c r="H92" i="39" s="1"/>
  <c r="E91" i="39"/>
  <c r="H91" i="39" s="1"/>
  <c r="E90" i="39"/>
  <c r="H90" i="39" s="1"/>
  <c r="H89" i="39"/>
  <c r="E88" i="39"/>
  <c r="H88" i="39" s="1"/>
  <c r="H98" i="39" s="1"/>
  <c r="H146" i="39" s="1"/>
  <c r="H87" i="39"/>
  <c r="H86" i="39"/>
  <c r="H82" i="39"/>
  <c r="H145" i="39" s="1"/>
  <c r="G82" i="39"/>
  <c r="G145" i="39" s="1"/>
  <c r="F82" i="39"/>
  <c r="F145" i="39" s="1"/>
  <c r="D82" i="39"/>
  <c r="D145" i="39" s="1"/>
  <c r="H80" i="39"/>
  <c r="H79" i="39"/>
  <c r="H78" i="39"/>
  <c r="H77" i="39"/>
  <c r="G74" i="39"/>
  <c r="G144" i="39" s="1"/>
  <c r="F74" i="39"/>
  <c r="F144" i="39" s="1"/>
  <c r="E74" i="39"/>
  <c r="E144" i="39" s="1"/>
  <c r="D74" i="39"/>
  <c r="H72" i="39"/>
  <c r="H71" i="39"/>
  <c r="H70" i="39"/>
  <c r="H69" i="39"/>
  <c r="H68" i="39"/>
  <c r="H74" i="39" s="1"/>
  <c r="H144" i="39" s="1"/>
  <c r="G64" i="39"/>
  <c r="G143" i="39" s="1"/>
  <c r="F64" i="39"/>
  <c r="F143" i="39" s="1"/>
  <c r="D64" i="39"/>
  <c r="D143" i="39" s="1"/>
  <c r="H62" i="39"/>
  <c r="H61" i="39"/>
  <c r="H60" i="39"/>
  <c r="H59" i="39"/>
  <c r="H58" i="39"/>
  <c r="H57" i="39"/>
  <c r="H56" i="39"/>
  <c r="E55" i="39"/>
  <c r="H55" i="39" s="1"/>
  <c r="E54" i="39"/>
  <c r="H54" i="39" s="1"/>
  <c r="E53" i="39"/>
  <c r="H53" i="39" s="1"/>
  <c r="H64" i="39" s="1"/>
  <c r="H143" i="39" s="1"/>
  <c r="G49" i="39"/>
  <c r="G142" i="39" s="1"/>
  <c r="F49" i="39"/>
  <c r="D49" i="39"/>
  <c r="H47" i="39"/>
  <c r="H46" i="39"/>
  <c r="H45" i="39"/>
  <c r="H44" i="39"/>
  <c r="H43" i="39"/>
  <c r="E42" i="39"/>
  <c r="H42" i="39" s="1"/>
  <c r="H41" i="39"/>
  <c r="H40" i="39"/>
  <c r="H49" i="39" s="1"/>
  <c r="H142" i="39" s="1"/>
  <c r="G36" i="39"/>
  <c r="G141" i="39" s="1"/>
  <c r="G152" i="39" s="1"/>
  <c r="F36" i="39"/>
  <c r="F141" i="39" s="1"/>
  <c r="D36" i="39"/>
  <c r="D141" i="39" s="1"/>
  <c r="D152" i="39" s="1"/>
  <c r="H34" i="39"/>
  <c r="H33" i="39"/>
  <c r="H32" i="39"/>
  <c r="H31" i="39"/>
  <c r="H30" i="39"/>
  <c r="H29" i="39"/>
  <c r="E28" i="39"/>
  <c r="H28" i="39" s="1"/>
  <c r="H27" i="39"/>
  <c r="H26" i="39"/>
  <c r="E25" i="39"/>
  <c r="H25" i="39" s="1"/>
  <c r="H24" i="39"/>
  <c r="E24" i="39"/>
  <c r="E22" i="39"/>
  <c r="H22" i="39" s="1"/>
  <c r="E21" i="39"/>
  <c r="E36" i="39" s="1"/>
  <c r="E141" i="39" s="1"/>
  <c r="F152" i="39" l="1"/>
  <c r="E108" i="39"/>
  <c r="E147" i="39" s="1"/>
  <c r="H21" i="39"/>
  <c r="H36" i="39" s="1"/>
  <c r="H141" i="39" s="1"/>
  <c r="H152" i="39" s="1"/>
  <c r="E49" i="39"/>
  <c r="E142" i="39" s="1"/>
  <c r="E152" i="39" s="1"/>
  <c r="E98" i="39"/>
  <c r="E146" i="39" s="1"/>
  <c r="E64" i="39"/>
  <c r="E143" i="39" s="1"/>
  <c r="D155" i="39" l="1"/>
  <c r="D154" i="39"/>
  <c r="G150" i="38" l="1"/>
  <c r="F150" i="38"/>
  <c r="E150" i="38"/>
  <c r="D150" i="38"/>
  <c r="G149" i="38"/>
  <c r="H148" i="38"/>
  <c r="G146" i="38"/>
  <c r="F146" i="38"/>
  <c r="E145" i="38"/>
  <c r="D145" i="38"/>
  <c r="G144" i="38"/>
  <c r="D144" i="38"/>
  <c r="G143" i="38"/>
  <c r="F143" i="38"/>
  <c r="E143" i="38"/>
  <c r="D143" i="38"/>
  <c r="F142" i="38"/>
  <c r="G141" i="38"/>
  <c r="G152" i="38" s="1"/>
  <c r="F141" i="38"/>
  <c r="G137" i="38"/>
  <c r="F137" i="38"/>
  <c r="F149" i="38" s="1"/>
  <c r="E137" i="38"/>
  <c r="E149" i="38" s="1"/>
  <c r="D137" i="38"/>
  <c r="D149" i="38" s="1"/>
  <c r="H135" i="38"/>
  <c r="H134" i="38"/>
  <c r="H133" i="38"/>
  <c r="H132" i="38"/>
  <c r="H137" i="38" s="1"/>
  <c r="H149" i="38" s="1"/>
  <c r="H131" i="38"/>
  <c r="E119" i="38"/>
  <c r="H111" i="38"/>
  <c r="G108" i="38"/>
  <c r="G147" i="38" s="1"/>
  <c r="F108" i="38"/>
  <c r="F147" i="38" s="1"/>
  <c r="D108" i="38"/>
  <c r="D147" i="38" s="1"/>
  <c r="H106" i="38"/>
  <c r="H105" i="38"/>
  <c r="H104" i="38"/>
  <c r="E103" i="38"/>
  <c r="H103" i="38" s="1"/>
  <c r="E102" i="38"/>
  <c r="H102" i="38" s="1"/>
  <c r="H108" i="38" s="1"/>
  <c r="H147" i="38" s="1"/>
  <c r="G98" i="38"/>
  <c r="F98" i="38"/>
  <c r="D98" i="38"/>
  <c r="D146" i="38" s="1"/>
  <c r="H96" i="38"/>
  <c r="E96" i="38"/>
  <c r="E95" i="38"/>
  <c r="H95" i="38" s="1"/>
  <c r="E94" i="38"/>
  <c r="H94" i="38" s="1"/>
  <c r="E93" i="38"/>
  <c r="H93" i="38" s="1"/>
  <c r="H92" i="38"/>
  <c r="E92" i="38"/>
  <c r="E91" i="38"/>
  <c r="H91" i="38" s="1"/>
  <c r="E90" i="38"/>
  <c r="H90" i="38" s="1"/>
  <c r="E89" i="38"/>
  <c r="E98" i="38" s="1"/>
  <c r="E146" i="38" s="1"/>
  <c r="H88" i="38"/>
  <c r="E88" i="38"/>
  <c r="E87" i="38"/>
  <c r="H87" i="38" s="1"/>
  <c r="E86" i="38"/>
  <c r="H86" i="38" s="1"/>
  <c r="H82" i="38"/>
  <c r="H145" i="38" s="1"/>
  <c r="G82" i="38"/>
  <c r="G145" i="38" s="1"/>
  <c r="F82" i="38"/>
  <c r="F145" i="38" s="1"/>
  <c r="D82" i="38"/>
  <c r="H80" i="38"/>
  <c r="H79" i="38"/>
  <c r="H78" i="38"/>
  <c r="H77" i="38"/>
  <c r="G74" i="38"/>
  <c r="F74" i="38"/>
  <c r="F144" i="38" s="1"/>
  <c r="E74" i="38"/>
  <c r="E144" i="38" s="1"/>
  <c r="D74" i="38"/>
  <c r="H72" i="38"/>
  <c r="H71" i="38"/>
  <c r="H70" i="38"/>
  <c r="H69" i="38"/>
  <c r="H68" i="38"/>
  <c r="H74" i="38" s="1"/>
  <c r="H144" i="38" s="1"/>
  <c r="G64" i="38"/>
  <c r="F64" i="38"/>
  <c r="E64" i="38"/>
  <c r="D64" i="38"/>
  <c r="H62" i="38"/>
  <c r="H61" i="38"/>
  <c r="H60" i="38"/>
  <c r="H59" i="38"/>
  <c r="H64" i="38" s="1"/>
  <c r="H143" i="38" s="1"/>
  <c r="H58" i="38"/>
  <c r="H57" i="38"/>
  <c r="H56" i="38"/>
  <c r="H55" i="38"/>
  <c r="H54" i="38"/>
  <c r="H53" i="38"/>
  <c r="G49" i="38"/>
  <c r="G142" i="38" s="1"/>
  <c r="F49" i="38"/>
  <c r="E49" i="38"/>
  <c r="E142" i="38" s="1"/>
  <c r="D49" i="38"/>
  <c r="D142" i="38" s="1"/>
  <c r="H47" i="38"/>
  <c r="H46" i="38"/>
  <c r="H45" i="38"/>
  <c r="H44" i="38"/>
  <c r="H43" i="38"/>
  <c r="H49" i="38" s="1"/>
  <c r="H142" i="38" s="1"/>
  <c r="H42" i="38"/>
  <c r="H41" i="38"/>
  <c r="H40" i="38"/>
  <c r="G36" i="38"/>
  <c r="F36" i="38"/>
  <c r="D36" i="38"/>
  <c r="D141" i="38" s="1"/>
  <c r="E34" i="38"/>
  <c r="H34" i="38" s="1"/>
  <c r="H33" i="38"/>
  <c r="E33" i="38"/>
  <c r="E32" i="38"/>
  <c r="H32" i="38" s="1"/>
  <c r="E31" i="38"/>
  <c r="H31" i="38" s="1"/>
  <c r="E30" i="38"/>
  <c r="H30" i="38" s="1"/>
  <c r="H29" i="38"/>
  <c r="E29" i="38"/>
  <c r="E28" i="38"/>
  <c r="H28" i="38" s="1"/>
  <c r="E27" i="38"/>
  <c r="H27" i="38" s="1"/>
  <c r="E26" i="38"/>
  <c r="H26" i="38" s="1"/>
  <c r="H25" i="38"/>
  <c r="E25" i="38"/>
  <c r="E24" i="38"/>
  <c r="H24" i="38" s="1"/>
  <c r="E23" i="38"/>
  <c r="H23" i="38" s="1"/>
  <c r="E22" i="38"/>
  <c r="H22" i="38" s="1"/>
  <c r="H21" i="38"/>
  <c r="E21" i="38"/>
  <c r="H150" i="38"/>
  <c r="H98" i="38" l="1"/>
  <c r="H146" i="38" s="1"/>
  <c r="H36" i="38"/>
  <c r="H141" i="38" s="1"/>
  <c r="D152" i="38"/>
  <c r="F152" i="38"/>
  <c r="E36" i="38"/>
  <c r="E141" i="38" s="1"/>
  <c r="E152" i="38" s="1"/>
  <c r="H89" i="38"/>
  <c r="E108" i="38"/>
  <c r="E147" i="38" s="1"/>
  <c r="H152" i="38" l="1"/>
  <c r="D154" i="38" l="1"/>
  <c r="D155" i="38"/>
  <c r="G150" i="37" l="1"/>
  <c r="F150" i="37"/>
  <c r="E150" i="37"/>
  <c r="D150" i="37"/>
  <c r="G149" i="37"/>
  <c r="E149" i="37"/>
  <c r="E147" i="37"/>
  <c r="G145" i="37"/>
  <c r="E145" i="37"/>
  <c r="G143" i="37"/>
  <c r="F142" i="37"/>
  <c r="D142" i="37"/>
  <c r="H137" i="37"/>
  <c r="H149" i="37" s="1"/>
  <c r="G137" i="37"/>
  <c r="F137" i="37"/>
  <c r="F149" i="37" s="1"/>
  <c r="E137" i="37"/>
  <c r="D137" i="37"/>
  <c r="D149" i="37" s="1"/>
  <c r="H135" i="37"/>
  <c r="H134" i="37"/>
  <c r="H133" i="37"/>
  <c r="H132" i="37"/>
  <c r="H131" i="37"/>
  <c r="E119" i="37"/>
  <c r="H111" i="37"/>
  <c r="H148" i="37" s="1"/>
  <c r="G108" i="37"/>
  <c r="G147" i="37" s="1"/>
  <c r="F108" i="37"/>
  <c r="F147" i="37" s="1"/>
  <c r="E108" i="37"/>
  <c r="D108" i="37"/>
  <c r="D147" i="37" s="1"/>
  <c r="H106" i="37"/>
  <c r="H105" i="37"/>
  <c r="H104" i="37"/>
  <c r="H103" i="37"/>
  <c r="H102" i="37"/>
  <c r="H108" i="37" s="1"/>
  <c r="H147" i="37" s="1"/>
  <c r="G98" i="37"/>
  <c r="G146" i="37" s="1"/>
  <c r="F98" i="37"/>
  <c r="F146" i="37" s="1"/>
  <c r="E98" i="37"/>
  <c r="E146" i="37" s="1"/>
  <c r="D98" i="37"/>
  <c r="D146" i="37" s="1"/>
  <c r="H96" i="37"/>
  <c r="H95" i="37"/>
  <c r="H94" i="37"/>
  <c r="H93" i="37"/>
  <c r="H92" i="37"/>
  <c r="H91" i="37"/>
  <c r="H90" i="37"/>
  <c r="H89" i="37"/>
  <c r="H88" i="37"/>
  <c r="H87" i="37"/>
  <c r="H86" i="37"/>
  <c r="H98" i="37" s="1"/>
  <c r="H146" i="37" s="1"/>
  <c r="G82" i="37"/>
  <c r="F82" i="37"/>
  <c r="F145" i="37" s="1"/>
  <c r="D82" i="37"/>
  <c r="D145" i="37" s="1"/>
  <c r="H80" i="37"/>
  <c r="H79" i="37"/>
  <c r="H78" i="37"/>
  <c r="H77" i="37"/>
  <c r="H82" i="37" s="1"/>
  <c r="H145" i="37" s="1"/>
  <c r="G74" i="37"/>
  <c r="G144" i="37" s="1"/>
  <c r="F74" i="37"/>
  <c r="F144" i="37" s="1"/>
  <c r="E74" i="37"/>
  <c r="E144" i="37" s="1"/>
  <c r="D74" i="37"/>
  <c r="D144" i="37" s="1"/>
  <c r="H72" i="37"/>
  <c r="H71" i="37"/>
  <c r="H70" i="37"/>
  <c r="H69" i="37"/>
  <c r="H68" i="37"/>
  <c r="H74" i="37" s="1"/>
  <c r="H144" i="37" s="1"/>
  <c r="G64" i="37"/>
  <c r="F64" i="37"/>
  <c r="F143" i="37" s="1"/>
  <c r="E64" i="37"/>
  <c r="E143" i="37" s="1"/>
  <c r="D64" i="37"/>
  <c r="D143" i="37" s="1"/>
  <c r="H62" i="37"/>
  <c r="H61" i="37"/>
  <c r="H60" i="37"/>
  <c r="H59" i="37"/>
  <c r="H58" i="37"/>
  <c r="H57" i="37"/>
  <c r="H64" i="37" s="1"/>
  <c r="H143" i="37" s="1"/>
  <c r="H56" i="37"/>
  <c r="H55" i="37"/>
  <c r="H54" i="37"/>
  <c r="H53" i="37"/>
  <c r="G49" i="37"/>
  <c r="G142" i="37" s="1"/>
  <c r="F49" i="37"/>
  <c r="E49" i="37"/>
  <c r="E142" i="37" s="1"/>
  <c r="D49" i="37"/>
  <c r="H47" i="37"/>
  <c r="H46" i="37"/>
  <c r="H45" i="37"/>
  <c r="H44" i="37"/>
  <c r="H43" i="37"/>
  <c r="H42" i="37"/>
  <c r="H41" i="37"/>
  <c r="H40" i="37"/>
  <c r="H49" i="37" s="1"/>
  <c r="H142" i="37" s="1"/>
  <c r="G36" i="37"/>
  <c r="G141" i="37" s="1"/>
  <c r="F36" i="37"/>
  <c r="F141" i="37" s="1"/>
  <c r="F152" i="37" s="1"/>
  <c r="E36" i="37"/>
  <c r="E141" i="37" s="1"/>
  <c r="E152" i="37" s="1"/>
  <c r="D36" i="37"/>
  <c r="D141" i="37" s="1"/>
  <c r="H34" i="37"/>
  <c r="H33" i="37"/>
  <c r="H32" i="37"/>
  <c r="H31" i="37"/>
  <c r="H30" i="37"/>
  <c r="H29" i="37"/>
  <c r="H28" i="37"/>
  <c r="H27" i="37"/>
  <c r="H26" i="37"/>
  <c r="H25" i="37"/>
  <c r="H24" i="37"/>
  <c r="H23" i="37"/>
  <c r="H22" i="37"/>
  <c r="H21" i="37"/>
  <c r="H36" i="37" s="1"/>
  <c r="H141" i="37" s="1"/>
  <c r="H18" i="37"/>
  <c r="H150" i="37" s="1"/>
  <c r="D152" i="37" l="1"/>
  <c r="H152" i="37"/>
  <c r="G152" i="37"/>
  <c r="D155" i="37" l="1"/>
  <c r="D154" i="37"/>
  <c r="G150" i="36" l="1"/>
  <c r="F150" i="36"/>
  <c r="E150" i="36"/>
  <c r="D150" i="36"/>
  <c r="H148" i="36"/>
  <c r="F147" i="36"/>
  <c r="G146" i="36"/>
  <c r="F146" i="36"/>
  <c r="E146" i="36"/>
  <c r="E145" i="36"/>
  <c r="G144" i="36"/>
  <c r="G137" i="36"/>
  <c r="G149" i="36" s="1"/>
  <c r="F137" i="36"/>
  <c r="F149" i="36" s="1"/>
  <c r="E137" i="36"/>
  <c r="E149" i="36" s="1"/>
  <c r="D137" i="36"/>
  <c r="D149" i="36" s="1"/>
  <c r="H135" i="36"/>
  <c r="H134" i="36"/>
  <c r="H133" i="36"/>
  <c r="H132" i="36"/>
  <c r="H131" i="36"/>
  <c r="H137" i="36" s="1"/>
  <c r="H149" i="36" s="1"/>
  <c r="E119" i="36"/>
  <c r="H111" i="36"/>
  <c r="G108" i="36"/>
  <c r="G147" i="36" s="1"/>
  <c r="F108" i="36"/>
  <c r="D108" i="36"/>
  <c r="D147" i="36" s="1"/>
  <c r="H106" i="36"/>
  <c r="H105" i="36"/>
  <c r="H104" i="36"/>
  <c r="E103" i="36"/>
  <c r="E108" i="36" s="1"/>
  <c r="E147" i="36" s="1"/>
  <c r="H102" i="36"/>
  <c r="G98" i="36"/>
  <c r="F98" i="36"/>
  <c r="E98" i="36"/>
  <c r="D98" i="36"/>
  <c r="D146" i="36" s="1"/>
  <c r="H96" i="36"/>
  <c r="H95" i="36"/>
  <c r="H94" i="36"/>
  <c r="H93" i="36"/>
  <c r="E93" i="36"/>
  <c r="H92" i="36"/>
  <c r="H91" i="36"/>
  <c r="H90" i="36"/>
  <c r="H89" i="36"/>
  <c r="H88" i="36"/>
  <c r="H87" i="36"/>
  <c r="H86" i="36"/>
  <c r="H98" i="36" s="1"/>
  <c r="H146" i="36" s="1"/>
  <c r="G82" i="36"/>
  <c r="G145" i="36" s="1"/>
  <c r="F82" i="36"/>
  <c r="F145" i="36" s="1"/>
  <c r="D82" i="36"/>
  <c r="D145" i="36" s="1"/>
  <c r="H80" i="36"/>
  <c r="H79" i="36"/>
  <c r="D79" i="36"/>
  <c r="H78" i="36"/>
  <c r="H77" i="36"/>
  <c r="H82" i="36" s="1"/>
  <c r="H145" i="36" s="1"/>
  <c r="G74" i="36"/>
  <c r="F74" i="36"/>
  <c r="F144" i="36" s="1"/>
  <c r="E74" i="36"/>
  <c r="E144" i="36" s="1"/>
  <c r="D74" i="36"/>
  <c r="D144" i="36" s="1"/>
  <c r="H72" i="36"/>
  <c r="H71" i="36"/>
  <c r="H70" i="36"/>
  <c r="H69" i="36"/>
  <c r="H68" i="36"/>
  <c r="H74" i="36" s="1"/>
  <c r="H144" i="36" s="1"/>
  <c r="F64" i="36"/>
  <c r="F143" i="36" s="1"/>
  <c r="H62" i="36"/>
  <c r="H61" i="36"/>
  <c r="H60" i="36"/>
  <c r="H59" i="36"/>
  <c r="H58" i="36"/>
  <c r="H57" i="36"/>
  <c r="H56" i="36"/>
  <c r="H55" i="36"/>
  <c r="E54" i="36"/>
  <c r="H54" i="36" s="1"/>
  <c r="G64" i="36"/>
  <c r="G143" i="36" s="1"/>
  <c r="E64" i="36"/>
  <c r="E143" i="36" s="1"/>
  <c r="D64" i="36"/>
  <c r="D143" i="36" s="1"/>
  <c r="G49" i="36"/>
  <c r="G142" i="36" s="1"/>
  <c r="F49" i="36"/>
  <c r="F142" i="36" s="1"/>
  <c r="E49" i="36"/>
  <c r="E142" i="36" s="1"/>
  <c r="D49" i="36"/>
  <c r="D142" i="36" s="1"/>
  <c r="H47" i="36"/>
  <c r="H46" i="36"/>
  <c r="H45" i="36"/>
  <c r="H44" i="36"/>
  <c r="H43" i="36"/>
  <c r="H42" i="36"/>
  <c r="H41" i="36"/>
  <c r="H40" i="36"/>
  <c r="H49" i="36" s="1"/>
  <c r="H142" i="36" s="1"/>
  <c r="G36" i="36"/>
  <c r="G141" i="36" s="1"/>
  <c r="F36" i="36"/>
  <c r="F141" i="36" s="1"/>
  <c r="F152" i="36" s="1"/>
  <c r="E36" i="36"/>
  <c r="E141" i="36" s="1"/>
  <c r="D36" i="36"/>
  <c r="D141" i="36" s="1"/>
  <c r="H34" i="36"/>
  <c r="H33" i="36"/>
  <c r="H32" i="36"/>
  <c r="H31" i="36"/>
  <c r="H30" i="36"/>
  <c r="H29" i="36"/>
  <c r="H28" i="36"/>
  <c r="H27" i="36"/>
  <c r="H26" i="36"/>
  <c r="H25" i="36"/>
  <c r="H24" i="36"/>
  <c r="H23" i="36"/>
  <c r="H22" i="36"/>
  <c r="H21" i="36"/>
  <c r="H36" i="36" s="1"/>
  <c r="H141" i="36" s="1"/>
  <c r="H18" i="36"/>
  <c r="H150" i="36" s="1"/>
  <c r="G152" i="36" l="1"/>
  <c r="D152" i="36"/>
  <c r="E152" i="36"/>
  <c r="H53" i="36"/>
  <c r="H64" i="36" s="1"/>
  <c r="H143" i="36" s="1"/>
  <c r="H103" i="36"/>
  <c r="H108" i="36" s="1"/>
  <c r="H147" i="36" s="1"/>
  <c r="H152" i="36" l="1"/>
  <c r="D154" i="36"/>
  <c r="D155" i="36" l="1"/>
  <c r="G150" i="34"/>
  <c r="F150" i="34"/>
  <c r="E150" i="34"/>
  <c r="D150" i="34"/>
  <c r="E149" i="34"/>
  <c r="E145" i="34"/>
  <c r="G143" i="34"/>
  <c r="D142" i="34"/>
  <c r="G137" i="34"/>
  <c r="G149" i="34" s="1"/>
  <c r="F137" i="34"/>
  <c r="F149" i="34" s="1"/>
  <c r="E137" i="34"/>
  <c r="D137" i="34"/>
  <c r="D149" i="34" s="1"/>
  <c r="H135" i="34"/>
  <c r="H134" i="34"/>
  <c r="H133" i="34"/>
  <c r="H132" i="34"/>
  <c r="H131" i="34"/>
  <c r="H137" i="34" s="1"/>
  <c r="H149" i="34" s="1"/>
  <c r="E119" i="34"/>
  <c r="E123" i="34" s="1"/>
  <c r="E127" i="34" s="1"/>
  <c r="H111" i="34"/>
  <c r="H148" i="34" s="1"/>
  <c r="G108" i="34"/>
  <c r="G147" i="34" s="1"/>
  <c r="F108" i="34"/>
  <c r="F147" i="34" s="1"/>
  <c r="E108" i="34"/>
  <c r="E147" i="34" s="1"/>
  <c r="D108" i="34"/>
  <c r="D147" i="34" s="1"/>
  <c r="H106" i="34"/>
  <c r="H105" i="34"/>
  <c r="H104" i="34"/>
  <c r="H103" i="34"/>
  <c r="H102" i="34"/>
  <c r="H108" i="34" s="1"/>
  <c r="H147" i="34" s="1"/>
  <c r="G98" i="34"/>
  <c r="G146" i="34" s="1"/>
  <c r="F98" i="34"/>
  <c r="F146" i="34" s="1"/>
  <c r="E98" i="34"/>
  <c r="E146" i="34" s="1"/>
  <c r="D98" i="34"/>
  <c r="D146" i="34" s="1"/>
  <c r="H96" i="34"/>
  <c r="H95" i="34"/>
  <c r="H94" i="34"/>
  <c r="H93" i="34"/>
  <c r="H92" i="34"/>
  <c r="H91" i="34"/>
  <c r="H90" i="34"/>
  <c r="H89" i="34"/>
  <c r="H88" i="34"/>
  <c r="H87" i="34"/>
  <c r="H86" i="34"/>
  <c r="H98" i="34" s="1"/>
  <c r="H146" i="34" s="1"/>
  <c r="G82" i="34"/>
  <c r="G145" i="34" s="1"/>
  <c r="F82" i="34"/>
  <c r="F145" i="34" s="1"/>
  <c r="E82" i="34"/>
  <c r="D82" i="34"/>
  <c r="D145" i="34" s="1"/>
  <c r="H80" i="34"/>
  <c r="H79" i="34"/>
  <c r="H78" i="34"/>
  <c r="H77" i="34"/>
  <c r="H82" i="34" s="1"/>
  <c r="H145" i="34" s="1"/>
  <c r="G74" i="34"/>
  <c r="G144" i="34" s="1"/>
  <c r="F74" i="34"/>
  <c r="F144" i="34" s="1"/>
  <c r="E74" i="34"/>
  <c r="E144" i="34" s="1"/>
  <c r="D74" i="34"/>
  <c r="D144" i="34" s="1"/>
  <c r="H72" i="34"/>
  <c r="H71" i="34"/>
  <c r="H70" i="34"/>
  <c r="H69" i="34"/>
  <c r="H68" i="34"/>
  <c r="H74" i="34" s="1"/>
  <c r="H144" i="34" s="1"/>
  <c r="G64" i="34"/>
  <c r="F64" i="34"/>
  <c r="F143" i="34" s="1"/>
  <c r="E64" i="34"/>
  <c r="E143" i="34" s="1"/>
  <c r="D64" i="34"/>
  <c r="D143" i="34" s="1"/>
  <c r="H62" i="34"/>
  <c r="H61" i="34"/>
  <c r="H60" i="34"/>
  <c r="H59" i="34"/>
  <c r="H58" i="34"/>
  <c r="H57" i="34"/>
  <c r="H56" i="34"/>
  <c r="H55" i="34"/>
  <c r="H54" i="34"/>
  <c r="H53" i="34"/>
  <c r="H64" i="34" s="1"/>
  <c r="H143" i="34" s="1"/>
  <c r="G49" i="34"/>
  <c r="G142" i="34" s="1"/>
  <c r="F49" i="34"/>
  <c r="F142" i="34" s="1"/>
  <c r="E49" i="34"/>
  <c r="E142" i="34" s="1"/>
  <c r="D49" i="34"/>
  <c r="H47" i="34"/>
  <c r="H46" i="34"/>
  <c r="H45" i="34"/>
  <c r="H44" i="34"/>
  <c r="H49" i="34" s="1"/>
  <c r="H142" i="34" s="1"/>
  <c r="H43" i="34"/>
  <c r="H42" i="34"/>
  <c r="H41" i="34"/>
  <c r="H40" i="34"/>
  <c r="G36" i="34"/>
  <c r="G141" i="34" s="1"/>
  <c r="F36" i="34"/>
  <c r="F141" i="34" s="1"/>
  <c r="F152" i="34" s="1"/>
  <c r="E36" i="34"/>
  <c r="E141" i="34" s="1"/>
  <c r="D36" i="34"/>
  <c r="D141" i="34" s="1"/>
  <c r="H34" i="34"/>
  <c r="H33" i="34"/>
  <c r="H32" i="34"/>
  <c r="H31" i="34"/>
  <c r="H30" i="34"/>
  <c r="H29" i="34"/>
  <c r="H28" i="34"/>
  <c r="H27" i="34"/>
  <c r="H26" i="34"/>
  <c r="H25" i="34"/>
  <c r="H24" i="34"/>
  <c r="H23" i="34"/>
  <c r="H22" i="34"/>
  <c r="H21" i="34"/>
  <c r="H36" i="34" s="1"/>
  <c r="H141" i="34" s="1"/>
  <c r="H152" i="34" s="1"/>
  <c r="H150" i="34"/>
  <c r="G152" i="34" l="1"/>
  <c r="D155" i="34"/>
  <c r="D154" i="34"/>
  <c r="D152" i="34"/>
  <c r="E152" i="34"/>
  <c r="G150" i="33" l="1"/>
  <c r="F150" i="33"/>
  <c r="E150" i="33"/>
  <c r="D150" i="33"/>
  <c r="E149" i="33"/>
  <c r="E145" i="33"/>
  <c r="G143" i="33"/>
  <c r="D142" i="33"/>
  <c r="G137" i="33"/>
  <c r="G149" i="33" s="1"/>
  <c r="F137" i="33"/>
  <c r="F149" i="33" s="1"/>
  <c r="E137" i="33"/>
  <c r="D137" i="33"/>
  <c r="D149" i="33" s="1"/>
  <c r="H135" i="33"/>
  <c r="H134" i="33"/>
  <c r="H133" i="33"/>
  <c r="H132" i="33"/>
  <c r="H131" i="33"/>
  <c r="H137" i="33" s="1"/>
  <c r="H149" i="33" s="1"/>
  <c r="E127" i="33"/>
  <c r="E125" i="33"/>
  <c r="E119" i="33"/>
  <c r="H111" i="33"/>
  <c r="H148" i="33" s="1"/>
  <c r="G108" i="33"/>
  <c r="G147" i="33" s="1"/>
  <c r="F108" i="33"/>
  <c r="F147" i="33" s="1"/>
  <c r="E108" i="33"/>
  <c r="E147" i="33" s="1"/>
  <c r="D108" i="33"/>
  <c r="D147" i="33" s="1"/>
  <c r="H106" i="33"/>
  <c r="H105" i="33"/>
  <c r="H104" i="33"/>
  <c r="H103" i="33"/>
  <c r="H102" i="33"/>
  <c r="H108" i="33" s="1"/>
  <c r="H147" i="33" s="1"/>
  <c r="G98" i="33"/>
  <c r="G146" i="33" s="1"/>
  <c r="F98" i="33"/>
  <c r="F146" i="33" s="1"/>
  <c r="E98" i="33"/>
  <c r="E146" i="33" s="1"/>
  <c r="D98" i="33"/>
  <c r="D146" i="33" s="1"/>
  <c r="H96" i="33"/>
  <c r="H95" i="33"/>
  <c r="H94" i="33"/>
  <c r="H93" i="33"/>
  <c r="H92" i="33"/>
  <c r="H91" i="33"/>
  <c r="H90" i="33"/>
  <c r="H89" i="33"/>
  <c r="H88" i="33"/>
  <c r="H87" i="33"/>
  <c r="H86" i="33"/>
  <c r="H98" i="33" s="1"/>
  <c r="H146" i="33" s="1"/>
  <c r="G82" i="33"/>
  <c r="G145" i="33" s="1"/>
  <c r="F82" i="33"/>
  <c r="F145" i="33" s="1"/>
  <c r="D82" i="33"/>
  <c r="D145" i="33" s="1"/>
  <c r="H80" i="33"/>
  <c r="H79" i="33"/>
  <c r="H78" i="33"/>
  <c r="H77" i="33"/>
  <c r="H82" i="33" s="1"/>
  <c r="H145" i="33" s="1"/>
  <c r="G74" i="33"/>
  <c r="G144" i="33" s="1"/>
  <c r="F74" i="33"/>
  <c r="F144" i="33" s="1"/>
  <c r="E74" i="33"/>
  <c r="E144" i="33" s="1"/>
  <c r="D74" i="33"/>
  <c r="D144" i="33" s="1"/>
  <c r="H72" i="33"/>
  <c r="H71" i="33"/>
  <c r="H70" i="33"/>
  <c r="H69" i="33"/>
  <c r="H68" i="33"/>
  <c r="H74" i="33" s="1"/>
  <c r="H144" i="33" s="1"/>
  <c r="G64" i="33"/>
  <c r="F64" i="33"/>
  <c r="F143" i="33" s="1"/>
  <c r="E64" i="33"/>
  <c r="E143" i="33" s="1"/>
  <c r="D64" i="33"/>
  <c r="D143" i="33" s="1"/>
  <c r="H62" i="33"/>
  <c r="H61" i="33"/>
  <c r="H60" i="33"/>
  <c r="H59" i="33"/>
  <c r="H64" i="33" s="1"/>
  <c r="H143" i="33" s="1"/>
  <c r="H58" i="33"/>
  <c r="H57" i="33"/>
  <c r="H56" i="33"/>
  <c r="H55" i="33"/>
  <c r="H54" i="33"/>
  <c r="H53" i="33"/>
  <c r="G49" i="33"/>
  <c r="G142" i="33" s="1"/>
  <c r="F49" i="33"/>
  <c r="F142" i="33" s="1"/>
  <c r="E49" i="33"/>
  <c r="E142" i="33" s="1"/>
  <c r="D49" i="33"/>
  <c r="H47" i="33"/>
  <c r="H46" i="33"/>
  <c r="H45" i="33"/>
  <c r="H44" i="33"/>
  <c r="H43" i="33"/>
  <c r="H42" i="33"/>
  <c r="H41" i="33"/>
  <c r="H40" i="33"/>
  <c r="H49" i="33" s="1"/>
  <c r="H142" i="33" s="1"/>
  <c r="G36" i="33"/>
  <c r="G141" i="33" s="1"/>
  <c r="F36" i="33"/>
  <c r="F141" i="33" s="1"/>
  <c r="E36" i="33"/>
  <c r="E141" i="33" s="1"/>
  <c r="D36" i="33"/>
  <c r="D141" i="33" s="1"/>
  <c r="H34" i="33"/>
  <c r="H33" i="33"/>
  <c r="H32" i="33"/>
  <c r="H31" i="33"/>
  <c r="H30" i="33"/>
  <c r="H29" i="33"/>
  <c r="H28" i="33"/>
  <c r="H27" i="33"/>
  <c r="H26" i="33"/>
  <c r="H25" i="33"/>
  <c r="H24" i="33"/>
  <c r="H23" i="33"/>
  <c r="H22" i="33"/>
  <c r="H21" i="33"/>
  <c r="H36" i="33" s="1"/>
  <c r="H141" i="33" s="1"/>
  <c r="H18" i="33"/>
  <c r="H150" i="33" s="1"/>
  <c r="D152" i="33" l="1"/>
  <c r="E152" i="33"/>
  <c r="H152" i="33"/>
  <c r="F152" i="33"/>
  <c r="G152" i="33"/>
  <c r="D155" i="33" l="1"/>
  <c r="D154" i="33"/>
  <c r="G150" i="32" l="1"/>
  <c r="F150" i="32"/>
  <c r="E150" i="32"/>
  <c r="D150" i="32"/>
  <c r="E149" i="32"/>
  <c r="E145" i="32"/>
  <c r="G144" i="32"/>
  <c r="E142" i="32"/>
  <c r="D142" i="32"/>
  <c r="F141" i="32"/>
  <c r="G137" i="32"/>
  <c r="G149" i="32" s="1"/>
  <c r="F137" i="32"/>
  <c r="F149" i="32" s="1"/>
  <c r="E137" i="32"/>
  <c r="D137" i="32"/>
  <c r="D149" i="32" s="1"/>
  <c r="H135" i="32"/>
  <c r="H134" i="32"/>
  <c r="H133" i="32"/>
  <c r="H132" i="32"/>
  <c r="H131" i="32"/>
  <c r="H137" i="32" s="1"/>
  <c r="H149" i="32" s="1"/>
  <c r="E119" i="32"/>
  <c r="E123" i="32" s="1"/>
  <c r="E127" i="32" s="1"/>
  <c r="H111" i="32"/>
  <c r="H148" i="32" s="1"/>
  <c r="G108" i="32"/>
  <c r="G147" i="32" s="1"/>
  <c r="F108" i="32"/>
  <c r="F147" i="32" s="1"/>
  <c r="E108" i="32"/>
  <c r="E147" i="32" s="1"/>
  <c r="D108" i="32"/>
  <c r="D147" i="32" s="1"/>
  <c r="H106" i="32"/>
  <c r="H105" i="32"/>
  <c r="H104" i="32"/>
  <c r="H102" i="32"/>
  <c r="H108" i="32" s="1"/>
  <c r="H147" i="32" s="1"/>
  <c r="G98" i="32"/>
  <c r="G146" i="32" s="1"/>
  <c r="F98" i="32"/>
  <c r="F146" i="32" s="1"/>
  <c r="E98" i="32"/>
  <c r="E146" i="32" s="1"/>
  <c r="D98" i="32"/>
  <c r="D146" i="32" s="1"/>
  <c r="H96" i="32"/>
  <c r="H95" i="32"/>
  <c r="H94" i="32"/>
  <c r="H93" i="32"/>
  <c r="H92" i="32"/>
  <c r="H91" i="32"/>
  <c r="H90" i="32"/>
  <c r="H89" i="32"/>
  <c r="H88" i="32"/>
  <c r="H87" i="32"/>
  <c r="H86" i="32"/>
  <c r="H98" i="32" s="1"/>
  <c r="H146" i="32" s="1"/>
  <c r="G82" i="32"/>
  <c r="G145" i="32" s="1"/>
  <c r="F82" i="32"/>
  <c r="F145" i="32" s="1"/>
  <c r="D82" i="32"/>
  <c r="D145" i="32" s="1"/>
  <c r="H80" i="32"/>
  <c r="H79" i="32"/>
  <c r="H78" i="32"/>
  <c r="H77" i="32"/>
  <c r="H82" i="32" s="1"/>
  <c r="H145" i="32" s="1"/>
  <c r="G74" i="32"/>
  <c r="F74" i="32"/>
  <c r="F144" i="32" s="1"/>
  <c r="E74" i="32"/>
  <c r="E144" i="32" s="1"/>
  <c r="D74" i="32"/>
  <c r="D144" i="32" s="1"/>
  <c r="H72" i="32"/>
  <c r="H71" i="32"/>
  <c r="H70" i="32"/>
  <c r="H69" i="32"/>
  <c r="H68" i="32"/>
  <c r="H74" i="32" s="1"/>
  <c r="H144" i="32" s="1"/>
  <c r="G64" i="32"/>
  <c r="G143" i="32" s="1"/>
  <c r="F64" i="32"/>
  <c r="F143" i="32" s="1"/>
  <c r="E64" i="32"/>
  <c r="E143" i="32" s="1"/>
  <c r="D64" i="32"/>
  <c r="D143" i="32" s="1"/>
  <c r="H62" i="32"/>
  <c r="H61" i="32"/>
  <c r="H60" i="32"/>
  <c r="H59" i="32"/>
  <c r="H58" i="32"/>
  <c r="H57" i="32"/>
  <c r="H56" i="32"/>
  <c r="H55" i="32"/>
  <c r="H64" i="32" s="1"/>
  <c r="H143" i="32" s="1"/>
  <c r="H54" i="32"/>
  <c r="H53" i="32"/>
  <c r="G49" i="32"/>
  <c r="G142" i="32" s="1"/>
  <c r="F49" i="32"/>
  <c r="F142" i="32" s="1"/>
  <c r="E49" i="32"/>
  <c r="D49" i="32"/>
  <c r="H47" i="32"/>
  <c r="H46" i="32"/>
  <c r="H45" i="32"/>
  <c r="H44" i="32"/>
  <c r="H43" i="32"/>
  <c r="H42" i="32"/>
  <c r="H41" i="32"/>
  <c r="H40" i="32"/>
  <c r="H49" i="32" s="1"/>
  <c r="H142" i="32" s="1"/>
  <c r="G36" i="32"/>
  <c r="G141" i="32" s="1"/>
  <c r="G152" i="32" s="1"/>
  <c r="F36" i="32"/>
  <c r="E36" i="32"/>
  <c r="E141" i="32" s="1"/>
  <c r="E152" i="32" s="1"/>
  <c r="D36" i="32"/>
  <c r="D141" i="32" s="1"/>
  <c r="H34" i="32"/>
  <c r="H33" i="32"/>
  <c r="H32" i="32"/>
  <c r="H31" i="32"/>
  <c r="H30" i="32"/>
  <c r="H29" i="32"/>
  <c r="H28" i="32"/>
  <c r="H27" i="32"/>
  <c r="H26" i="32"/>
  <c r="H25" i="32"/>
  <c r="H24" i="32"/>
  <c r="H23" i="32"/>
  <c r="H36" i="32" s="1"/>
  <c r="H141" i="32" s="1"/>
  <c r="H22" i="32"/>
  <c r="H21" i="32"/>
  <c r="H18" i="32"/>
  <c r="H150" i="32" s="1"/>
  <c r="H152" i="32" l="1"/>
  <c r="D152" i="32"/>
  <c r="F152" i="32"/>
  <c r="D155" i="32" l="1"/>
  <c r="D154" i="32"/>
  <c r="H150" i="31" l="1"/>
  <c r="G150" i="31"/>
  <c r="F150" i="31"/>
  <c r="E150" i="31"/>
  <c r="D150" i="31"/>
  <c r="H148" i="31"/>
  <c r="G146" i="31"/>
  <c r="F146" i="31"/>
  <c r="E145" i="31"/>
  <c r="D145" i="31"/>
  <c r="G143" i="31"/>
  <c r="F143" i="31"/>
  <c r="E143" i="31"/>
  <c r="G141" i="31"/>
  <c r="G137" i="31"/>
  <c r="G149" i="31" s="1"/>
  <c r="F137" i="31"/>
  <c r="F149" i="31" s="1"/>
  <c r="E137" i="31"/>
  <c r="E149" i="31" s="1"/>
  <c r="D137" i="31"/>
  <c r="D149" i="31" s="1"/>
  <c r="H135" i="31"/>
  <c r="H134" i="31"/>
  <c r="H133" i="31"/>
  <c r="H132" i="31"/>
  <c r="H131" i="31"/>
  <c r="H137" i="31" s="1"/>
  <c r="H149" i="31" s="1"/>
  <c r="E119" i="31"/>
  <c r="H111" i="31"/>
  <c r="G108" i="31"/>
  <c r="G147" i="31" s="1"/>
  <c r="F108" i="31"/>
  <c r="F147" i="31" s="1"/>
  <c r="E108" i="31"/>
  <c r="E147" i="31" s="1"/>
  <c r="D108" i="31"/>
  <c r="D147" i="31" s="1"/>
  <c r="H106" i="31"/>
  <c r="H105" i="31"/>
  <c r="H104" i="31"/>
  <c r="H103" i="31"/>
  <c r="H108" i="31" s="1"/>
  <c r="H147" i="31" s="1"/>
  <c r="H102" i="31"/>
  <c r="G98" i="31"/>
  <c r="F98" i="31"/>
  <c r="E98" i="31"/>
  <c r="E146" i="31" s="1"/>
  <c r="D98" i="31"/>
  <c r="D146" i="31" s="1"/>
  <c r="H96" i="31"/>
  <c r="H95" i="31"/>
  <c r="H94" i="31"/>
  <c r="H93" i="31"/>
  <c r="H92" i="31"/>
  <c r="H91" i="31"/>
  <c r="H90" i="31"/>
  <c r="H89" i="31"/>
  <c r="H88" i="31"/>
  <c r="H87" i="31"/>
  <c r="H86" i="31"/>
  <c r="H98" i="31" s="1"/>
  <c r="H146" i="31" s="1"/>
  <c r="G82" i="31"/>
  <c r="G145" i="31" s="1"/>
  <c r="F82" i="31"/>
  <c r="F145" i="31" s="1"/>
  <c r="D82" i="31"/>
  <c r="H80" i="31"/>
  <c r="H79" i="31"/>
  <c r="H78" i="31"/>
  <c r="H77" i="31"/>
  <c r="H82" i="31" s="1"/>
  <c r="H145" i="31" s="1"/>
  <c r="G74" i="31"/>
  <c r="G144" i="31" s="1"/>
  <c r="F74" i="31"/>
  <c r="F144" i="31" s="1"/>
  <c r="E74" i="31"/>
  <c r="E144" i="31" s="1"/>
  <c r="D74" i="31"/>
  <c r="D144" i="31" s="1"/>
  <c r="H72" i="31"/>
  <c r="H71" i="31"/>
  <c r="H70" i="31"/>
  <c r="H69" i="31"/>
  <c r="H68" i="31"/>
  <c r="H74" i="31" s="1"/>
  <c r="H144" i="31" s="1"/>
  <c r="G64" i="31"/>
  <c r="F64" i="31"/>
  <c r="E64" i="31"/>
  <c r="D64" i="31"/>
  <c r="D143" i="31" s="1"/>
  <c r="H62" i="31"/>
  <c r="H61" i="31"/>
  <c r="H60" i="31"/>
  <c r="H59" i="31"/>
  <c r="H58" i="31"/>
  <c r="H57" i="31"/>
  <c r="H56" i="31"/>
  <c r="H55" i="31"/>
  <c r="H54" i="31"/>
  <c r="H53" i="31"/>
  <c r="H64" i="31" s="1"/>
  <c r="H143" i="31" s="1"/>
  <c r="G49" i="31"/>
  <c r="G142" i="31" s="1"/>
  <c r="F49" i="31"/>
  <c r="F142" i="31" s="1"/>
  <c r="E49" i="31"/>
  <c r="E142" i="31" s="1"/>
  <c r="D49" i="31"/>
  <c r="D142" i="31" s="1"/>
  <c r="H47" i="31"/>
  <c r="H46" i="31"/>
  <c r="H45" i="31"/>
  <c r="H44" i="31"/>
  <c r="H43" i="31"/>
  <c r="H42" i="31"/>
  <c r="H41" i="31"/>
  <c r="H40" i="31"/>
  <c r="H49" i="31" s="1"/>
  <c r="H142" i="31" s="1"/>
  <c r="G36" i="31"/>
  <c r="F36" i="31"/>
  <c r="F141" i="31" s="1"/>
  <c r="E36" i="31"/>
  <c r="E141" i="31" s="1"/>
  <c r="D36" i="31"/>
  <c r="D141" i="31" s="1"/>
  <c r="H34" i="31"/>
  <c r="H33" i="31"/>
  <c r="H32" i="31"/>
  <c r="H31" i="31"/>
  <c r="H30" i="31"/>
  <c r="H29" i="31"/>
  <c r="H28" i="31"/>
  <c r="H27" i="31"/>
  <c r="H26" i="31"/>
  <c r="H25" i="31"/>
  <c r="H24" i="31"/>
  <c r="H23" i="31"/>
  <c r="H36" i="31" s="1"/>
  <c r="H141" i="31" s="1"/>
  <c r="H22" i="31"/>
  <c r="H21" i="31"/>
  <c r="D152" i="31" l="1"/>
  <c r="G152" i="31"/>
  <c r="E152" i="31"/>
  <c r="F152" i="31"/>
  <c r="H152" i="31"/>
  <c r="D155" i="31" l="1"/>
  <c r="D154" i="31"/>
  <c r="F150" i="29" l="1"/>
  <c r="E150" i="29"/>
  <c r="H148" i="29"/>
  <c r="F146" i="29"/>
  <c r="E145" i="29"/>
  <c r="G141" i="29"/>
  <c r="G137" i="29"/>
  <c r="G149" i="29" s="1"/>
  <c r="F137" i="29"/>
  <c r="F149" i="29" s="1"/>
  <c r="E137" i="29"/>
  <c r="E149" i="29" s="1"/>
  <c r="D137" i="29"/>
  <c r="D149" i="29" s="1"/>
  <c r="H135" i="29"/>
  <c r="H134" i="29"/>
  <c r="H133" i="29"/>
  <c r="H132" i="29"/>
  <c r="H131" i="29"/>
  <c r="H137" i="29" s="1"/>
  <c r="H149" i="29" s="1"/>
  <c r="E119" i="29"/>
  <c r="H111" i="29"/>
  <c r="G108" i="29"/>
  <c r="G147" i="29" s="1"/>
  <c r="F108" i="29"/>
  <c r="F147" i="29" s="1"/>
  <c r="D108" i="29"/>
  <c r="D147" i="29" s="1"/>
  <c r="H106" i="29"/>
  <c r="H105" i="29"/>
  <c r="H104" i="29"/>
  <c r="H103" i="29"/>
  <c r="E102" i="29"/>
  <c r="H102" i="29" s="1"/>
  <c r="H108" i="29" s="1"/>
  <c r="H147" i="29" s="1"/>
  <c r="G98" i="29"/>
  <c r="G146" i="29" s="1"/>
  <c r="F98" i="29"/>
  <c r="D98" i="29"/>
  <c r="D146" i="29" s="1"/>
  <c r="H96" i="29"/>
  <c r="H95" i="29"/>
  <c r="H94" i="29"/>
  <c r="E93" i="29"/>
  <c r="H93" i="29" s="1"/>
  <c r="H92" i="29"/>
  <c r="H91" i="29"/>
  <c r="H90" i="29"/>
  <c r="H89" i="29"/>
  <c r="E88" i="29"/>
  <c r="H88" i="29" s="1"/>
  <c r="H87" i="29"/>
  <c r="H86" i="29"/>
  <c r="G82" i="29"/>
  <c r="G145" i="29" s="1"/>
  <c r="F82" i="29"/>
  <c r="F145" i="29" s="1"/>
  <c r="D82" i="29"/>
  <c r="D145" i="29" s="1"/>
  <c r="H80" i="29"/>
  <c r="H79" i="29"/>
  <c r="H78" i="29"/>
  <c r="H77" i="29"/>
  <c r="H82" i="29" s="1"/>
  <c r="H145" i="29" s="1"/>
  <c r="G74" i="29"/>
  <c r="G144" i="29" s="1"/>
  <c r="F74" i="29"/>
  <c r="F144" i="29" s="1"/>
  <c r="E74" i="29"/>
  <c r="E144" i="29" s="1"/>
  <c r="D74" i="29"/>
  <c r="D144" i="29" s="1"/>
  <c r="H72" i="29"/>
  <c r="H71" i="29"/>
  <c r="H70" i="29"/>
  <c r="H69" i="29"/>
  <c r="H68" i="29"/>
  <c r="H74" i="29" s="1"/>
  <c r="H144" i="29" s="1"/>
  <c r="H64" i="29"/>
  <c r="H143" i="29" s="1"/>
  <c r="G64" i="29"/>
  <c r="G143" i="29" s="1"/>
  <c r="F64" i="29"/>
  <c r="F143" i="29" s="1"/>
  <c r="E64" i="29"/>
  <c r="E143" i="29" s="1"/>
  <c r="D64" i="29"/>
  <c r="D143" i="29" s="1"/>
  <c r="F49" i="29"/>
  <c r="F142" i="29" s="1"/>
  <c r="E49" i="29"/>
  <c r="E142" i="29" s="1"/>
  <c r="D49" i="29"/>
  <c r="D142" i="29" s="1"/>
  <c r="H47" i="29"/>
  <c r="H46" i="29"/>
  <c r="H45" i="29"/>
  <c r="H44" i="29"/>
  <c r="H43" i="29"/>
  <c r="H42" i="29"/>
  <c r="G41" i="29"/>
  <c r="G49" i="29" s="1"/>
  <c r="G142" i="29" s="1"/>
  <c r="H40" i="29"/>
  <c r="G36" i="29"/>
  <c r="F36" i="29"/>
  <c r="F141" i="29" s="1"/>
  <c r="F152" i="29" s="1"/>
  <c r="D36" i="29"/>
  <c r="D141" i="29" s="1"/>
  <c r="H34" i="29"/>
  <c r="H33" i="29"/>
  <c r="H32" i="29"/>
  <c r="H31" i="29"/>
  <c r="E30" i="29"/>
  <c r="H30" i="29" s="1"/>
  <c r="E29" i="29"/>
  <c r="H29" i="29" s="1"/>
  <c r="E28" i="29"/>
  <c r="H28" i="29" s="1"/>
  <c r="E27" i="29"/>
  <c r="H27" i="29" s="1"/>
  <c r="E26" i="29"/>
  <c r="H26" i="29" s="1"/>
  <c r="E25" i="29"/>
  <c r="H25" i="29" s="1"/>
  <c r="E24" i="29"/>
  <c r="H24" i="29" s="1"/>
  <c r="E23" i="29"/>
  <c r="H23" i="29" s="1"/>
  <c r="E22" i="29"/>
  <c r="H22" i="29" s="1"/>
  <c r="E21" i="29"/>
  <c r="E36" i="29" s="1"/>
  <c r="E141" i="29" s="1"/>
  <c r="H18" i="29"/>
  <c r="H150" i="29" s="1"/>
  <c r="H98" i="29" l="1"/>
  <c r="H146" i="29" s="1"/>
  <c r="G152" i="29"/>
  <c r="E152" i="29"/>
  <c r="D152" i="29"/>
  <c r="H41" i="29"/>
  <c r="H49" i="29" s="1"/>
  <c r="H142" i="29" s="1"/>
  <c r="E98" i="29"/>
  <c r="E146" i="29" s="1"/>
  <c r="H21" i="29"/>
  <c r="H36" i="29" s="1"/>
  <c r="H141" i="29" s="1"/>
  <c r="H152" i="29" s="1"/>
  <c r="E108" i="29"/>
  <c r="E147" i="29" s="1"/>
  <c r="D155" i="29" l="1"/>
  <c r="D154" i="29"/>
  <c r="G150" i="27" l="1"/>
  <c r="F150" i="27"/>
  <c r="E150" i="27"/>
  <c r="D150" i="27"/>
  <c r="H148" i="27"/>
  <c r="F146" i="27"/>
  <c r="E145" i="27"/>
  <c r="D145" i="27"/>
  <c r="G143" i="27"/>
  <c r="F143" i="27"/>
  <c r="E143" i="27"/>
  <c r="D142" i="27"/>
  <c r="G141" i="27"/>
  <c r="G137" i="27"/>
  <c r="G149" i="27" s="1"/>
  <c r="F137" i="27"/>
  <c r="F149" i="27" s="1"/>
  <c r="E137" i="27"/>
  <c r="E149" i="27" s="1"/>
  <c r="D137" i="27"/>
  <c r="D149" i="27" s="1"/>
  <c r="H135" i="27"/>
  <c r="H134" i="27"/>
  <c r="H133" i="27"/>
  <c r="H132" i="27"/>
  <c r="H131" i="27"/>
  <c r="H137" i="27" s="1"/>
  <c r="H149" i="27" s="1"/>
  <c r="E119" i="27"/>
  <c r="H108" i="27"/>
  <c r="H147" i="27" s="1"/>
  <c r="G108" i="27"/>
  <c r="G147" i="27" s="1"/>
  <c r="F108" i="27"/>
  <c r="F147" i="27" s="1"/>
  <c r="E108" i="27"/>
  <c r="E147" i="27" s="1"/>
  <c r="D108" i="27"/>
  <c r="D147" i="27" s="1"/>
  <c r="H106" i="27"/>
  <c r="H105" i="27"/>
  <c r="H103" i="27"/>
  <c r="G98" i="27"/>
  <c r="G146" i="27" s="1"/>
  <c r="F98" i="27"/>
  <c r="E98" i="27"/>
  <c r="E146" i="27" s="1"/>
  <c r="D98" i="27"/>
  <c r="D146" i="27" s="1"/>
  <c r="H96" i="27"/>
  <c r="H95" i="27"/>
  <c r="H94" i="27"/>
  <c r="H93" i="27"/>
  <c r="H92" i="27"/>
  <c r="H98" i="27" s="1"/>
  <c r="H146" i="27" s="1"/>
  <c r="H91" i="27"/>
  <c r="H90" i="27"/>
  <c r="H89" i="27"/>
  <c r="H88" i="27"/>
  <c r="H87" i="27"/>
  <c r="H86" i="27"/>
  <c r="H82" i="27"/>
  <c r="H145" i="27" s="1"/>
  <c r="G82" i="27"/>
  <c r="G145" i="27" s="1"/>
  <c r="F82" i="27"/>
  <c r="F145" i="27" s="1"/>
  <c r="D82" i="27"/>
  <c r="H80" i="27"/>
  <c r="H79" i="27"/>
  <c r="H78" i="27"/>
  <c r="H77" i="27"/>
  <c r="G74" i="27"/>
  <c r="G144" i="27" s="1"/>
  <c r="F74" i="27"/>
  <c r="F144" i="27" s="1"/>
  <c r="E74" i="27"/>
  <c r="E144" i="27" s="1"/>
  <c r="D74" i="27"/>
  <c r="D144" i="27" s="1"/>
  <c r="H72" i="27"/>
  <c r="H71" i="27"/>
  <c r="H70" i="27"/>
  <c r="H69" i="27"/>
  <c r="H68" i="27"/>
  <c r="H74" i="27" s="1"/>
  <c r="H144" i="27" s="1"/>
  <c r="G64" i="27"/>
  <c r="F64" i="27"/>
  <c r="E64" i="27"/>
  <c r="D64" i="27"/>
  <c r="D143" i="27" s="1"/>
  <c r="H62" i="27"/>
  <c r="H61" i="27"/>
  <c r="H60" i="27"/>
  <c r="H59" i="27"/>
  <c r="H58" i="27"/>
  <c r="H57" i="27"/>
  <c r="H56" i="27"/>
  <c r="H55" i="27"/>
  <c r="H54" i="27"/>
  <c r="H53" i="27"/>
  <c r="H64" i="27" s="1"/>
  <c r="H143" i="27" s="1"/>
  <c r="G49" i="27"/>
  <c r="G142" i="27" s="1"/>
  <c r="F49" i="27"/>
  <c r="F142" i="27" s="1"/>
  <c r="E49" i="27"/>
  <c r="E142" i="27" s="1"/>
  <c r="D49" i="27"/>
  <c r="H47" i="27"/>
  <c r="H46" i="27"/>
  <c r="H45" i="27"/>
  <c r="H44" i="27"/>
  <c r="H49" i="27" s="1"/>
  <c r="H142" i="27" s="1"/>
  <c r="H43" i="27"/>
  <c r="H42" i="27"/>
  <c r="H41" i="27"/>
  <c r="H40" i="27"/>
  <c r="G36" i="27"/>
  <c r="F36" i="27"/>
  <c r="F141" i="27" s="1"/>
  <c r="E36" i="27"/>
  <c r="E141" i="27" s="1"/>
  <c r="D36" i="27"/>
  <c r="D141" i="27" s="1"/>
  <c r="H34" i="27"/>
  <c r="H33" i="27"/>
  <c r="H32" i="27"/>
  <c r="H31" i="27"/>
  <c r="H30" i="27"/>
  <c r="H29" i="27"/>
  <c r="H28" i="27"/>
  <c r="H27" i="27"/>
  <c r="H26" i="27"/>
  <c r="H25" i="27"/>
  <c r="H24" i="27"/>
  <c r="H23" i="27"/>
  <c r="H22" i="27"/>
  <c r="H21" i="27"/>
  <c r="H36" i="27" s="1"/>
  <c r="H141" i="27" s="1"/>
  <c r="H18" i="27"/>
  <c r="H150" i="27" s="1"/>
  <c r="G152" i="27" l="1"/>
  <c r="D152" i="27"/>
  <c r="E152" i="27"/>
  <c r="F152" i="27"/>
  <c r="H152" i="27"/>
  <c r="D154" i="27" l="1"/>
  <c r="D155" i="27"/>
  <c r="G150" i="26" l="1"/>
  <c r="F150" i="26"/>
  <c r="E150" i="26"/>
  <c r="D150" i="26"/>
  <c r="E149" i="26"/>
  <c r="E145" i="26"/>
  <c r="D142" i="26"/>
  <c r="G137" i="26"/>
  <c r="G149" i="26" s="1"/>
  <c r="F137" i="26"/>
  <c r="F149" i="26" s="1"/>
  <c r="E137" i="26"/>
  <c r="D137" i="26"/>
  <c r="D149" i="26" s="1"/>
  <c r="H135" i="26"/>
  <c r="H134" i="26"/>
  <c r="H133" i="26"/>
  <c r="H132" i="26"/>
  <c r="H131" i="26"/>
  <c r="H137" i="26" s="1"/>
  <c r="H149" i="26" s="1"/>
  <c r="E119" i="26"/>
  <c r="E123" i="26" s="1"/>
  <c r="E127" i="26" s="1"/>
  <c r="H111" i="26"/>
  <c r="H148" i="26" s="1"/>
  <c r="G108" i="26"/>
  <c r="G147" i="26" s="1"/>
  <c r="F108" i="26"/>
  <c r="F147" i="26" s="1"/>
  <c r="E108" i="26"/>
  <c r="E147" i="26" s="1"/>
  <c r="D108" i="26"/>
  <c r="D147" i="26" s="1"/>
  <c r="H106" i="26"/>
  <c r="H105" i="26"/>
  <c r="H104" i="26"/>
  <c r="H103" i="26"/>
  <c r="H102" i="26"/>
  <c r="H108" i="26" s="1"/>
  <c r="H147" i="26" s="1"/>
  <c r="G98" i="26"/>
  <c r="G146" i="26" s="1"/>
  <c r="F98" i="26"/>
  <c r="F146" i="26" s="1"/>
  <c r="E98" i="26"/>
  <c r="E146" i="26" s="1"/>
  <c r="D98" i="26"/>
  <c r="D146" i="26" s="1"/>
  <c r="H93" i="26"/>
  <c r="H92" i="26"/>
  <c r="H91" i="26"/>
  <c r="H90" i="26"/>
  <c r="H89" i="26"/>
  <c r="H88" i="26"/>
  <c r="H87" i="26"/>
  <c r="H86" i="26"/>
  <c r="H98" i="26" s="1"/>
  <c r="H146" i="26" s="1"/>
  <c r="G82" i="26"/>
  <c r="G145" i="26" s="1"/>
  <c r="F82" i="26"/>
  <c r="F145" i="26" s="1"/>
  <c r="D82" i="26"/>
  <c r="D145" i="26" s="1"/>
  <c r="H80" i="26"/>
  <c r="H79" i="26"/>
  <c r="H78" i="26"/>
  <c r="H77" i="26"/>
  <c r="H82" i="26" s="1"/>
  <c r="H145" i="26" s="1"/>
  <c r="G74" i="26"/>
  <c r="G144" i="26" s="1"/>
  <c r="F74" i="26"/>
  <c r="F144" i="26" s="1"/>
  <c r="E74" i="26"/>
  <c r="E144" i="26" s="1"/>
  <c r="D74" i="26"/>
  <c r="D144" i="26" s="1"/>
  <c r="H72" i="26"/>
  <c r="H71" i="26"/>
  <c r="H70" i="26"/>
  <c r="H69" i="26"/>
  <c r="H68" i="26"/>
  <c r="H74" i="26" s="1"/>
  <c r="H144" i="26" s="1"/>
  <c r="D64" i="26"/>
  <c r="D143" i="26" s="1"/>
  <c r="F56" i="26"/>
  <c r="H56" i="26" s="1"/>
  <c r="H55" i="26"/>
  <c r="H54" i="26"/>
  <c r="H64" i="26"/>
  <c r="H143" i="26" s="1"/>
  <c r="G64" i="26"/>
  <c r="G143" i="26" s="1"/>
  <c r="F64" i="26"/>
  <c r="F143" i="26" s="1"/>
  <c r="E64" i="26"/>
  <c r="E143" i="26" s="1"/>
  <c r="G49" i="26"/>
  <c r="G142" i="26" s="1"/>
  <c r="F49" i="26"/>
  <c r="F142" i="26" s="1"/>
  <c r="E49" i="26"/>
  <c r="E142" i="26" s="1"/>
  <c r="D49" i="26"/>
  <c r="H47" i="26"/>
  <c r="H46" i="26"/>
  <c r="H45" i="26"/>
  <c r="H44" i="26"/>
  <c r="H43" i="26"/>
  <c r="H42" i="26"/>
  <c r="H41" i="26"/>
  <c r="H40" i="26"/>
  <c r="H49" i="26" s="1"/>
  <c r="H142" i="26" s="1"/>
  <c r="G36" i="26"/>
  <c r="G141" i="26" s="1"/>
  <c r="F36" i="26"/>
  <c r="F141" i="26" s="1"/>
  <c r="E36" i="26"/>
  <c r="E141" i="26" s="1"/>
  <c r="D36" i="26"/>
  <c r="D141" i="26" s="1"/>
  <c r="H34" i="26"/>
  <c r="H33" i="26"/>
  <c r="H32" i="26"/>
  <c r="H31" i="26"/>
  <c r="H30" i="26"/>
  <c r="H29" i="26"/>
  <c r="H27" i="26"/>
  <c r="H26" i="26"/>
  <c r="H25" i="26"/>
  <c r="H24" i="26"/>
  <c r="H23" i="26"/>
  <c r="H22" i="26"/>
  <c r="H21" i="26"/>
  <c r="H36" i="26" s="1"/>
  <c r="H141" i="26" s="1"/>
  <c r="H18" i="26"/>
  <c r="H150" i="26" s="1"/>
  <c r="E152" i="26" l="1"/>
  <c r="F152" i="26"/>
  <c r="H152" i="26"/>
  <c r="G152" i="26"/>
  <c r="D152" i="26"/>
  <c r="D155" i="26" l="1"/>
  <c r="D154" i="26"/>
  <c r="H64" i="25" l="1"/>
  <c r="G64" i="25"/>
  <c r="F64" i="25"/>
  <c r="E64" i="25"/>
  <c r="D64" i="25"/>
  <c r="G150" i="23" l="1"/>
  <c r="F150" i="23"/>
  <c r="E150" i="23"/>
  <c r="D150" i="23"/>
  <c r="E149" i="23"/>
  <c r="E145" i="23"/>
  <c r="D142" i="23"/>
  <c r="G137" i="23"/>
  <c r="G149" i="23" s="1"/>
  <c r="F137" i="23"/>
  <c r="F149" i="23" s="1"/>
  <c r="E137" i="23"/>
  <c r="D137" i="23"/>
  <c r="D149" i="23" s="1"/>
  <c r="H135" i="23"/>
  <c r="H134" i="23"/>
  <c r="H133" i="23"/>
  <c r="H132" i="23"/>
  <c r="H131" i="23"/>
  <c r="H137" i="23" s="1"/>
  <c r="H149" i="23" s="1"/>
  <c r="E127" i="23"/>
  <c r="E123" i="23"/>
  <c r="E121" i="23"/>
  <c r="E118" i="23"/>
  <c r="E117" i="23"/>
  <c r="E119" i="23" s="1"/>
  <c r="H111" i="23"/>
  <c r="H148" i="23" s="1"/>
  <c r="G111" i="23"/>
  <c r="G108" i="23"/>
  <c r="G147" i="23" s="1"/>
  <c r="F108" i="23"/>
  <c r="F147" i="23" s="1"/>
  <c r="D108" i="23"/>
  <c r="D147" i="23" s="1"/>
  <c r="H106" i="23"/>
  <c r="H105" i="23"/>
  <c r="E104" i="23"/>
  <c r="H104" i="23" s="1"/>
  <c r="H103" i="23"/>
  <c r="E102" i="23"/>
  <c r="H102" i="23" s="1"/>
  <c r="H108" i="23" s="1"/>
  <c r="H147" i="23" s="1"/>
  <c r="G98" i="23"/>
  <c r="G146" i="23" s="1"/>
  <c r="F98" i="23"/>
  <c r="F146" i="23" s="1"/>
  <c r="D98" i="23"/>
  <c r="D146" i="23" s="1"/>
  <c r="H96" i="23"/>
  <c r="H95" i="23"/>
  <c r="H94" i="23"/>
  <c r="E93" i="23"/>
  <c r="H93" i="23" s="1"/>
  <c r="H92" i="23"/>
  <c r="E92" i="23"/>
  <c r="H91" i="23"/>
  <c r="E91" i="23"/>
  <c r="E98" i="23" s="1"/>
  <c r="E146" i="23" s="1"/>
  <c r="H90" i="23"/>
  <c r="H89" i="23"/>
  <c r="H88" i="23"/>
  <c r="H87" i="23"/>
  <c r="H86" i="23"/>
  <c r="H98" i="23" s="1"/>
  <c r="H146" i="23" s="1"/>
  <c r="G82" i="23"/>
  <c r="G145" i="23" s="1"/>
  <c r="F82" i="23"/>
  <c r="F145" i="23" s="1"/>
  <c r="D82" i="23"/>
  <c r="D145" i="23" s="1"/>
  <c r="H80" i="23"/>
  <c r="H79" i="23"/>
  <c r="H78" i="23"/>
  <c r="H77" i="23"/>
  <c r="H82" i="23" s="1"/>
  <c r="H145" i="23" s="1"/>
  <c r="G74" i="23"/>
  <c r="G144" i="23" s="1"/>
  <c r="F74" i="23"/>
  <c r="F144" i="23" s="1"/>
  <c r="E74" i="23"/>
  <c r="E144" i="23" s="1"/>
  <c r="D74" i="23"/>
  <c r="D144" i="23" s="1"/>
  <c r="H72" i="23"/>
  <c r="H71" i="23"/>
  <c r="H70" i="23"/>
  <c r="H69" i="23"/>
  <c r="H68" i="23"/>
  <c r="H74" i="23" s="1"/>
  <c r="H144" i="23" s="1"/>
  <c r="H62" i="23"/>
  <c r="E62" i="23"/>
  <c r="H61" i="23"/>
  <c r="E61" i="23"/>
  <c r="E60" i="23"/>
  <c r="H60" i="23" s="1"/>
  <c r="E59" i="23"/>
  <c r="H59" i="23" s="1"/>
  <c r="H58" i="23"/>
  <c r="E58" i="23"/>
  <c r="H57" i="23"/>
  <c r="E57" i="23"/>
  <c r="E56" i="23"/>
  <c r="H56" i="23" s="1"/>
  <c r="L55" i="23"/>
  <c r="O55" i="23" s="1"/>
  <c r="H55" i="23"/>
  <c r="E55" i="23"/>
  <c r="O54" i="23"/>
  <c r="L54" i="23"/>
  <c r="E54" i="23"/>
  <c r="H54" i="23" s="1"/>
  <c r="L53" i="23"/>
  <c r="O53" i="23" s="1"/>
  <c r="G64" i="23"/>
  <c r="G143" i="23" s="1"/>
  <c r="F64" i="23"/>
  <c r="F143" i="23" s="1"/>
  <c r="E53" i="23"/>
  <c r="E64" i="23" s="1"/>
  <c r="E143" i="23" s="1"/>
  <c r="G49" i="23"/>
  <c r="G142" i="23" s="1"/>
  <c r="F49" i="23"/>
  <c r="F142" i="23" s="1"/>
  <c r="D49" i="23"/>
  <c r="H47" i="23"/>
  <c r="H46" i="23"/>
  <c r="H45" i="23"/>
  <c r="H44" i="23"/>
  <c r="H43" i="23"/>
  <c r="E42" i="23"/>
  <c r="H42" i="23" s="1"/>
  <c r="H41" i="23"/>
  <c r="H40" i="23"/>
  <c r="H49" i="23" s="1"/>
  <c r="H142" i="23" s="1"/>
  <c r="G36" i="23"/>
  <c r="G141" i="23" s="1"/>
  <c r="F36" i="23"/>
  <c r="F141" i="23" s="1"/>
  <c r="D36" i="23"/>
  <c r="D141" i="23" s="1"/>
  <c r="H34" i="23"/>
  <c r="H33" i="23"/>
  <c r="H32" i="23"/>
  <c r="H31" i="23"/>
  <c r="H30" i="23"/>
  <c r="E30" i="23"/>
  <c r="E29" i="23"/>
  <c r="H29" i="23" s="1"/>
  <c r="H28" i="23"/>
  <c r="H27" i="23"/>
  <c r="H26" i="23"/>
  <c r="H25" i="23"/>
  <c r="H24" i="23"/>
  <c r="H23" i="23"/>
  <c r="H22" i="23"/>
  <c r="E21" i="23"/>
  <c r="E36" i="23" s="1"/>
  <c r="E141" i="23" s="1"/>
  <c r="H150" i="23"/>
  <c r="G152" i="23" l="1"/>
  <c r="F152" i="23"/>
  <c r="E49" i="23"/>
  <c r="E142" i="23" s="1"/>
  <c r="E152" i="23" s="1"/>
  <c r="H53" i="23"/>
  <c r="H64" i="23" s="1"/>
  <c r="H143" i="23" s="1"/>
  <c r="H21" i="23"/>
  <c r="H36" i="23" s="1"/>
  <c r="H141" i="23" s="1"/>
  <c r="D64" i="23"/>
  <c r="D143" i="23" s="1"/>
  <c r="D152" i="23" s="1"/>
  <c r="E108" i="23"/>
  <c r="E147" i="23" s="1"/>
  <c r="H152" i="23" l="1"/>
  <c r="D155" i="23"/>
  <c r="D154" i="23"/>
  <c r="G150" i="22" l="1"/>
  <c r="F150" i="22"/>
  <c r="E150" i="22"/>
  <c r="D150" i="22"/>
  <c r="G149" i="22"/>
  <c r="D149" i="22"/>
  <c r="H148" i="22"/>
  <c r="E147" i="22"/>
  <c r="G146" i="22"/>
  <c r="F146" i="22"/>
  <c r="G145" i="22"/>
  <c r="E145" i="22"/>
  <c r="D144" i="22"/>
  <c r="F143" i="22"/>
  <c r="G142" i="22"/>
  <c r="F142" i="22"/>
  <c r="D141" i="22"/>
  <c r="G137" i="22"/>
  <c r="F137" i="22"/>
  <c r="F149" i="22" s="1"/>
  <c r="E137" i="22"/>
  <c r="E149" i="22" s="1"/>
  <c r="D137" i="22"/>
  <c r="H135" i="22"/>
  <c r="H134" i="22"/>
  <c r="H133" i="22"/>
  <c r="H132" i="22"/>
  <c r="H137" i="22" s="1"/>
  <c r="H149" i="22" s="1"/>
  <c r="H131" i="22"/>
  <c r="E123" i="22"/>
  <c r="E127" i="22" s="1"/>
  <c r="E119" i="22"/>
  <c r="H111" i="22"/>
  <c r="G108" i="22"/>
  <c r="G147" i="22" s="1"/>
  <c r="F108" i="22"/>
  <c r="F147" i="22" s="1"/>
  <c r="E108" i="22"/>
  <c r="D108" i="22"/>
  <c r="D147" i="22" s="1"/>
  <c r="H106" i="22"/>
  <c r="H105" i="22"/>
  <c r="H104" i="22"/>
  <c r="H103" i="22"/>
  <c r="H102" i="22"/>
  <c r="H108" i="22" s="1"/>
  <c r="H147" i="22" s="1"/>
  <c r="G98" i="22"/>
  <c r="F98" i="22"/>
  <c r="E98" i="22"/>
  <c r="E146" i="22" s="1"/>
  <c r="D98" i="22"/>
  <c r="D146" i="22" s="1"/>
  <c r="H96" i="22"/>
  <c r="H95" i="22"/>
  <c r="H94" i="22"/>
  <c r="H93" i="22"/>
  <c r="H98" i="22" s="1"/>
  <c r="H146" i="22" s="1"/>
  <c r="H92" i="22"/>
  <c r="H91" i="22"/>
  <c r="H90" i="22"/>
  <c r="H89" i="22"/>
  <c r="H88" i="22"/>
  <c r="H87" i="22"/>
  <c r="H86" i="22"/>
  <c r="H82" i="22"/>
  <c r="H145" i="22" s="1"/>
  <c r="G82" i="22"/>
  <c r="F82" i="22"/>
  <c r="F145" i="22" s="1"/>
  <c r="D82" i="22"/>
  <c r="D145" i="22" s="1"/>
  <c r="H80" i="22"/>
  <c r="H79" i="22"/>
  <c r="H78" i="22"/>
  <c r="H77" i="22"/>
  <c r="G74" i="22"/>
  <c r="G144" i="22" s="1"/>
  <c r="F74" i="22"/>
  <c r="F144" i="22" s="1"/>
  <c r="E74" i="22"/>
  <c r="E144" i="22" s="1"/>
  <c r="D74" i="22"/>
  <c r="H72" i="22"/>
  <c r="H71" i="22"/>
  <c r="H70" i="22"/>
  <c r="H69" i="22"/>
  <c r="H74" i="22" s="1"/>
  <c r="H144" i="22" s="1"/>
  <c r="H68" i="22"/>
  <c r="G64" i="22"/>
  <c r="G143" i="22" s="1"/>
  <c r="F64" i="22"/>
  <c r="E64" i="22"/>
  <c r="E143" i="22" s="1"/>
  <c r="D64" i="22"/>
  <c r="D143" i="22" s="1"/>
  <c r="H62" i="22"/>
  <c r="H61" i="22"/>
  <c r="H60" i="22"/>
  <c r="H59" i="22"/>
  <c r="H58" i="22"/>
  <c r="H57" i="22"/>
  <c r="H56" i="22"/>
  <c r="H55" i="22"/>
  <c r="H54" i="22"/>
  <c r="H53" i="22"/>
  <c r="H64" i="22" s="1"/>
  <c r="H143" i="22" s="1"/>
  <c r="G49" i="22"/>
  <c r="F49" i="22"/>
  <c r="E49" i="22"/>
  <c r="E142" i="22" s="1"/>
  <c r="D49" i="22"/>
  <c r="D142" i="22" s="1"/>
  <c r="H47" i="22"/>
  <c r="H46" i="22"/>
  <c r="H45" i="22"/>
  <c r="H44" i="22"/>
  <c r="H43" i="22"/>
  <c r="H42" i="22"/>
  <c r="H41" i="22"/>
  <c r="H40" i="22"/>
  <c r="H49" i="22" s="1"/>
  <c r="H142" i="22" s="1"/>
  <c r="G36" i="22"/>
  <c r="G141" i="22" s="1"/>
  <c r="G152" i="22" s="1"/>
  <c r="F36" i="22"/>
  <c r="F141" i="22" s="1"/>
  <c r="E36" i="22"/>
  <c r="E141" i="22" s="1"/>
  <c r="D36" i="22"/>
  <c r="H34" i="22"/>
  <c r="H33" i="22"/>
  <c r="H32" i="22"/>
  <c r="H31" i="22"/>
  <c r="H30" i="22"/>
  <c r="H29" i="22"/>
  <c r="H28" i="22"/>
  <c r="H27" i="22"/>
  <c r="H26" i="22"/>
  <c r="H25" i="22"/>
  <c r="H24" i="22"/>
  <c r="H23" i="22"/>
  <c r="H22" i="22"/>
  <c r="H21" i="22"/>
  <c r="H36" i="22" s="1"/>
  <c r="H141" i="22" s="1"/>
  <c r="H18" i="22"/>
  <c r="H150" i="22" s="1"/>
  <c r="D152" i="22" l="1"/>
  <c r="E152" i="22"/>
  <c r="H152" i="22"/>
  <c r="F152" i="22"/>
  <c r="D154" i="22" l="1"/>
  <c r="D155" i="22"/>
  <c r="G150" i="20" l="1"/>
  <c r="F150" i="20"/>
  <c r="E150" i="20"/>
  <c r="D150" i="20"/>
  <c r="G149" i="20"/>
  <c r="D149" i="20"/>
  <c r="F147" i="20"/>
  <c r="E147" i="20"/>
  <c r="G146" i="20"/>
  <c r="G145" i="20"/>
  <c r="E145" i="20"/>
  <c r="D145" i="20"/>
  <c r="E144" i="20"/>
  <c r="D144" i="20"/>
  <c r="G143" i="20"/>
  <c r="F143" i="20"/>
  <c r="G142" i="20"/>
  <c r="F142" i="20"/>
  <c r="G137" i="20"/>
  <c r="F137" i="20"/>
  <c r="F149" i="20" s="1"/>
  <c r="E137" i="20"/>
  <c r="E149" i="20" s="1"/>
  <c r="D137" i="20"/>
  <c r="H135" i="20"/>
  <c r="H134" i="20"/>
  <c r="H133" i="20"/>
  <c r="H132" i="20"/>
  <c r="H137" i="20" s="1"/>
  <c r="H149" i="20" s="1"/>
  <c r="H131" i="20"/>
  <c r="E123" i="20"/>
  <c r="E127" i="20" s="1"/>
  <c r="E119" i="20"/>
  <c r="F111" i="20"/>
  <c r="H111" i="20" s="1"/>
  <c r="H148" i="20" s="1"/>
  <c r="G108" i="20"/>
  <c r="G147" i="20" s="1"/>
  <c r="F108" i="20"/>
  <c r="E108" i="20"/>
  <c r="D108" i="20"/>
  <c r="D147" i="20" s="1"/>
  <c r="H106" i="20"/>
  <c r="H105" i="20"/>
  <c r="H104" i="20"/>
  <c r="H103" i="20"/>
  <c r="H102" i="20"/>
  <c r="H108" i="20" s="1"/>
  <c r="H147" i="20" s="1"/>
  <c r="G98" i="20"/>
  <c r="F98" i="20"/>
  <c r="F146" i="20" s="1"/>
  <c r="E98" i="20"/>
  <c r="E146" i="20" s="1"/>
  <c r="D98" i="20"/>
  <c r="D146" i="20" s="1"/>
  <c r="H96" i="20"/>
  <c r="H95" i="20"/>
  <c r="H94" i="20"/>
  <c r="H93" i="20"/>
  <c r="H92" i="20"/>
  <c r="H91" i="20"/>
  <c r="H90" i="20"/>
  <c r="H89" i="20"/>
  <c r="H88" i="20"/>
  <c r="H87" i="20"/>
  <c r="H86" i="20"/>
  <c r="H98" i="20" s="1"/>
  <c r="H146" i="20" s="1"/>
  <c r="G82" i="20"/>
  <c r="F82" i="20"/>
  <c r="F145" i="20" s="1"/>
  <c r="E82" i="20"/>
  <c r="D82" i="20"/>
  <c r="H80" i="20"/>
  <c r="H79" i="20"/>
  <c r="H78" i="20"/>
  <c r="H77" i="20"/>
  <c r="H82" i="20" s="1"/>
  <c r="H145" i="20" s="1"/>
  <c r="G74" i="20"/>
  <c r="G144" i="20" s="1"/>
  <c r="F74" i="20"/>
  <c r="F144" i="20" s="1"/>
  <c r="E74" i="20"/>
  <c r="D74" i="20"/>
  <c r="H72" i="20"/>
  <c r="H71" i="20"/>
  <c r="H70" i="20"/>
  <c r="H69" i="20"/>
  <c r="H68" i="20"/>
  <c r="H74" i="20" s="1"/>
  <c r="H144" i="20" s="1"/>
  <c r="G64" i="20"/>
  <c r="F64" i="20"/>
  <c r="E64" i="20"/>
  <c r="E143" i="20" s="1"/>
  <c r="D64" i="20"/>
  <c r="D143" i="20" s="1"/>
  <c r="H62" i="20"/>
  <c r="H61" i="20"/>
  <c r="H60" i="20"/>
  <c r="H59" i="20"/>
  <c r="H58" i="20"/>
  <c r="H57" i="20"/>
  <c r="H56" i="20"/>
  <c r="H55" i="20"/>
  <c r="D54" i="20"/>
  <c r="H54" i="20" s="1"/>
  <c r="H53" i="20"/>
  <c r="H64" i="20" s="1"/>
  <c r="H143" i="20" s="1"/>
  <c r="D53" i="20"/>
  <c r="G49" i="20"/>
  <c r="F49" i="20"/>
  <c r="E49" i="20"/>
  <c r="E142" i="20" s="1"/>
  <c r="H47" i="20"/>
  <c r="H46" i="20"/>
  <c r="H45" i="20"/>
  <c r="H44" i="20"/>
  <c r="H43" i="20"/>
  <c r="H42" i="20"/>
  <c r="H41" i="20"/>
  <c r="D41" i="20"/>
  <c r="D49" i="20" s="1"/>
  <c r="D142" i="20" s="1"/>
  <c r="H40" i="20"/>
  <c r="H49" i="20" s="1"/>
  <c r="H142" i="20" s="1"/>
  <c r="G36" i="20"/>
  <c r="G141" i="20" s="1"/>
  <c r="F36" i="20"/>
  <c r="F141" i="20" s="1"/>
  <c r="H34" i="20"/>
  <c r="H33" i="20"/>
  <c r="H32" i="20"/>
  <c r="H31" i="20"/>
  <c r="H30" i="20"/>
  <c r="H29" i="20"/>
  <c r="D29" i="20"/>
  <c r="H28" i="20"/>
  <c r="H27" i="20"/>
  <c r="H26" i="20"/>
  <c r="H25" i="20"/>
  <c r="H24" i="20"/>
  <c r="D24" i="20"/>
  <c r="H23" i="20"/>
  <c r="H22" i="20"/>
  <c r="E21" i="20"/>
  <c r="E36" i="20" s="1"/>
  <c r="E141" i="20" s="1"/>
  <c r="H18" i="20"/>
  <c r="H150" i="20" s="1"/>
  <c r="F152" i="20" l="1"/>
  <c r="E152" i="20"/>
  <c r="G152" i="20"/>
  <c r="D21" i="20"/>
  <c r="D36" i="20" l="1"/>
  <c r="D141" i="20" s="1"/>
  <c r="D152" i="20" s="1"/>
  <c r="H21" i="20"/>
  <c r="H36" i="20" s="1"/>
  <c r="H141" i="20" s="1"/>
  <c r="H152" i="20" s="1"/>
  <c r="D154" i="20" l="1"/>
  <c r="D155" i="20"/>
  <c r="G150" i="19" l="1"/>
  <c r="F150" i="19"/>
  <c r="E150" i="19"/>
  <c r="D150" i="19"/>
  <c r="E149" i="19"/>
  <c r="D147" i="19"/>
  <c r="F145" i="19"/>
  <c r="E145" i="19"/>
  <c r="E144" i="19"/>
  <c r="D144" i="19"/>
  <c r="G143" i="19"/>
  <c r="D141" i="19"/>
  <c r="G137" i="19"/>
  <c r="G149" i="19" s="1"/>
  <c r="F137" i="19"/>
  <c r="F149" i="19" s="1"/>
  <c r="E137" i="19"/>
  <c r="D137" i="19"/>
  <c r="D149" i="19" s="1"/>
  <c r="H135" i="19"/>
  <c r="H134" i="19"/>
  <c r="H133" i="19"/>
  <c r="H132" i="19"/>
  <c r="H131" i="19"/>
  <c r="H137" i="19" s="1"/>
  <c r="H149" i="19" s="1"/>
  <c r="E119" i="19"/>
  <c r="E123" i="19" s="1"/>
  <c r="E127" i="19" s="1"/>
  <c r="E118" i="19"/>
  <c r="H111" i="19"/>
  <c r="H148" i="19" s="1"/>
  <c r="G108" i="19"/>
  <c r="G147" i="19" s="1"/>
  <c r="F108" i="19"/>
  <c r="F147" i="19" s="1"/>
  <c r="E108" i="19"/>
  <c r="E147" i="19" s="1"/>
  <c r="D108" i="19"/>
  <c r="H106" i="19"/>
  <c r="H105" i="19"/>
  <c r="H104" i="19"/>
  <c r="H103" i="19"/>
  <c r="H102" i="19"/>
  <c r="H108" i="19" s="1"/>
  <c r="H147" i="19" s="1"/>
  <c r="G98" i="19"/>
  <c r="G146" i="19" s="1"/>
  <c r="F98" i="19"/>
  <c r="F146" i="19" s="1"/>
  <c r="E98" i="19"/>
  <c r="E146" i="19" s="1"/>
  <c r="D98" i="19"/>
  <c r="D146" i="19" s="1"/>
  <c r="H96" i="19"/>
  <c r="H95" i="19"/>
  <c r="H94" i="19"/>
  <c r="H93" i="19"/>
  <c r="H92" i="19"/>
  <c r="H98" i="19" s="1"/>
  <c r="H146" i="19" s="1"/>
  <c r="H91" i="19"/>
  <c r="H90" i="19"/>
  <c r="H89" i="19"/>
  <c r="H88" i="19"/>
  <c r="H87" i="19"/>
  <c r="H86" i="19"/>
  <c r="H82" i="19"/>
  <c r="H145" i="19" s="1"/>
  <c r="G82" i="19"/>
  <c r="G145" i="19" s="1"/>
  <c r="F82" i="19"/>
  <c r="D82" i="19"/>
  <c r="D145" i="19" s="1"/>
  <c r="H80" i="19"/>
  <c r="H79" i="19"/>
  <c r="H78" i="19"/>
  <c r="H77" i="19"/>
  <c r="G74" i="19"/>
  <c r="G144" i="19" s="1"/>
  <c r="F74" i="19"/>
  <c r="F144" i="19" s="1"/>
  <c r="E74" i="19"/>
  <c r="D74" i="19"/>
  <c r="H72" i="19"/>
  <c r="H71" i="19"/>
  <c r="H70" i="19"/>
  <c r="H69" i="19"/>
  <c r="H68" i="19"/>
  <c r="H74" i="19" s="1"/>
  <c r="H144" i="19" s="1"/>
  <c r="G64" i="19"/>
  <c r="F64" i="19"/>
  <c r="F143" i="19" s="1"/>
  <c r="D64" i="19"/>
  <c r="D143" i="19" s="1"/>
  <c r="H62" i="19"/>
  <c r="H61" i="19"/>
  <c r="H58" i="19"/>
  <c r="E58" i="19"/>
  <c r="E64" i="19" s="1"/>
  <c r="E143" i="19" s="1"/>
  <c r="D58" i="19"/>
  <c r="H53" i="19"/>
  <c r="H64" i="19" s="1"/>
  <c r="H143" i="19" s="1"/>
  <c r="G49" i="19"/>
  <c r="G142" i="19" s="1"/>
  <c r="F49" i="19"/>
  <c r="F142" i="19" s="1"/>
  <c r="E49" i="19"/>
  <c r="E142" i="19" s="1"/>
  <c r="D49" i="19"/>
  <c r="D142" i="19" s="1"/>
  <c r="H47" i="19"/>
  <c r="H46" i="19"/>
  <c r="H45" i="19"/>
  <c r="H44" i="19"/>
  <c r="H43" i="19"/>
  <c r="H42" i="19"/>
  <c r="H41" i="19"/>
  <c r="H40" i="19"/>
  <c r="H49" i="19" s="1"/>
  <c r="H142" i="19" s="1"/>
  <c r="G36" i="19"/>
  <c r="G141" i="19" s="1"/>
  <c r="G152" i="19" s="1"/>
  <c r="F36" i="19"/>
  <c r="F141" i="19" s="1"/>
  <c r="E36" i="19"/>
  <c r="E141" i="19" s="1"/>
  <c r="D36" i="19"/>
  <c r="H34" i="19"/>
  <c r="H33" i="19"/>
  <c r="H32" i="19"/>
  <c r="H31" i="19"/>
  <c r="H30" i="19"/>
  <c r="H29" i="19"/>
  <c r="H28" i="19"/>
  <c r="H27" i="19"/>
  <c r="H26" i="19"/>
  <c r="H25" i="19"/>
  <c r="H24" i="19"/>
  <c r="H23" i="19"/>
  <c r="H22" i="19"/>
  <c r="H21" i="19"/>
  <c r="H36" i="19" s="1"/>
  <c r="H141" i="19" s="1"/>
  <c r="H18" i="19"/>
  <c r="H150" i="19" s="1"/>
  <c r="D152" i="19" l="1"/>
  <c r="E152" i="19"/>
  <c r="H152" i="19"/>
  <c r="F152" i="19"/>
  <c r="D155" i="19" l="1"/>
  <c r="D154" i="19"/>
  <c r="G150" i="18" l="1"/>
  <c r="F150" i="18"/>
  <c r="E150" i="18"/>
  <c r="D150" i="18"/>
  <c r="G149" i="18"/>
  <c r="F147" i="18"/>
  <c r="E147" i="18"/>
  <c r="G145" i="18"/>
  <c r="E145" i="18"/>
  <c r="E144" i="18"/>
  <c r="D144" i="18"/>
  <c r="F142" i="18"/>
  <c r="G137" i="18"/>
  <c r="F137" i="18"/>
  <c r="F149" i="18" s="1"/>
  <c r="E137" i="18"/>
  <c r="E149" i="18" s="1"/>
  <c r="D137" i="18"/>
  <c r="D149" i="18" s="1"/>
  <c r="H135" i="18"/>
  <c r="H134" i="18"/>
  <c r="H133" i="18"/>
  <c r="H132" i="18"/>
  <c r="H137" i="18" s="1"/>
  <c r="H149" i="18" s="1"/>
  <c r="H131" i="18"/>
  <c r="E119" i="18"/>
  <c r="H111" i="18"/>
  <c r="H148" i="18" s="1"/>
  <c r="G108" i="18"/>
  <c r="G147" i="18" s="1"/>
  <c r="F108" i="18"/>
  <c r="E108" i="18"/>
  <c r="D108" i="18"/>
  <c r="D147" i="18" s="1"/>
  <c r="H106" i="18"/>
  <c r="H105" i="18"/>
  <c r="H104" i="18"/>
  <c r="H103" i="18"/>
  <c r="H102" i="18"/>
  <c r="H108" i="18" s="1"/>
  <c r="H147" i="18" s="1"/>
  <c r="G98" i="18"/>
  <c r="G146" i="18" s="1"/>
  <c r="F98" i="18"/>
  <c r="F146" i="18" s="1"/>
  <c r="E98" i="18"/>
  <c r="E146" i="18" s="1"/>
  <c r="D98" i="18"/>
  <c r="D146" i="18" s="1"/>
  <c r="H96" i="18"/>
  <c r="H95" i="18"/>
  <c r="H94" i="18"/>
  <c r="H93" i="18"/>
  <c r="H92" i="18"/>
  <c r="H91" i="18"/>
  <c r="H90" i="18"/>
  <c r="H89" i="18"/>
  <c r="H88" i="18"/>
  <c r="H87" i="18"/>
  <c r="H86" i="18"/>
  <c r="H98" i="18" s="1"/>
  <c r="H146" i="18" s="1"/>
  <c r="G82" i="18"/>
  <c r="F82" i="18"/>
  <c r="F145" i="18" s="1"/>
  <c r="D82" i="18"/>
  <c r="D145" i="18" s="1"/>
  <c r="H80" i="18"/>
  <c r="H79" i="18"/>
  <c r="H78" i="18"/>
  <c r="H77" i="18"/>
  <c r="H82" i="18" s="1"/>
  <c r="H145" i="18" s="1"/>
  <c r="G74" i="18"/>
  <c r="G144" i="18" s="1"/>
  <c r="F74" i="18"/>
  <c r="F144" i="18" s="1"/>
  <c r="E74" i="18"/>
  <c r="D74" i="18"/>
  <c r="H72" i="18"/>
  <c r="H71" i="18"/>
  <c r="H70" i="18"/>
  <c r="H69" i="18"/>
  <c r="H68" i="18"/>
  <c r="H74" i="18" s="1"/>
  <c r="H144" i="18" s="1"/>
  <c r="G64" i="18"/>
  <c r="G143" i="18" s="1"/>
  <c r="F64" i="18"/>
  <c r="F143" i="18" s="1"/>
  <c r="E64" i="18"/>
  <c r="E143" i="18" s="1"/>
  <c r="D64" i="18"/>
  <c r="D143" i="18" s="1"/>
  <c r="H62" i="18"/>
  <c r="H61" i="18"/>
  <c r="H60" i="18"/>
  <c r="H59" i="18"/>
  <c r="H64" i="18" s="1"/>
  <c r="H143" i="18" s="1"/>
  <c r="H58" i="18"/>
  <c r="H57" i="18"/>
  <c r="H56" i="18"/>
  <c r="H55" i="18"/>
  <c r="H54" i="18"/>
  <c r="H53" i="18"/>
  <c r="G49" i="18"/>
  <c r="G142" i="18" s="1"/>
  <c r="F49" i="18"/>
  <c r="E49" i="18"/>
  <c r="E142" i="18" s="1"/>
  <c r="D49" i="18"/>
  <c r="D142" i="18" s="1"/>
  <c r="H47" i="18"/>
  <c r="H46" i="18"/>
  <c r="H45" i="18"/>
  <c r="H44" i="18"/>
  <c r="H43" i="18"/>
  <c r="H49" i="18" s="1"/>
  <c r="H142" i="18" s="1"/>
  <c r="H42" i="18"/>
  <c r="H41" i="18"/>
  <c r="H40" i="18"/>
  <c r="G36" i="18"/>
  <c r="G141" i="18" s="1"/>
  <c r="F36" i="18"/>
  <c r="F141" i="18" s="1"/>
  <c r="E36" i="18"/>
  <c r="E141" i="18" s="1"/>
  <c r="D36" i="18"/>
  <c r="D141" i="18" s="1"/>
  <c r="H34" i="18"/>
  <c r="H33" i="18"/>
  <c r="H32" i="18"/>
  <c r="H31" i="18"/>
  <c r="H30" i="18"/>
  <c r="H29" i="18"/>
  <c r="H28" i="18"/>
  <c r="H27" i="18"/>
  <c r="H26" i="18"/>
  <c r="H25" i="18"/>
  <c r="H24" i="18"/>
  <c r="H23" i="18"/>
  <c r="H22" i="18"/>
  <c r="H21" i="18"/>
  <c r="H36" i="18" s="1"/>
  <c r="H141" i="18" s="1"/>
  <c r="H18" i="18"/>
  <c r="H150" i="18" s="1"/>
  <c r="D152" i="18" l="1"/>
  <c r="E152" i="18"/>
  <c r="F152" i="18"/>
  <c r="H152" i="18"/>
  <c r="G152" i="18"/>
  <c r="D155" i="18" l="1"/>
  <c r="D154" i="18"/>
  <c r="G150" i="17" l="1"/>
  <c r="F150" i="17"/>
  <c r="E150" i="17"/>
  <c r="D150" i="17"/>
  <c r="E145" i="17"/>
  <c r="D145" i="17"/>
  <c r="D142" i="17"/>
  <c r="G137" i="17"/>
  <c r="G149" i="17" s="1"/>
  <c r="F137" i="17"/>
  <c r="F149" i="17" s="1"/>
  <c r="E137" i="17"/>
  <c r="E149" i="17" s="1"/>
  <c r="D137" i="17"/>
  <c r="D149" i="17" s="1"/>
  <c r="H135" i="17"/>
  <c r="H134" i="17"/>
  <c r="H133" i="17"/>
  <c r="H132" i="17"/>
  <c r="H131" i="17"/>
  <c r="H137" i="17" s="1"/>
  <c r="H149" i="17" s="1"/>
  <c r="E119" i="17"/>
  <c r="E123" i="17" s="1"/>
  <c r="H111" i="17"/>
  <c r="H148" i="17" s="1"/>
  <c r="G108" i="17"/>
  <c r="G147" i="17" s="1"/>
  <c r="F108" i="17"/>
  <c r="F147" i="17" s="1"/>
  <c r="E108" i="17"/>
  <c r="E147" i="17" s="1"/>
  <c r="D108" i="17"/>
  <c r="D147" i="17" s="1"/>
  <c r="H106" i="17"/>
  <c r="H105" i="17"/>
  <c r="H104" i="17"/>
  <c r="H103" i="17"/>
  <c r="H102" i="17"/>
  <c r="H108" i="17" s="1"/>
  <c r="H147" i="17" s="1"/>
  <c r="G98" i="17"/>
  <c r="G146" i="17" s="1"/>
  <c r="F98" i="17"/>
  <c r="F146" i="17" s="1"/>
  <c r="E98" i="17"/>
  <c r="E146" i="17" s="1"/>
  <c r="D98" i="17"/>
  <c r="D146" i="17" s="1"/>
  <c r="H96" i="17"/>
  <c r="H95" i="17"/>
  <c r="H94" i="17"/>
  <c r="H93" i="17"/>
  <c r="H92" i="17"/>
  <c r="H91" i="17"/>
  <c r="H90" i="17"/>
  <c r="H89" i="17"/>
  <c r="H88" i="17"/>
  <c r="H87" i="17"/>
  <c r="H86" i="17"/>
  <c r="H98" i="17" s="1"/>
  <c r="H146" i="17" s="1"/>
  <c r="G82" i="17"/>
  <c r="G145" i="17" s="1"/>
  <c r="F82" i="17"/>
  <c r="F145" i="17" s="1"/>
  <c r="D82" i="17"/>
  <c r="H80" i="17"/>
  <c r="H79" i="17"/>
  <c r="H78" i="17"/>
  <c r="H77" i="17"/>
  <c r="H82" i="17" s="1"/>
  <c r="H145" i="17" s="1"/>
  <c r="G74" i="17"/>
  <c r="G144" i="17" s="1"/>
  <c r="F74" i="17"/>
  <c r="F144" i="17" s="1"/>
  <c r="E74" i="17"/>
  <c r="E144" i="17" s="1"/>
  <c r="D74" i="17"/>
  <c r="D144" i="17" s="1"/>
  <c r="H72" i="17"/>
  <c r="H71" i="17"/>
  <c r="H70" i="17"/>
  <c r="H69" i="17"/>
  <c r="H68" i="17"/>
  <c r="H74" i="17" s="1"/>
  <c r="H144" i="17" s="1"/>
  <c r="G64" i="17"/>
  <c r="G143" i="17" s="1"/>
  <c r="F64" i="17"/>
  <c r="F143" i="17" s="1"/>
  <c r="E64" i="17"/>
  <c r="E143" i="17" s="1"/>
  <c r="D64" i="17"/>
  <c r="D143" i="17" s="1"/>
  <c r="H62" i="17"/>
  <c r="H61" i="17"/>
  <c r="H60" i="17"/>
  <c r="H59" i="17"/>
  <c r="H58" i="17"/>
  <c r="H57" i="17"/>
  <c r="H56" i="17"/>
  <c r="H55" i="17"/>
  <c r="H54" i="17"/>
  <c r="H53" i="17"/>
  <c r="H64" i="17" s="1"/>
  <c r="H143" i="17" s="1"/>
  <c r="G49" i="17"/>
  <c r="G142" i="17" s="1"/>
  <c r="F49" i="17"/>
  <c r="F142" i="17" s="1"/>
  <c r="E49" i="17"/>
  <c r="E142" i="17" s="1"/>
  <c r="D49" i="17"/>
  <c r="H47" i="17"/>
  <c r="H46" i="17"/>
  <c r="H45" i="17"/>
  <c r="H44" i="17"/>
  <c r="H43" i="17"/>
  <c r="H42" i="17"/>
  <c r="H41" i="17"/>
  <c r="H40" i="17"/>
  <c r="H49" i="17" s="1"/>
  <c r="H142" i="17" s="1"/>
  <c r="G36" i="17"/>
  <c r="G141" i="17" s="1"/>
  <c r="F36" i="17"/>
  <c r="F141" i="17" s="1"/>
  <c r="F152" i="17" s="1"/>
  <c r="E36" i="17"/>
  <c r="E141" i="17" s="1"/>
  <c r="E152" i="17" s="1"/>
  <c r="D36" i="17"/>
  <c r="D141" i="17" s="1"/>
  <c r="H34" i="17"/>
  <c r="H33" i="17"/>
  <c r="H32" i="17"/>
  <c r="H31" i="17"/>
  <c r="H30" i="17"/>
  <c r="H29" i="17"/>
  <c r="H28" i="17"/>
  <c r="H27" i="17"/>
  <c r="H26" i="17"/>
  <c r="H25" i="17"/>
  <c r="H24" i="17"/>
  <c r="H23" i="17"/>
  <c r="H22" i="17"/>
  <c r="H21" i="17"/>
  <c r="H36" i="17" s="1"/>
  <c r="H141" i="17" s="1"/>
  <c r="H18" i="17"/>
  <c r="H150" i="17" s="1"/>
  <c r="D152" i="17" l="1"/>
  <c r="G152" i="17"/>
  <c r="H152" i="17"/>
  <c r="D155" i="17" l="1"/>
  <c r="D154" i="17"/>
  <c r="G150" i="16" l="1"/>
  <c r="F150" i="16"/>
  <c r="E150" i="16"/>
  <c r="D150" i="16"/>
  <c r="E149" i="16"/>
  <c r="E145" i="16"/>
  <c r="G143" i="16"/>
  <c r="D142" i="16"/>
  <c r="G137" i="16"/>
  <c r="G149" i="16" s="1"/>
  <c r="F137" i="16"/>
  <c r="F149" i="16" s="1"/>
  <c r="E137" i="16"/>
  <c r="D137" i="16"/>
  <c r="D149" i="16" s="1"/>
  <c r="H135" i="16"/>
  <c r="H134" i="16"/>
  <c r="H133" i="16"/>
  <c r="H132" i="16"/>
  <c r="H131" i="16"/>
  <c r="H137" i="16" s="1"/>
  <c r="H149" i="16" s="1"/>
  <c r="E119" i="16"/>
  <c r="H111" i="16"/>
  <c r="H148" i="16" s="1"/>
  <c r="G108" i="16"/>
  <c r="G147" i="16" s="1"/>
  <c r="F108" i="16"/>
  <c r="F147" i="16" s="1"/>
  <c r="E108" i="16"/>
  <c r="E147" i="16" s="1"/>
  <c r="D108" i="16"/>
  <c r="D147" i="16" s="1"/>
  <c r="H106" i="16"/>
  <c r="H105" i="16"/>
  <c r="H104" i="16"/>
  <c r="H103" i="16"/>
  <c r="H102" i="16"/>
  <c r="H108" i="16" s="1"/>
  <c r="H147" i="16" s="1"/>
  <c r="G98" i="16"/>
  <c r="G146" i="16" s="1"/>
  <c r="F98" i="16"/>
  <c r="F146" i="16" s="1"/>
  <c r="E98" i="16"/>
  <c r="E146" i="16" s="1"/>
  <c r="D98" i="16"/>
  <c r="D146" i="16" s="1"/>
  <c r="H96" i="16"/>
  <c r="H95" i="16"/>
  <c r="H94" i="16"/>
  <c r="H93" i="16"/>
  <c r="H92" i="16"/>
  <c r="H91" i="16"/>
  <c r="H90" i="16"/>
  <c r="H89" i="16"/>
  <c r="H88" i="16"/>
  <c r="H87" i="16"/>
  <c r="H86" i="16"/>
  <c r="H98" i="16" s="1"/>
  <c r="H146" i="16" s="1"/>
  <c r="G82" i="16"/>
  <c r="G145" i="16" s="1"/>
  <c r="F82" i="16"/>
  <c r="F145" i="16" s="1"/>
  <c r="D82" i="16"/>
  <c r="D145" i="16" s="1"/>
  <c r="H80" i="16"/>
  <c r="H79" i="16"/>
  <c r="H78" i="16"/>
  <c r="H77" i="16"/>
  <c r="H82" i="16" s="1"/>
  <c r="H145" i="16" s="1"/>
  <c r="G74" i="16"/>
  <c r="G144" i="16" s="1"/>
  <c r="F74" i="16"/>
  <c r="F144" i="16" s="1"/>
  <c r="E74" i="16"/>
  <c r="E144" i="16" s="1"/>
  <c r="D74" i="16"/>
  <c r="D144" i="16" s="1"/>
  <c r="H72" i="16"/>
  <c r="H71" i="16"/>
  <c r="H70" i="16"/>
  <c r="H69" i="16"/>
  <c r="H68" i="16"/>
  <c r="H74" i="16" s="1"/>
  <c r="H144" i="16" s="1"/>
  <c r="G64" i="16"/>
  <c r="F64" i="16"/>
  <c r="F143" i="16" s="1"/>
  <c r="E64" i="16"/>
  <c r="E143" i="16" s="1"/>
  <c r="D64" i="16"/>
  <c r="D143" i="16" s="1"/>
  <c r="H62" i="16"/>
  <c r="H61" i="16"/>
  <c r="H60" i="16"/>
  <c r="H59" i="16"/>
  <c r="H58" i="16"/>
  <c r="H57" i="16"/>
  <c r="H56" i="16"/>
  <c r="H55" i="16"/>
  <c r="H54" i="16"/>
  <c r="H53" i="16"/>
  <c r="H64" i="16" s="1"/>
  <c r="H143" i="16" s="1"/>
  <c r="G49" i="16"/>
  <c r="G142" i="16" s="1"/>
  <c r="F49" i="16"/>
  <c r="F142" i="16" s="1"/>
  <c r="E49" i="16"/>
  <c r="E142" i="16" s="1"/>
  <c r="D49" i="16"/>
  <c r="H47" i="16"/>
  <c r="H46" i="16"/>
  <c r="H45" i="16"/>
  <c r="H44" i="16"/>
  <c r="H43" i="16"/>
  <c r="H42" i="16"/>
  <c r="H41" i="16"/>
  <c r="H40" i="16"/>
  <c r="H49" i="16" s="1"/>
  <c r="H142" i="16" s="1"/>
  <c r="G36" i="16"/>
  <c r="G141" i="16" s="1"/>
  <c r="G152" i="16" s="1"/>
  <c r="F36" i="16"/>
  <c r="F141" i="16" s="1"/>
  <c r="F152" i="16" s="1"/>
  <c r="E36" i="16"/>
  <c r="E141" i="16" s="1"/>
  <c r="D36" i="16"/>
  <c r="D141" i="16" s="1"/>
  <c r="H34" i="16"/>
  <c r="H33" i="16"/>
  <c r="H32" i="16"/>
  <c r="H31" i="16"/>
  <c r="H30" i="16"/>
  <c r="H29" i="16"/>
  <c r="H28" i="16"/>
  <c r="H27" i="16"/>
  <c r="H26" i="16"/>
  <c r="H25" i="16"/>
  <c r="H24" i="16"/>
  <c r="H23" i="16"/>
  <c r="H22" i="16"/>
  <c r="H21" i="16"/>
  <c r="H36" i="16" s="1"/>
  <c r="H141" i="16" s="1"/>
  <c r="H18" i="16"/>
  <c r="H150" i="16" s="1"/>
  <c r="H152" i="16" l="1"/>
  <c r="D155" i="16"/>
  <c r="D154" i="16"/>
  <c r="D152" i="16"/>
  <c r="E152" i="16"/>
  <c r="G150" i="15" l="1"/>
  <c r="F150" i="15"/>
  <c r="E150" i="15"/>
  <c r="D150" i="15"/>
  <c r="G149" i="15"/>
  <c r="H148" i="15"/>
  <c r="E147" i="15"/>
  <c r="G146" i="15"/>
  <c r="F146" i="15"/>
  <c r="G145" i="15"/>
  <c r="E145" i="15"/>
  <c r="D145" i="15"/>
  <c r="G143" i="15"/>
  <c r="F143" i="15"/>
  <c r="E143" i="15"/>
  <c r="F142" i="15"/>
  <c r="G141" i="15"/>
  <c r="G137" i="15"/>
  <c r="F137" i="15"/>
  <c r="F149" i="15" s="1"/>
  <c r="E137" i="15"/>
  <c r="E149" i="15" s="1"/>
  <c r="D137" i="15"/>
  <c r="D149" i="15" s="1"/>
  <c r="H135" i="15"/>
  <c r="H134" i="15"/>
  <c r="H133" i="15"/>
  <c r="H132" i="15"/>
  <c r="H137" i="15" s="1"/>
  <c r="H149" i="15" s="1"/>
  <c r="H131" i="15"/>
  <c r="E119" i="15"/>
  <c r="H111" i="15"/>
  <c r="G108" i="15"/>
  <c r="G147" i="15" s="1"/>
  <c r="F108" i="15"/>
  <c r="F147" i="15" s="1"/>
  <c r="E108" i="15"/>
  <c r="D108" i="15"/>
  <c r="D147" i="15" s="1"/>
  <c r="H106" i="15"/>
  <c r="H105" i="15"/>
  <c r="H104" i="15"/>
  <c r="H103" i="15"/>
  <c r="H108" i="15" s="1"/>
  <c r="H147" i="15" s="1"/>
  <c r="H102" i="15"/>
  <c r="G98" i="15"/>
  <c r="F98" i="15"/>
  <c r="E98" i="15"/>
  <c r="E146" i="15" s="1"/>
  <c r="D98" i="15"/>
  <c r="D146" i="15" s="1"/>
  <c r="H96" i="15"/>
  <c r="H95" i="15"/>
  <c r="H94" i="15"/>
  <c r="H93" i="15"/>
  <c r="H92" i="15"/>
  <c r="H91" i="15"/>
  <c r="H90" i="15"/>
  <c r="H89" i="15"/>
  <c r="H88" i="15"/>
  <c r="H87" i="15"/>
  <c r="H86" i="15"/>
  <c r="H98" i="15" s="1"/>
  <c r="H146" i="15" s="1"/>
  <c r="G82" i="15"/>
  <c r="F82" i="15"/>
  <c r="F145" i="15" s="1"/>
  <c r="D82" i="15"/>
  <c r="H80" i="15"/>
  <c r="H79" i="15"/>
  <c r="H78" i="15"/>
  <c r="H77" i="15"/>
  <c r="H82" i="15" s="1"/>
  <c r="H145" i="15" s="1"/>
  <c r="G74" i="15"/>
  <c r="G144" i="15" s="1"/>
  <c r="F74" i="15"/>
  <c r="F144" i="15" s="1"/>
  <c r="E74" i="15"/>
  <c r="E144" i="15" s="1"/>
  <c r="D74" i="15"/>
  <c r="D144" i="15" s="1"/>
  <c r="H72" i="15"/>
  <c r="H71" i="15"/>
  <c r="H70" i="15"/>
  <c r="H69" i="15"/>
  <c r="H68" i="15"/>
  <c r="H74" i="15" s="1"/>
  <c r="H144" i="15" s="1"/>
  <c r="G64" i="15"/>
  <c r="F64" i="15"/>
  <c r="E64" i="15"/>
  <c r="D64" i="15"/>
  <c r="D143" i="15" s="1"/>
  <c r="H62" i="15"/>
  <c r="H61" i="15"/>
  <c r="H60" i="15"/>
  <c r="H59" i="15"/>
  <c r="H58" i="15"/>
  <c r="H57" i="15"/>
  <c r="H56" i="15"/>
  <c r="H55" i="15"/>
  <c r="H64" i="15" s="1"/>
  <c r="H143" i="15" s="1"/>
  <c r="H54" i="15"/>
  <c r="H53" i="15"/>
  <c r="G49" i="15"/>
  <c r="G142" i="15" s="1"/>
  <c r="F49" i="15"/>
  <c r="E49" i="15"/>
  <c r="E142" i="15" s="1"/>
  <c r="D49" i="15"/>
  <c r="D142" i="15" s="1"/>
  <c r="H47" i="15"/>
  <c r="H46" i="15"/>
  <c r="H45" i="15"/>
  <c r="H44" i="15"/>
  <c r="H43" i="15"/>
  <c r="H42" i="15"/>
  <c r="H41" i="15"/>
  <c r="H40" i="15"/>
  <c r="H49" i="15" s="1"/>
  <c r="H142" i="15" s="1"/>
  <c r="G36" i="15"/>
  <c r="F36" i="15"/>
  <c r="F141" i="15" s="1"/>
  <c r="E36" i="15"/>
  <c r="E141" i="15" s="1"/>
  <c r="D36" i="15"/>
  <c r="D141" i="15" s="1"/>
  <c r="H34" i="15"/>
  <c r="H33" i="15"/>
  <c r="H32" i="15"/>
  <c r="H31" i="15"/>
  <c r="H30" i="15"/>
  <c r="H29" i="15"/>
  <c r="H28" i="15"/>
  <c r="H27" i="15"/>
  <c r="H26" i="15"/>
  <c r="H25" i="15"/>
  <c r="H24" i="15"/>
  <c r="H23" i="15"/>
  <c r="H36" i="15" s="1"/>
  <c r="H141" i="15" s="1"/>
  <c r="H22" i="15"/>
  <c r="H21" i="15"/>
  <c r="H18" i="15"/>
  <c r="H150" i="15" s="1"/>
  <c r="H152" i="15" l="1"/>
  <c r="D152" i="15"/>
  <c r="E152" i="15"/>
  <c r="G152" i="15"/>
  <c r="F152" i="15"/>
  <c r="D155" i="15" l="1"/>
  <c r="D154" i="15"/>
  <c r="F150" i="14"/>
  <c r="E150" i="14"/>
  <c r="E149" i="14"/>
  <c r="D149" i="14"/>
  <c r="E145" i="14"/>
  <c r="D142" i="14"/>
  <c r="G137" i="14"/>
  <c r="G149" i="14" s="1"/>
  <c r="F137" i="14"/>
  <c r="F149" i="14" s="1"/>
  <c r="E137" i="14"/>
  <c r="D137" i="14"/>
  <c r="H135" i="14"/>
  <c r="H134" i="14"/>
  <c r="H133" i="14"/>
  <c r="H132" i="14"/>
  <c r="H131" i="14"/>
  <c r="H137" i="14" s="1"/>
  <c r="H149" i="14" s="1"/>
  <c r="E121" i="14"/>
  <c r="E118" i="14"/>
  <c r="E117" i="14"/>
  <c r="E119" i="14" s="1"/>
  <c r="E123" i="14" s="1"/>
  <c r="E127" i="14" s="1"/>
  <c r="H111" i="14"/>
  <c r="H148" i="14" s="1"/>
  <c r="F111" i="14"/>
  <c r="G108" i="14"/>
  <c r="G147" i="14" s="1"/>
  <c r="F108" i="14"/>
  <c r="F147" i="14" s="1"/>
  <c r="D108" i="14"/>
  <c r="D147" i="14" s="1"/>
  <c r="H106" i="14"/>
  <c r="H105" i="14"/>
  <c r="H104" i="14"/>
  <c r="H103" i="14"/>
  <c r="E103" i="14"/>
  <c r="E102" i="14"/>
  <c r="H102" i="14" s="1"/>
  <c r="H108" i="14" s="1"/>
  <c r="H147" i="14" s="1"/>
  <c r="G98" i="14"/>
  <c r="G146" i="14" s="1"/>
  <c r="F98" i="14"/>
  <c r="F146" i="14" s="1"/>
  <c r="D98" i="14"/>
  <c r="D146" i="14" s="1"/>
  <c r="H96" i="14"/>
  <c r="H95" i="14"/>
  <c r="H94" i="14"/>
  <c r="E93" i="14"/>
  <c r="H93" i="14" s="1"/>
  <c r="H92" i="14"/>
  <c r="E92" i="14"/>
  <c r="H91" i="14"/>
  <c r="E91" i="14"/>
  <c r="E90" i="14"/>
  <c r="H90" i="14" s="1"/>
  <c r="E89" i="14"/>
  <c r="H89" i="14" s="1"/>
  <c r="H88" i="14"/>
  <c r="E88" i="14"/>
  <c r="H87" i="14"/>
  <c r="E87" i="14"/>
  <c r="E86" i="14"/>
  <c r="H86" i="14" s="1"/>
  <c r="H98" i="14" s="1"/>
  <c r="H146" i="14" s="1"/>
  <c r="G82" i="14"/>
  <c r="G145" i="14" s="1"/>
  <c r="F82" i="14"/>
  <c r="F145" i="14" s="1"/>
  <c r="D82" i="14"/>
  <c r="D145" i="14" s="1"/>
  <c r="H80" i="14"/>
  <c r="H79" i="14"/>
  <c r="H78" i="14"/>
  <c r="H77" i="14"/>
  <c r="H82" i="14" s="1"/>
  <c r="H145" i="14" s="1"/>
  <c r="G74" i="14"/>
  <c r="G144" i="14" s="1"/>
  <c r="F74" i="14"/>
  <c r="F144" i="14" s="1"/>
  <c r="D74" i="14"/>
  <c r="D144" i="14" s="1"/>
  <c r="H72" i="14"/>
  <c r="H71" i="14"/>
  <c r="H70" i="14"/>
  <c r="H69" i="14"/>
  <c r="E68" i="14"/>
  <c r="H68" i="14" s="1"/>
  <c r="H74" i="14" s="1"/>
  <c r="H144" i="14" s="1"/>
  <c r="G64" i="14"/>
  <c r="G143" i="14" s="1"/>
  <c r="F64" i="14"/>
  <c r="F143" i="14" s="1"/>
  <c r="E64" i="14"/>
  <c r="E143" i="14" s="1"/>
  <c r="H62" i="14"/>
  <c r="H61" i="14"/>
  <c r="G60" i="14"/>
  <c r="D60" i="14"/>
  <c r="H60" i="14" s="1"/>
  <c r="H59" i="14"/>
  <c r="H58" i="14"/>
  <c r="H57" i="14"/>
  <c r="D56" i="14"/>
  <c r="H56" i="14" s="1"/>
  <c r="H55" i="14"/>
  <c r="D55" i="14"/>
  <c r="H54" i="14"/>
  <c r="D54" i="14"/>
  <c r="D64" i="14" s="1"/>
  <c r="D143" i="14" s="1"/>
  <c r="H53" i="14"/>
  <c r="H64" i="14" s="1"/>
  <c r="H143" i="14" s="1"/>
  <c r="G49" i="14"/>
  <c r="G142" i="14" s="1"/>
  <c r="F49" i="14"/>
  <c r="F142" i="14" s="1"/>
  <c r="D49" i="14"/>
  <c r="H47" i="14"/>
  <c r="H46" i="14"/>
  <c r="H45" i="14"/>
  <c r="H44" i="14"/>
  <c r="H43" i="14"/>
  <c r="E42" i="14"/>
  <c r="H42" i="14" s="1"/>
  <c r="H41" i="14"/>
  <c r="H40" i="14"/>
  <c r="G36" i="14"/>
  <c r="G141" i="14" s="1"/>
  <c r="F36" i="14"/>
  <c r="F141" i="14" s="1"/>
  <c r="D36" i="14"/>
  <c r="D141" i="14" s="1"/>
  <c r="H34" i="14"/>
  <c r="H33" i="14"/>
  <c r="H32" i="14"/>
  <c r="H31" i="14"/>
  <c r="H30" i="14"/>
  <c r="H29" i="14"/>
  <c r="E29" i="14"/>
  <c r="E28" i="14"/>
  <c r="H28" i="14" s="1"/>
  <c r="E27" i="14"/>
  <c r="H27" i="14" s="1"/>
  <c r="H26" i="14"/>
  <c r="E26" i="14"/>
  <c r="H25" i="14"/>
  <c r="E25" i="14"/>
  <c r="E24" i="14"/>
  <c r="H24" i="14" s="1"/>
  <c r="E23" i="14"/>
  <c r="H23" i="14" s="1"/>
  <c r="H22" i="14"/>
  <c r="E22" i="14"/>
  <c r="H21" i="14"/>
  <c r="H36" i="14" s="1"/>
  <c r="H141" i="14" s="1"/>
  <c r="E21" i="14"/>
  <c r="E36" i="14" s="1"/>
  <c r="E141" i="14" s="1"/>
  <c r="G150" i="14"/>
  <c r="D150" i="14"/>
  <c r="D152" i="14" l="1"/>
  <c r="F152" i="14"/>
  <c r="G152" i="14"/>
  <c r="H49" i="14"/>
  <c r="H142" i="14" s="1"/>
  <c r="E74" i="14"/>
  <c r="E144" i="14" s="1"/>
  <c r="E98" i="14"/>
  <c r="E146" i="14" s="1"/>
  <c r="E49" i="14"/>
  <c r="E142" i="14" s="1"/>
  <c r="E152" i="14" s="1"/>
  <c r="H18" i="14"/>
  <c r="H150" i="14" s="1"/>
  <c r="E108" i="14"/>
  <c r="E147" i="14" s="1"/>
  <c r="H152" i="14" l="1"/>
  <c r="D154" i="14" l="1"/>
  <c r="D155" i="14"/>
  <c r="G150" i="13"/>
  <c r="F150" i="13"/>
  <c r="E150" i="13"/>
  <c r="D150" i="13"/>
  <c r="E149" i="13"/>
  <c r="E145" i="13"/>
  <c r="D144" i="13"/>
  <c r="G143" i="13"/>
  <c r="F142" i="13"/>
  <c r="E142" i="13"/>
  <c r="D142" i="13"/>
  <c r="G137" i="13"/>
  <c r="G149" i="13" s="1"/>
  <c r="F137" i="13"/>
  <c r="F149" i="13" s="1"/>
  <c r="E137" i="13"/>
  <c r="D137" i="13"/>
  <c r="D149" i="13" s="1"/>
  <c r="H135" i="13"/>
  <c r="H134" i="13"/>
  <c r="H133" i="13"/>
  <c r="H132" i="13"/>
  <c r="H131" i="13"/>
  <c r="H137" i="13" s="1"/>
  <c r="H149" i="13" s="1"/>
  <c r="E119" i="13"/>
  <c r="E123" i="13" s="1"/>
  <c r="E127" i="13" s="1"/>
  <c r="H111" i="13"/>
  <c r="H148" i="13" s="1"/>
  <c r="G108" i="13"/>
  <c r="G147" i="13" s="1"/>
  <c r="F108" i="13"/>
  <c r="F147" i="13" s="1"/>
  <c r="E108" i="13"/>
  <c r="E147" i="13" s="1"/>
  <c r="D108" i="13"/>
  <c r="D147" i="13" s="1"/>
  <c r="H106" i="13"/>
  <c r="H105" i="13"/>
  <c r="H104" i="13"/>
  <c r="H103" i="13"/>
  <c r="H102" i="13"/>
  <c r="H108" i="13" s="1"/>
  <c r="H147" i="13" s="1"/>
  <c r="G98" i="13"/>
  <c r="G146" i="13" s="1"/>
  <c r="F98" i="13"/>
  <c r="F146" i="13" s="1"/>
  <c r="E98" i="13"/>
  <c r="E146" i="13" s="1"/>
  <c r="D98" i="13"/>
  <c r="D146" i="13" s="1"/>
  <c r="H96" i="13"/>
  <c r="H95" i="13"/>
  <c r="H94" i="13"/>
  <c r="H93" i="13"/>
  <c r="H92" i="13"/>
  <c r="H91" i="13"/>
  <c r="H98" i="13" s="1"/>
  <c r="H146" i="13" s="1"/>
  <c r="H90" i="13"/>
  <c r="H89" i="13"/>
  <c r="H88" i="13"/>
  <c r="H87" i="13"/>
  <c r="H86" i="13"/>
  <c r="H82" i="13"/>
  <c r="H145" i="13" s="1"/>
  <c r="G82" i="13"/>
  <c r="G145" i="13" s="1"/>
  <c r="F82" i="13"/>
  <c r="F145" i="13" s="1"/>
  <c r="D82" i="13"/>
  <c r="D145" i="13" s="1"/>
  <c r="H80" i="13"/>
  <c r="H79" i="13"/>
  <c r="H78" i="13"/>
  <c r="H77" i="13"/>
  <c r="G74" i="13"/>
  <c r="G144" i="13" s="1"/>
  <c r="F74" i="13"/>
  <c r="F144" i="13" s="1"/>
  <c r="E74" i="13"/>
  <c r="E144" i="13" s="1"/>
  <c r="D74" i="13"/>
  <c r="H72" i="13"/>
  <c r="H71" i="13"/>
  <c r="H70" i="13"/>
  <c r="H69" i="13"/>
  <c r="H68" i="13"/>
  <c r="H74" i="13" s="1"/>
  <c r="H144" i="13" s="1"/>
  <c r="G64" i="13"/>
  <c r="F64" i="13"/>
  <c r="F143" i="13" s="1"/>
  <c r="E64" i="13"/>
  <c r="E143" i="13" s="1"/>
  <c r="D64" i="13"/>
  <c r="D143" i="13" s="1"/>
  <c r="H62" i="13"/>
  <c r="H61" i="13"/>
  <c r="H60" i="13"/>
  <c r="H59" i="13"/>
  <c r="H64" i="13" s="1"/>
  <c r="H143" i="13" s="1"/>
  <c r="H58" i="13"/>
  <c r="H57" i="13"/>
  <c r="H56" i="13"/>
  <c r="H55" i="13"/>
  <c r="H54" i="13"/>
  <c r="H53" i="13"/>
  <c r="G49" i="13"/>
  <c r="G142" i="13" s="1"/>
  <c r="F49" i="13"/>
  <c r="E49" i="13"/>
  <c r="D49" i="13"/>
  <c r="H47" i="13"/>
  <c r="H46" i="13"/>
  <c r="H45" i="13"/>
  <c r="H44" i="13"/>
  <c r="H43" i="13"/>
  <c r="H49" i="13" s="1"/>
  <c r="H142" i="13" s="1"/>
  <c r="H42" i="13"/>
  <c r="H41" i="13"/>
  <c r="H40" i="13"/>
  <c r="G36" i="13"/>
  <c r="G141" i="13" s="1"/>
  <c r="F36" i="13"/>
  <c r="F141" i="13" s="1"/>
  <c r="E36" i="13"/>
  <c r="E141" i="13" s="1"/>
  <c r="E152" i="13" s="1"/>
  <c r="D36" i="13"/>
  <c r="D141" i="13" s="1"/>
  <c r="H34" i="13"/>
  <c r="H33" i="13"/>
  <c r="H32" i="13"/>
  <c r="H31" i="13"/>
  <c r="H30" i="13"/>
  <c r="H29" i="13"/>
  <c r="H28" i="13"/>
  <c r="H27" i="13"/>
  <c r="H26" i="13"/>
  <c r="H25" i="13"/>
  <c r="H24" i="13"/>
  <c r="H23" i="13"/>
  <c r="H22" i="13"/>
  <c r="H21" i="13"/>
  <c r="H36" i="13" s="1"/>
  <c r="H141" i="13" s="1"/>
  <c r="H18" i="13"/>
  <c r="H150" i="13" s="1"/>
  <c r="D152" i="13" l="1"/>
  <c r="H152" i="13"/>
  <c r="F152" i="13"/>
  <c r="G152" i="13"/>
  <c r="D155" i="13" l="1"/>
  <c r="D154" i="13"/>
  <c r="G150" i="12" l="1"/>
  <c r="F150" i="12"/>
  <c r="E150" i="12"/>
  <c r="D150" i="12"/>
  <c r="E149" i="12"/>
  <c r="E145" i="12"/>
  <c r="G143" i="12"/>
  <c r="D142" i="12"/>
  <c r="G137" i="12"/>
  <c r="G149" i="12" s="1"/>
  <c r="F137" i="12"/>
  <c r="F149" i="12" s="1"/>
  <c r="E137" i="12"/>
  <c r="D137" i="12"/>
  <c r="D149" i="12" s="1"/>
  <c r="H135" i="12"/>
  <c r="H134" i="12"/>
  <c r="H133" i="12"/>
  <c r="H132" i="12"/>
  <c r="H131" i="12"/>
  <c r="H137" i="12" s="1"/>
  <c r="H149" i="12" s="1"/>
  <c r="E119" i="12"/>
  <c r="H111" i="12"/>
  <c r="H148" i="12" s="1"/>
  <c r="G108" i="12"/>
  <c r="G147" i="12" s="1"/>
  <c r="F108" i="12"/>
  <c r="F147" i="12" s="1"/>
  <c r="E108" i="12"/>
  <c r="E147" i="12" s="1"/>
  <c r="D108" i="12"/>
  <c r="D147" i="12" s="1"/>
  <c r="H106" i="12"/>
  <c r="H105" i="12"/>
  <c r="H104" i="12"/>
  <c r="H103" i="12"/>
  <c r="H102" i="12"/>
  <c r="H108" i="12" s="1"/>
  <c r="H147" i="12" s="1"/>
  <c r="G98" i="12"/>
  <c r="G146" i="12" s="1"/>
  <c r="F98" i="12"/>
  <c r="F146" i="12" s="1"/>
  <c r="E98" i="12"/>
  <c r="E146" i="12" s="1"/>
  <c r="D98" i="12"/>
  <c r="D146" i="12" s="1"/>
  <c r="H96" i="12"/>
  <c r="H95" i="12"/>
  <c r="H94" i="12"/>
  <c r="H93" i="12"/>
  <c r="H92" i="12"/>
  <c r="H91" i="12"/>
  <c r="H90" i="12"/>
  <c r="H89" i="12"/>
  <c r="H88" i="12"/>
  <c r="H87" i="12"/>
  <c r="H86" i="12"/>
  <c r="H98" i="12" s="1"/>
  <c r="H146" i="12" s="1"/>
  <c r="G82" i="12"/>
  <c r="G145" i="12" s="1"/>
  <c r="F82" i="12"/>
  <c r="F145" i="12" s="1"/>
  <c r="D82" i="12"/>
  <c r="D145" i="12" s="1"/>
  <c r="H80" i="12"/>
  <c r="H79" i="12"/>
  <c r="H78" i="12"/>
  <c r="H77" i="12"/>
  <c r="H82" i="12" s="1"/>
  <c r="H145" i="12" s="1"/>
  <c r="G74" i="12"/>
  <c r="G144" i="12" s="1"/>
  <c r="F74" i="12"/>
  <c r="F144" i="12" s="1"/>
  <c r="E74" i="12"/>
  <c r="E144" i="12" s="1"/>
  <c r="D74" i="12"/>
  <c r="D144" i="12" s="1"/>
  <c r="H72" i="12"/>
  <c r="H71" i="12"/>
  <c r="H70" i="12"/>
  <c r="H69" i="12"/>
  <c r="H68" i="12"/>
  <c r="H74" i="12" s="1"/>
  <c r="H144" i="12" s="1"/>
  <c r="G64" i="12"/>
  <c r="F64" i="12"/>
  <c r="F143" i="12" s="1"/>
  <c r="E64" i="12"/>
  <c r="E143" i="12" s="1"/>
  <c r="D64" i="12"/>
  <c r="D143" i="12" s="1"/>
  <c r="H62" i="12"/>
  <c r="H61" i="12"/>
  <c r="H60" i="12"/>
  <c r="H59" i="12"/>
  <c r="H58" i="12"/>
  <c r="H57" i="12"/>
  <c r="H56" i="12"/>
  <c r="H55" i="12"/>
  <c r="H54" i="12"/>
  <c r="H53" i="12"/>
  <c r="H64" i="12" s="1"/>
  <c r="H143" i="12" s="1"/>
  <c r="G49" i="12"/>
  <c r="G142" i="12" s="1"/>
  <c r="F49" i="12"/>
  <c r="F142" i="12" s="1"/>
  <c r="E49" i="12"/>
  <c r="E142" i="12" s="1"/>
  <c r="D49" i="12"/>
  <c r="H47" i="12"/>
  <c r="H46" i="12"/>
  <c r="H45" i="12"/>
  <c r="H44" i="12"/>
  <c r="H43" i="12"/>
  <c r="H42" i="12"/>
  <c r="H41" i="12"/>
  <c r="H40" i="12"/>
  <c r="H49" i="12" s="1"/>
  <c r="H142" i="12" s="1"/>
  <c r="G36" i="12"/>
  <c r="G141" i="12" s="1"/>
  <c r="F36" i="12"/>
  <c r="F141" i="12" s="1"/>
  <c r="F152" i="12" s="1"/>
  <c r="E36" i="12"/>
  <c r="E141" i="12" s="1"/>
  <c r="D36" i="12"/>
  <c r="D141" i="12" s="1"/>
  <c r="H34" i="12"/>
  <c r="H33" i="12"/>
  <c r="H32" i="12"/>
  <c r="H31" i="12"/>
  <c r="H30" i="12"/>
  <c r="H29" i="12"/>
  <c r="H28" i="12"/>
  <c r="H27" i="12"/>
  <c r="H26" i="12"/>
  <c r="H25" i="12"/>
  <c r="H24" i="12"/>
  <c r="H23" i="12"/>
  <c r="H22" i="12"/>
  <c r="H21" i="12"/>
  <c r="H36" i="12" s="1"/>
  <c r="H141" i="12" s="1"/>
  <c r="H18" i="12"/>
  <c r="H150" i="12" s="1"/>
  <c r="H152" i="12" l="1"/>
  <c r="G152" i="12"/>
  <c r="D154" i="12"/>
  <c r="D152" i="12"/>
  <c r="E152" i="12"/>
  <c r="D155" i="12" l="1"/>
  <c r="G150" i="11"/>
  <c r="F150" i="11"/>
  <c r="E150" i="11"/>
  <c r="D150" i="11"/>
  <c r="E149" i="11"/>
  <c r="E145" i="11"/>
  <c r="G137" i="11"/>
  <c r="G149" i="11" s="1"/>
  <c r="F137" i="11"/>
  <c r="F149" i="11" s="1"/>
  <c r="E137" i="11"/>
  <c r="D137" i="11"/>
  <c r="D149" i="11" s="1"/>
  <c r="H135" i="11"/>
  <c r="H134" i="11"/>
  <c r="H133" i="11"/>
  <c r="H132" i="11"/>
  <c r="H131" i="11"/>
  <c r="H137" i="11" s="1"/>
  <c r="H149" i="11" s="1"/>
  <c r="E125" i="11"/>
  <c r="E121" i="11"/>
  <c r="E118" i="11"/>
  <c r="E117" i="11"/>
  <c r="E119" i="11" s="1"/>
  <c r="E123" i="11" s="1"/>
  <c r="E127" i="11" s="1"/>
  <c r="H111" i="11"/>
  <c r="H148" i="11" s="1"/>
  <c r="G108" i="11"/>
  <c r="G147" i="11" s="1"/>
  <c r="F108" i="11"/>
  <c r="F147" i="11" s="1"/>
  <c r="D108" i="11"/>
  <c r="D147" i="11" s="1"/>
  <c r="H106" i="11"/>
  <c r="H105" i="11"/>
  <c r="H104" i="11"/>
  <c r="H103" i="11"/>
  <c r="E102" i="11"/>
  <c r="H102" i="11" s="1"/>
  <c r="H108" i="11" s="1"/>
  <c r="H147" i="11" s="1"/>
  <c r="G98" i="11"/>
  <c r="G146" i="11" s="1"/>
  <c r="F98" i="11"/>
  <c r="F146" i="11" s="1"/>
  <c r="D98" i="11"/>
  <c r="D146" i="11" s="1"/>
  <c r="H96" i="11"/>
  <c r="H95" i="11"/>
  <c r="H94" i="11"/>
  <c r="H93" i="11"/>
  <c r="H92" i="11"/>
  <c r="E91" i="11"/>
  <c r="H91" i="11" s="1"/>
  <c r="H90" i="11"/>
  <c r="H89" i="11"/>
  <c r="E89" i="11"/>
  <c r="E98" i="11" s="1"/>
  <c r="E146" i="11" s="1"/>
  <c r="H88" i="11"/>
  <c r="H87" i="11"/>
  <c r="H86" i="11"/>
  <c r="F82" i="11"/>
  <c r="F145" i="11" s="1"/>
  <c r="D82" i="11"/>
  <c r="D145" i="11" s="1"/>
  <c r="H80" i="11"/>
  <c r="H79" i="11"/>
  <c r="G78" i="11"/>
  <c r="G82" i="11" s="1"/>
  <c r="G145" i="11" s="1"/>
  <c r="D78" i="11"/>
  <c r="H78" i="11" s="1"/>
  <c r="H77" i="11"/>
  <c r="H82" i="11" s="1"/>
  <c r="H145" i="11" s="1"/>
  <c r="G74" i="11"/>
  <c r="G144" i="11" s="1"/>
  <c r="F74" i="11"/>
  <c r="F144" i="11" s="1"/>
  <c r="E74" i="11"/>
  <c r="E144" i="11" s="1"/>
  <c r="D74" i="11"/>
  <c r="D144" i="11" s="1"/>
  <c r="H72" i="11"/>
  <c r="H71" i="11"/>
  <c r="H70" i="11"/>
  <c r="H69" i="11"/>
  <c r="H68" i="11"/>
  <c r="H74" i="11" s="1"/>
  <c r="H144" i="11" s="1"/>
  <c r="H62" i="11"/>
  <c r="H61" i="11"/>
  <c r="H60" i="11"/>
  <c r="H59" i="11"/>
  <c r="H58" i="11"/>
  <c r="H57" i="11"/>
  <c r="H56" i="11"/>
  <c r="H55" i="11"/>
  <c r="H54" i="11"/>
  <c r="G64" i="11"/>
  <c r="F64" i="11"/>
  <c r="E64" i="11"/>
  <c r="D64" i="11"/>
  <c r="G49" i="11"/>
  <c r="G142" i="11" s="1"/>
  <c r="F49" i="11"/>
  <c r="F142" i="11" s="1"/>
  <c r="E49" i="11"/>
  <c r="E142" i="11" s="1"/>
  <c r="D49" i="11"/>
  <c r="D142" i="11" s="1"/>
  <c r="H47" i="11"/>
  <c r="H46" i="11"/>
  <c r="H45" i="11"/>
  <c r="H44" i="11"/>
  <c r="H43" i="11"/>
  <c r="H42" i="11"/>
  <c r="H41" i="11"/>
  <c r="H40" i="11"/>
  <c r="H49" i="11" s="1"/>
  <c r="H142" i="11" s="1"/>
  <c r="G36" i="11"/>
  <c r="G141" i="11" s="1"/>
  <c r="F36" i="11"/>
  <c r="F141" i="11" s="1"/>
  <c r="D36" i="11"/>
  <c r="D141" i="11" s="1"/>
  <c r="H34" i="11"/>
  <c r="H33" i="11"/>
  <c r="H32" i="11"/>
  <c r="H31" i="11"/>
  <c r="H30" i="11"/>
  <c r="H29" i="11"/>
  <c r="E29" i="11"/>
  <c r="H28" i="11"/>
  <c r="E28" i="11"/>
  <c r="H27" i="11"/>
  <c r="H26" i="11"/>
  <c r="E25" i="11"/>
  <c r="H25" i="11" s="1"/>
  <c r="H24" i="11"/>
  <c r="E24" i="11"/>
  <c r="H23" i="11"/>
  <c r="H22" i="11"/>
  <c r="E21" i="11"/>
  <c r="E36" i="11" s="1"/>
  <c r="E141" i="11" s="1"/>
  <c r="H18" i="11"/>
  <c r="H150" i="11" s="1"/>
  <c r="E143" i="11" l="1"/>
  <c r="F43" i="8"/>
  <c r="F143" i="11"/>
  <c r="F152" i="11" s="1"/>
  <c r="G43" i="8"/>
  <c r="G111" i="8" s="1"/>
  <c r="G120" i="8" s="1"/>
  <c r="D143" i="11"/>
  <c r="D152" i="11" s="1"/>
  <c r="E43" i="8"/>
  <c r="G143" i="11"/>
  <c r="G152" i="11" s="1"/>
  <c r="H43" i="8"/>
  <c r="H98" i="11"/>
  <c r="H146" i="11" s="1"/>
  <c r="H21" i="11"/>
  <c r="H36" i="11" s="1"/>
  <c r="H141" i="11" s="1"/>
  <c r="H53" i="11"/>
  <c r="H64" i="11" s="1"/>
  <c r="E108" i="11"/>
  <c r="E147" i="11" s="1"/>
  <c r="E152" i="11" s="1"/>
  <c r="H143" i="11" l="1"/>
  <c r="I43" i="8"/>
  <c r="H152" i="11"/>
  <c r="D155" i="11" l="1"/>
  <c r="D154" i="11"/>
  <c r="G150" i="9" l="1"/>
  <c r="F150" i="9"/>
  <c r="E150" i="9"/>
  <c r="D150" i="9"/>
  <c r="G149" i="9"/>
  <c r="E149" i="9"/>
  <c r="E147" i="9"/>
  <c r="G145" i="9"/>
  <c r="E145" i="9"/>
  <c r="G143" i="9"/>
  <c r="F142" i="9"/>
  <c r="G137" i="9"/>
  <c r="F137" i="9"/>
  <c r="F149" i="9" s="1"/>
  <c r="E137" i="9"/>
  <c r="D137" i="9"/>
  <c r="D149" i="9" s="1"/>
  <c r="H135" i="9"/>
  <c r="H134" i="9"/>
  <c r="H133" i="9"/>
  <c r="H132" i="9"/>
  <c r="H137" i="9" s="1"/>
  <c r="H149" i="9" s="1"/>
  <c r="H131" i="9"/>
  <c r="E119" i="9"/>
  <c r="H111" i="9"/>
  <c r="H148" i="9" s="1"/>
  <c r="G108" i="9"/>
  <c r="G147" i="9" s="1"/>
  <c r="F108" i="9"/>
  <c r="F147" i="9" s="1"/>
  <c r="E108" i="9"/>
  <c r="D108" i="9"/>
  <c r="D147" i="9" s="1"/>
  <c r="H106" i="9"/>
  <c r="H105" i="9"/>
  <c r="H104" i="9"/>
  <c r="H103" i="9"/>
  <c r="H102" i="9"/>
  <c r="H108" i="9" s="1"/>
  <c r="H147" i="9" s="1"/>
  <c r="G98" i="9"/>
  <c r="G146" i="9" s="1"/>
  <c r="F98" i="9"/>
  <c r="F146" i="9" s="1"/>
  <c r="E98" i="9"/>
  <c r="E146" i="9" s="1"/>
  <c r="D98" i="9"/>
  <c r="D146" i="9" s="1"/>
  <c r="H96" i="9"/>
  <c r="H95" i="9"/>
  <c r="H94" i="9"/>
  <c r="H93" i="9"/>
  <c r="H92" i="9"/>
  <c r="H91" i="9"/>
  <c r="H90" i="9"/>
  <c r="H89" i="9"/>
  <c r="H88" i="9"/>
  <c r="H87" i="9"/>
  <c r="H86" i="9"/>
  <c r="H98" i="9" s="1"/>
  <c r="H146" i="9" s="1"/>
  <c r="G82" i="9"/>
  <c r="F82" i="9"/>
  <c r="F145" i="9" s="1"/>
  <c r="D82" i="9"/>
  <c r="D145" i="9" s="1"/>
  <c r="H80" i="9"/>
  <c r="H79" i="9"/>
  <c r="H78" i="9"/>
  <c r="H77" i="9"/>
  <c r="H82" i="9" s="1"/>
  <c r="H145" i="9" s="1"/>
  <c r="G74" i="9"/>
  <c r="G144" i="9" s="1"/>
  <c r="F74" i="9"/>
  <c r="F144" i="9" s="1"/>
  <c r="E74" i="9"/>
  <c r="E144" i="9" s="1"/>
  <c r="D74" i="9"/>
  <c r="D144" i="9" s="1"/>
  <c r="H72" i="9"/>
  <c r="H71" i="9"/>
  <c r="H70" i="9"/>
  <c r="H69" i="9"/>
  <c r="H68" i="9"/>
  <c r="H74" i="9" s="1"/>
  <c r="H144" i="9" s="1"/>
  <c r="G64" i="9"/>
  <c r="F64" i="9"/>
  <c r="F143" i="9" s="1"/>
  <c r="E64" i="9"/>
  <c r="E143" i="9" s="1"/>
  <c r="D64" i="9"/>
  <c r="D143" i="9" s="1"/>
  <c r="H62" i="9"/>
  <c r="H61" i="9"/>
  <c r="H60" i="9"/>
  <c r="H59" i="9"/>
  <c r="H58" i="9"/>
  <c r="H57" i="9"/>
  <c r="H64" i="9" s="1"/>
  <c r="H143" i="9" s="1"/>
  <c r="H56" i="9"/>
  <c r="H55" i="9"/>
  <c r="H54" i="9"/>
  <c r="H53" i="9"/>
  <c r="G49" i="9"/>
  <c r="G142" i="9" s="1"/>
  <c r="F49" i="9"/>
  <c r="E49" i="9"/>
  <c r="E142" i="9" s="1"/>
  <c r="H47" i="9"/>
  <c r="H46" i="9"/>
  <c r="H45" i="9"/>
  <c r="H44" i="9"/>
  <c r="H43" i="9"/>
  <c r="H42" i="9"/>
  <c r="H41" i="9"/>
  <c r="D40" i="9"/>
  <c r="D49" i="9" s="1"/>
  <c r="D142" i="9" s="1"/>
  <c r="F36" i="9"/>
  <c r="F141" i="9" s="1"/>
  <c r="E36" i="9"/>
  <c r="E141" i="9" s="1"/>
  <c r="E152" i="9" s="1"/>
  <c r="H34" i="9"/>
  <c r="H33" i="9"/>
  <c r="H32" i="9"/>
  <c r="H31" i="9"/>
  <c r="H30" i="9"/>
  <c r="H29" i="9"/>
  <c r="H28" i="9"/>
  <c r="H27" i="9"/>
  <c r="H26" i="9"/>
  <c r="H25" i="9"/>
  <c r="H24" i="9"/>
  <c r="H23" i="9"/>
  <c r="H22" i="9"/>
  <c r="G21" i="9"/>
  <c r="G36" i="9" s="1"/>
  <c r="G141" i="9" s="1"/>
  <c r="G152" i="9" s="1"/>
  <c r="D21" i="9"/>
  <c r="D36" i="9" s="1"/>
  <c r="D141" i="9" s="1"/>
  <c r="H18" i="9"/>
  <c r="H150" i="9" l="1"/>
  <c r="I6" i="8"/>
  <c r="D152" i="9"/>
  <c r="F152" i="9"/>
  <c r="H21" i="9"/>
  <c r="H36" i="9" s="1"/>
  <c r="H141" i="9" s="1"/>
  <c r="H152" i="9" s="1"/>
  <c r="H40" i="9"/>
  <c r="H49" i="9" s="1"/>
  <c r="H142" i="9" s="1"/>
  <c r="D155" i="9" l="1"/>
  <c r="D154" i="9"/>
  <c r="J103" i="8" l="1"/>
  <c r="J100" i="8"/>
  <c r="I104" i="8"/>
  <c r="F104" i="8"/>
  <c r="F117" i="8" s="1"/>
  <c r="E104" i="8"/>
  <c r="E117" i="8" s="1"/>
  <c r="E116" i="8"/>
  <c r="J87" i="8"/>
  <c r="J85" i="8"/>
  <c r="H89" i="8"/>
  <c r="H115" i="8" s="1"/>
  <c r="E89" i="8"/>
  <c r="E115" i="8" s="1"/>
  <c r="J76" i="8"/>
  <c r="J74" i="8"/>
  <c r="J72" i="8"/>
  <c r="J71" i="8"/>
  <c r="J70" i="8"/>
  <c r="J68" i="8"/>
  <c r="J66" i="8"/>
  <c r="J58" i="8"/>
  <c r="J56" i="8"/>
  <c r="H60" i="8"/>
  <c r="H113" i="8" s="1"/>
  <c r="J49" i="8"/>
  <c r="J48" i="8"/>
  <c r="H51" i="8"/>
  <c r="H112" i="8" s="1"/>
  <c r="E51" i="8"/>
  <c r="E112" i="8" s="1"/>
  <c r="H111" i="8"/>
  <c r="F111" i="8"/>
  <c r="E111" i="8"/>
  <c r="J36" i="8"/>
  <c r="J34" i="8"/>
  <c r="J33" i="8"/>
  <c r="J32" i="8"/>
  <c r="J31" i="8"/>
  <c r="J19" i="8"/>
  <c r="J18" i="8"/>
  <c r="J17" i="8"/>
  <c r="J15" i="8"/>
  <c r="J14" i="8"/>
  <c r="J13" i="8"/>
  <c r="J12" i="8"/>
  <c r="J10" i="8"/>
  <c r="J6" i="8"/>
  <c r="H118" i="8"/>
  <c r="F118" i="8"/>
  <c r="E118" i="8"/>
  <c r="C54" i="7"/>
  <c r="G54" i="6"/>
  <c r="B43" i="4" s="1"/>
  <c r="B32" i="4" s="1"/>
  <c r="D54" i="6"/>
  <c r="C54" i="6"/>
  <c r="C68" i="4"/>
  <c r="B55" i="4" s="1"/>
  <c r="B68" i="4"/>
  <c r="C67" i="4"/>
  <c r="B67" i="4"/>
  <c r="C66" i="4"/>
  <c r="B66" i="4"/>
  <c r="C65" i="4"/>
  <c r="B65" i="4"/>
  <c r="C64" i="4"/>
  <c r="B51" i="4" s="1"/>
  <c r="B64" i="4"/>
  <c r="C63" i="4"/>
  <c r="B76" i="4" s="1"/>
  <c r="B63" i="4"/>
  <c r="C62" i="4"/>
  <c r="B62" i="4"/>
  <c r="C61" i="4"/>
  <c r="B48" i="4" s="1"/>
  <c r="B61" i="4"/>
  <c r="B74" i="4" s="1"/>
  <c r="C60" i="4"/>
  <c r="B47" i="4" s="1"/>
  <c r="B60" i="4"/>
  <c r="G39" i="4"/>
  <c r="G38" i="4"/>
  <c r="G37" i="4"/>
  <c r="G36" i="4"/>
  <c r="G35" i="4"/>
  <c r="G34" i="4"/>
  <c r="G33" i="4"/>
  <c r="D30" i="4"/>
  <c r="C30" i="4"/>
  <c r="B30" i="4"/>
  <c r="D29" i="4"/>
  <c r="C29" i="4"/>
  <c r="B29" i="4"/>
  <c r="D28" i="4"/>
  <c r="C28" i="4"/>
  <c r="B28" i="4"/>
  <c r="G28" i="4" s="1"/>
  <c r="D27" i="4"/>
  <c r="C27" i="4"/>
  <c r="B27" i="4"/>
  <c r="D26" i="4"/>
  <c r="C26" i="4"/>
  <c r="B26" i="4"/>
  <c r="D25" i="4"/>
  <c r="C25" i="4"/>
  <c r="B25" i="4"/>
  <c r="D24" i="4"/>
  <c r="C24" i="4"/>
  <c r="B24" i="4"/>
  <c r="D23" i="4"/>
  <c r="C23" i="4"/>
  <c r="B23" i="4"/>
  <c r="D22" i="4"/>
  <c r="C22" i="4"/>
  <c r="B22" i="4"/>
  <c r="C54" i="3"/>
  <c r="D54" i="2"/>
  <c r="C54" i="2"/>
  <c r="D31" i="4" l="1"/>
  <c r="D43" i="4"/>
  <c r="D32" i="4" s="1"/>
  <c r="C31" i="4"/>
  <c r="C43" i="4"/>
  <c r="H54" i="6"/>
  <c r="B69" i="4"/>
  <c r="B96" i="4"/>
  <c r="B70" i="4" s="1"/>
  <c r="G27" i="4"/>
  <c r="B50" i="4"/>
  <c r="G25" i="4"/>
  <c r="D63" i="4" s="1"/>
  <c r="C50" i="4" s="1"/>
  <c r="G23" i="4"/>
  <c r="D61" i="4" s="1"/>
  <c r="B77" i="4"/>
  <c r="B78" i="4"/>
  <c r="G30" i="4"/>
  <c r="D68" i="4" s="1"/>
  <c r="B75" i="4"/>
  <c r="G29" i="4"/>
  <c r="D67" i="4" s="1"/>
  <c r="C54" i="4" s="1"/>
  <c r="B80" i="4"/>
  <c r="F54" i="2"/>
  <c r="B31" i="4"/>
  <c r="G31" i="4"/>
  <c r="J116" i="8"/>
  <c r="I116" i="8"/>
  <c r="B12" i="5" s="1"/>
  <c r="J112" i="8"/>
  <c r="I118" i="8"/>
  <c r="B3" i="5" s="1"/>
  <c r="J118" i="8"/>
  <c r="J115" i="8"/>
  <c r="J111" i="8"/>
  <c r="I111" i="8"/>
  <c r="B6" i="5" s="1"/>
  <c r="E24" i="8"/>
  <c r="E109" i="8" s="1"/>
  <c r="J69" i="8"/>
  <c r="F89" i="8"/>
  <c r="F115" i="8" s="1"/>
  <c r="J101" i="8"/>
  <c r="J22" i="8"/>
  <c r="J43" i="8"/>
  <c r="E60" i="8"/>
  <c r="E113" i="8" s="1"/>
  <c r="I113" i="8" s="1"/>
  <c r="B8" i="5" s="1"/>
  <c r="J57" i="8"/>
  <c r="J73" i="8"/>
  <c r="J84" i="8"/>
  <c r="H104" i="8"/>
  <c r="H117" i="8" s="1"/>
  <c r="J117" i="8" s="1"/>
  <c r="F60" i="8"/>
  <c r="F113" i="8" s="1"/>
  <c r="E78" i="8"/>
  <c r="E114" i="8" s="1"/>
  <c r="I89" i="8"/>
  <c r="J21" i="8"/>
  <c r="F78" i="8"/>
  <c r="F114" i="8" s="1"/>
  <c r="J83" i="8"/>
  <c r="J99" i="8"/>
  <c r="J16" i="8"/>
  <c r="E38" i="8"/>
  <c r="E110" i="8" s="1"/>
  <c r="J35" i="8"/>
  <c r="H78" i="8"/>
  <c r="H114" i="8" s="1"/>
  <c r="J67" i="8"/>
  <c r="J102" i="8"/>
  <c r="J11" i="8"/>
  <c r="F38" i="8"/>
  <c r="F110" i="8" s="1"/>
  <c r="J30" i="8"/>
  <c r="J86" i="8"/>
  <c r="J75" i="8"/>
  <c r="C74" i="4"/>
  <c r="C48" i="4"/>
  <c r="C76" i="4"/>
  <c r="D66" i="4"/>
  <c r="B79" i="4"/>
  <c r="I54" i="7"/>
  <c r="J20" i="8"/>
  <c r="B49" i="4"/>
  <c r="F24" i="8"/>
  <c r="F109" i="8" s="1"/>
  <c r="J55" i="8"/>
  <c r="I60" i="8"/>
  <c r="G26" i="4"/>
  <c r="D64" i="4" s="1"/>
  <c r="H24" i="8"/>
  <c r="H109" i="8" s="1"/>
  <c r="H38" i="8"/>
  <c r="H110" i="8" s="1"/>
  <c r="F51" i="8"/>
  <c r="F112" i="8" s="1"/>
  <c r="G24" i="4"/>
  <c r="D62" i="4" s="1"/>
  <c r="C56" i="7"/>
  <c r="I24" i="8"/>
  <c r="J29" i="8"/>
  <c r="G22" i="4"/>
  <c r="D60" i="4" s="1"/>
  <c r="B53" i="4"/>
  <c r="D65" i="4"/>
  <c r="B52" i="4"/>
  <c r="D56" i="7"/>
  <c r="D54" i="7"/>
  <c r="C96" i="4" s="1"/>
  <c r="C70" i="4" s="1"/>
  <c r="I51" i="8"/>
  <c r="J47" i="8"/>
  <c r="J51" i="8" s="1"/>
  <c r="B73" i="4"/>
  <c r="B81" i="4"/>
  <c r="I38" i="8"/>
  <c r="B54" i="4"/>
  <c r="J9" i="8"/>
  <c r="I78" i="8"/>
  <c r="I56" i="7"/>
  <c r="C32" i="4" l="1"/>
  <c r="G32" i="4" s="1"/>
  <c r="G43" i="4"/>
  <c r="B83" i="4"/>
  <c r="B57" i="4"/>
  <c r="D70" i="4"/>
  <c r="C80" i="4"/>
  <c r="F54" i="7"/>
  <c r="J60" i="8"/>
  <c r="J104" i="8"/>
  <c r="I117" i="8"/>
  <c r="J109" i="8"/>
  <c r="I109" i="8"/>
  <c r="B4" i="5" s="1"/>
  <c r="J78" i="8"/>
  <c r="D8" i="5"/>
  <c r="J113" i="8"/>
  <c r="I112" i="8"/>
  <c r="J89" i="8"/>
  <c r="J110" i="8"/>
  <c r="I110" i="8"/>
  <c r="I114" i="8"/>
  <c r="J114" i="8"/>
  <c r="I115" i="8"/>
  <c r="E120" i="8"/>
  <c r="J38" i="8"/>
  <c r="J24" i="8"/>
  <c r="C47" i="4"/>
  <c r="C73" i="4"/>
  <c r="D3" i="5"/>
  <c r="E56" i="7"/>
  <c r="C49" i="4"/>
  <c r="C75" i="4"/>
  <c r="H120" i="8"/>
  <c r="F120" i="8"/>
  <c r="C53" i="4"/>
  <c r="C79" i="4"/>
  <c r="C55" i="4"/>
  <c r="C81" i="4"/>
  <c r="E54" i="7"/>
  <c r="C69" i="4"/>
  <c r="C78" i="4"/>
  <c r="C52" i="4"/>
  <c r="D6" i="5"/>
  <c r="D12" i="5"/>
  <c r="C51" i="4"/>
  <c r="C77" i="4"/>
  <c r="B10" i="5" l="1"/>
  <c r="D10" i="5" s="1"/>
  <c r="B5" i="5"/>
  <c r="D5" i="5" s="1"/>
  <c r="B9" i="5"/>
  <c r="D9" i="5" s="1"/>
  <c r="B7" i="5"/>
  <c r="D7" i="5" s="1"/>
  <c r="B11" i="5"/>
  <c r="D11" i="5" s="1"/>
  <c r="G54" i="7"/>
  <c r="C57" i="4"/>
  <c r="C83" i="4"/>
  <c r="G56" i="7"/>
  <c r="J120" i="8"/>
  <c r="E126" i="8" s="1"/>
  <c r="D4" i="5"/>
  <c r="I120" i="8"/>
  <c r="D69" i="4"/>
  <c r="B56" i="4"/>
  <c r="B82" i="4"/>
  <c r="E124" i="8" l="1"/>
  <c r="H54" i="7"/>
  <c r="B13" i="5"/>
  <c r="C82" i="4"/>
  <c r="C56" i="4"/>
  <c r="C11" i="5" l="1"/>
  <c r="C7" i="5"/>
  <c r="B10" i="4" s="1"/>
  <c r="C10" i="5"/>
  <c r="B11" i="4" s="1"/>
  <c r="C8" i="5"/>
  <c r="B9" i="4" s="1"/>
  <c r="C6" i="5"/>
  <c r="B4" i="4" s="1"/>
  <c r="C12" i="5"/>
  <c r="B3" i="4" s="1"/>
  <c r="C3" i="5"/>
  <c r="C9" i="5"/>
  <c r="B8" i="4" s="1"/>
  <c r="C5" i="5"/>
  <c r="B5" i="4" s="1"/>
  <c r="D13" i="5"/>
  <c r="C4" i="5"/>
  <c r="B6" i="4" s="1"/>
  <c r="E9" i="5" l="1"/>
  <c r="C8" i="4" s="1"/>
  <c r="E8" i="5"/>
  <c r="C9" i="4" s="1"/>
  <c r="E10" i="5"/>
  <c r="C11" i="4" s="1"/>
  <c r="E12" i="5"/>
  <c r="C3" i="4" s="1"/>
  <c r="E11" i="5"/>
  <c r="E7" i="5"/>
  <c r="C10" i="4" s="1"/>
  <c r="E3" i="5"/>
  <c r="E6" i="5"/>
  <c r="C4" i="4" s="1"/>
  <c r="E5" i="5"/>
  <c r="C5" i="4" s="1"/>
  <c r="B7" i="4"/>
  <c r="B12" i="4" s="1"/>
  <c r="C13" i="5"/>
  <c r="E4" i="5"/>
  <c r="C6" i="4" s="1"/>
  <c r="E13" i="5" l="1"/>
  <c r="C7" i="4"/>
  <c r="C12" i="4" s="1"/>
</calcChain>
</file>

<file path=xl/sharedStrings.xml><?xml version="1.0" encoding="utf-8"?>
<sst xmlns="http://schemas.openxmlformats.org/spreadsheetml/2006/main" count="14109" uniqueCount="745">
  <si>
    <t>Hospital ID</t>
  </si>
  <si>
    <t>Hospital Name</t>
  </si>
  <si>
    <t>Direct Medical Education (DME)</t>
  </si>
  <si>
    <t>Nurse Support Program I (NSPI)</t>
  </si>
  <si>
    <t>Total Rate Support for Education</t>
  </si>
  <si>
    <t>Meritus Medical Center</t>
  </si>
  <si>
    <t>210002 &amp; 218992</t>
  </si>
  <si>
    <t>Univ. of Maryland Medical Center</t>
  </si>
  <si>
    <t>210003 &amp; 210055</t>
  </si>
  <si>
    <t>UM Capital Region</t>
  </si>
  <si>
    <t>Holy Cross</t>
  </si>
  <si>
    <t>Frederick Memorial Hospital</t>
  </si>
  <si>
    <t>Univ. of Maryland Harford Memorial Hospital</t>
  </si>
  <si>
    <t>Mercy Medical Center, Inc.</t>
  </si>
  <si>
    <t>Johns Hopkins</t>
  </si>
  <si>
    <t>Univ. of Maryland Shore Medical Center at Dorchester</t>
  </si>
  <si>
    <t>St. Agnes Hospital</t>
  </si>
  <si>
    <t>Sinai Hospital</t>
  </si>
  <si>
    <t>Bon Secours Hospital</t>
  </si>
  <si>
    <t>MedStar Franklin Square Hospital</t>
  </si>
  <si>
    <t>Washington Adventist Hospital</t>
  </si>
  <si>
    <t>Garrett County Memorial Hospital</t>
  </si>
  <si>
    <t>MedStar Montgomery General Hospital</t>
  </si>
  <si>
    <t>Peninsula Regional Medical Center</t>
  </si>
  <si>
    <t>Suburban Hospital Association,Inc</t>
  </si>
  <si>
    <t>Anne Arundel General Hospital</t>
  </si>
  <si>
    <t>MedStar Union Memorial Hospital</t>
  </si>
  <si>
    <t>Western Maryland Hospital</t>
  </si>
  <si>
    <t>MedStar St. Marys Hospital</t>
  </si>
  <si>
    <t>Johns Hopkins Bayview Med. Center</t>
  </si>
  <si>
    <t>Univ. of Maryland Shore Medical Center at Chestertown</t>
  </si>
  <si>
    <t>Union Hospital of Cecil County</t>
  </si>
  <si>
    <t>Carroll County General Hospital</t>
  </si>
  <si>
    <t>MedStar Harbor Hospital Center</t>
  </si>
  <si>
    <t>Univ. of Maryland Charles Regional Medical Center</t>
  </si>
  <si>
    <t>Univ. of Maryland Shore Medical Center at Easton</t>
  </si>
  <si>
    <t>Univ. of Maryland Medical Center Midtown Campus</t>
  </si>
  <si>
    <t>Calvert Memorial Hospital</t>
  </si>
  <si>
    <t>Northwest Hospital Center, Inc.</t>
  </si>
  <si>
    <t>Univ. of Maryland Baltimore Washington Medical Center</t>
  </si>
  <si>
    <t>Greater Baltimore Medical Center</t>
  </si>
  <si>
    <t>McCready Foundation, Inc.</t>
  </si>
  <si>
    <t>Howard County General Hospital</t>
  </si>
  <si>
    <t>Univ. of Maryland Upper Chesepeake Medical Center</t>
  </si>
  <si>
    <t>Doctors Community Hospital</t>
  </si>
  <si>
    <t>MedStar Good Samaritan Hospital</t>
  </si>
  <si>
    <t>Shady Grove Adventist Hospital</t>
  </si>
  <si>
    <t>UMROI</t>
  </si>
  <si>
    <t>Fort Washington Medical Center</t>
  </si>
  <si>
    <t>Atlantic General Hospital</t>
  </si>
  <si>
    <t>MedStar Southern Maryland Hospital</t>
  </si>
  <si>
    <t>Univ. of Maryland St. Josephs Medical Center</t>
  </si>
  <si>
    <t>Levindale</t>
  </si>
  <si>
    <t>Holy Cross German Town</t>
  </si>
  <si>
    <t>Mt. Washington Peds</t>
  </si>
  <si>
    <t>Sheppard Pratt</t>
  </si>
  <si>
    <t>Adventist Rehabilitation</t>
  </si>
  <si>
    <t>Total</t>
  </si>
  <si>
    <t>Charity Care</t>
  </si>
  <si>
    <t>Adventist White Oak Hospital</t>
  </si>
  <si>
    <t>Charts based on All Hospitals</t>
  </si>
  <si>
    <t>Category</t>
  </si>
  <si>
    <t>Percent of Total CB Expenditures</t>
  </si>
  <si>
    <t>Percent of Total CB Expenditures w/o Rate Support</t>
  </si>
  <si>
    <t>Mission Driven Health Services</t>
  </si>
  <si>
    <t>Health Professions Education *</t>
  </si>
  <si>
    <t>Community Health Services</t>
  </si>
  <si>
    <t>Unreimbursed Medicaid Cost</t>
  </si>
  <si>
    <t>Community Building</t>
  </si>
  <si>
    <t>Financial Contributions</t>
  </si>
  <si>
    <t>Research</t>
  </si>
  <si>
    <t>Community Benefit Operations</t>
  </si>
  <si>
    <t>* Rate supported expenditures</t>
  </si>
  <si>
    <t>Fiscal Year</t>
  </si>
  <si>
    <t>DME</t>
  </si>
  <si>
    <t>NSP (1)</t>
  </si>
  <si>
    <t>Total Rate Support</t>
  </si>
  <si>
    <t>FY2011-FY2020 - Net expense with &amp; without rate support</t>
  </si>
  <si>
    <t>CB Expense</t>
  </si>
  <si>
    <t>CB Expense Less Rate Support</t>
  </si>
  <si>
    <t>Total Operating Expenses</t>
  </si>
  <si>
    <t>Net Community Benefit</t>
  </si>
  <si>
    <t>Net Benefit less rate support</t>
  </si>
  <si>
    <t>% of Operating Expense</t>
  </si>
  <si>
    <t>% of Operating Expense less Rate Support</t>
  </si>
  <si>
    <t>Total operating Expense</t>
  </si>
  <si>
    <t>Community Benefit Category</t>
  </si>
  <si>
    <t>Net Community Benefit Expense</t>
  </si>
  <si>
    <t>Foundation</t>
  </si>
  <si>
    <t>Charity Care*</t>
  </si>
  <si>
    <t>Hospital Number</t>
  </si>
  <si>
    <t>NSP I</t>
  </si>
  <si>
    <t xml:space="preserve">Charity Care </t>
  </si>
  <si>
    <t>Hospital</t>
  </si>
  <si>
    <t>Total Hospital Operating Expense</t>
  </si>
  <si>
    <t>Total CB as % of Total Operating Expense</t>
  </si>
  <si>
    <t>CB Reported Charity Care</t>
  </si>
  <si>
    <t>All Hospitals</t>
  </si>
  <si>
    <t>UNREIMBURSED MEDICAID COST</t>
  </si>
  <si>
    <t>DIRECT COST($)</t>
  </si>
  <si>
    <t>INDIRECT COST($)</t>
  </si>
  <si>
    <t>T00</t>
  </si>
  <si>
    <t>Medicaid Costs</t>
  </si>
  <si>
    <t>T99</t>
  </si>
  <si>
    <t>Medicaid Assessments</t>
  </si>
  <si>
    <t>COMMUNITY BENEFIT ACTIVITES</t>
  </si>
  <si>
    <t>Direct Cost ($)</t>
  </si>
  <si>
    <t>Indirect Cost ($)</t>
  </si>
  <si>
    <t>A00.</t>
  </si>
  <si>
    <t>COMMUNITY HEALTH SERVICES</t>
  </si>
  <si>
    <t>A10</t>
  </si>
  <si>
    <t>Community Health Education</t>
  </si>
  <si>
    <t>A11</t>
  </si>
  <si>
    <t>Support Groups</t>
  </si>
  <si>
    <t>A12</t>
  </si>
  <si>
    <t>Self-Help</t>
  </si>
  <si>
    <t>A20</t>
  </si>
  <si>
    <t>Community-Based Clinical Services</t>
  </si>
  <si>
    <t>A21</t>
  </si>
  <si>
    <t>Screenings</t>
  </si>
  <si>
    <t>A22</t>
  </si>
  <si>
    <t>One-Time/Occasionally Held Clinics</t>
  </si>
  <si>
    <t>A23</t>
  </si>
  <si>
    <t>Free Clinics</t>
  </si>
  <si>
    <t>A24</t>
  </si>
  <si>
    <t>Mobile Units</t>
  </si>
  <si>
    <t>A30</t>
  </si>
  <si>
    <t>Health Care Support Services</t>
  </si>
  <si>
    <t>A40</t>
  </si>
  <si>
    <t>Other</t>
  </si>
  <si>
    <t>A41</t>
  </si>
  <si>
    <t>A42</t>
  </si>
  <si>
    <t>A43</t>
  </si>
  <si>
    <t>A44</t>
  </si>
  <si>
    <t>A99</t>
  </si>
  <si>
    <t>Total Community Health Services</t>
  </si>
  <si>
    <t>B.</t>
  </si>
  <si>
    <t>HEALTH PROFESSIONS EDUCATION</t>
  </si>
  <si>
    <t>B1</t>
  </si>
  <si>
    <t>Physicians/Medical Students</t>
  </si>
  <si>
    <t>B2</t>
  </si>
  <si>
    <t>Nurses/Nursing Students</t>
  </si>
  <si>
    <t>B3</t>
  </si>
  <si>
    <t>Other Health Professionals</t>
  </si>
  <si>
    <t>B4</t>
  </si>
  <si>
    <t>Scholarships/Funding for Professional Education</t>
  </si>
  <si>
    <t>B50</t>
  </si>
  <si>
    <t>B51</t>
  </si>
  <si>
    <t>B52</t>
  </si>
  <si>
    <t>B53</t>
  </si>
  <si>
    <t>B99</t>
  </si>
  <si>
    <t>Totals</t>
  </si>
  <si>
    <t>C.</t>
  </si>
  <si>
    <t>MISSION DRIVEN HEALTH SERVICES</t>
  </si>
  <si>
    <t>D.</t>
  </si>
  <si>
    <t>RESEARCH</t>
  </si>
  <si>
    <t>D1</t>
  </si>
  <si>
    <t>Clinical Research</t>
  </si>
  <si>
    <t>D2</t>
  </si>
  <si>
    <t>Community Health Research</t>
  </si>
  <si>
    <t>D3</t>
  </si>
  <si>
    <t>D99</t>
  </si>
  <si>
    <t>E.</t>
  </si>
  <si>
    <t>E1</t>
  </si>
  <si>
    <t>Cash Donations</t>
  </si>
  <si>
    <t>E2</t>
  </si>
  <si>
    <t>Grants</t>
  </si>
  <si>
    <t>E3</t>
  </si>
  <si>
    <t>In-Kind Donations</t>
  </si>
  <si>
    <t>E4</t>
  </si>
  <si>
    <t>Cost of Fund Raising for Community Programs</t>
  </si>
  <si>
    <t>E99</t>
  </si>
  <si>
    <t>F.</t>
  </si>
  <si>
    <t>COMMUNITY BUILDING ACTIVITIES</t>
  </si>
  <si>
    <t>F1</t>
  </si>
  <si>
    <t>Physical Improvements/Housing</t>
  </si>
  <si>
    <t>F2</t>
  </si>
  <si>
    <t>Economic Development</t>
  </si>
  <si>
    <t>F3</t>
  </si>
  <si>
    <t>Support System Enhancements</t>
  </si>
  <si>
    <t>F4</t>
  </si>
  <si>
    <t>Environmental Improvements</t>
  </si>
  <si>
    <t>F5</t>
  </si>
  <si>
    <t>Leadership Development/Training for Community Members</t>
  </si>
  <si>
    <t>F6</t>
  </si>
  <si>
    <t>Coalition Building</t>
  </si>
  <si>
    <t>F7</t>
  </si>
  <si>
    <t>Community Health Improvement Advocacy</t>
  </si>
  <si>
    <t>F8</t>
  </si>
  <si>
    <t>Workforce Enhancement</t>
  </si>
  <si>
    <t>F9</t>
  </si>
  <si>
    <t>F10</t>
  </si>
  <si>
    <t>F11</t>
  </si>
  <si>
    <t>F99</t>
  </si>
  <si>
    <t>G.</t>
  </si>
  <si>
    <t>COMMUNITY BENEFIT OPERATIONS</t>
  </si>
  <si>
    <t>G1</t>
  </si>
  <si>
    <t>Dedicated Staff</t>
  </si>
  <si>
    <t>G2</t>
  </si>
  <si>
    <t>Community health/health assets assessments</t>
  </si>
  <si>
    <t>G3</t>
  </si>
  <si>
    <t>Other Resources</t>
  </si>
  <si>
    <t>G4</t>
  </si>
  <si>
    <t>G5</t>
  </si>
  <si>
    <t>G99</t>
  </si>
  <si>
    <t>H.</t>
  </si>
  <si>
    <t>CHARITY CARE (report total only)</t>
  </si>
  <si>
    <t>J.</t>
  </si>
  <si>
    <t>FOUNDATION COMMUNITY BENEFIT</t>
  </si>
  <si>
    <t>J1</t>
  </si>
  <si>
    <t>Community Services</t>
  </si>
  <si>
    <t>J2</t>
  </si>
  <si>
    <t>J3</t>
  </si>
  <si>
    <t>J4</t>
  </si>
  <si>
    <t>J5</t>
  </si>
  <si>
    <t>J99</t>
  </si>
  <si>
    <t>K</t>
  </si>
  <si>
    <t>TOTAL HOSPITAL COMMUNITY BENEFIT</t>
  </si>
  <si>
    <t>A</t>
  </si>
  <si>
    <t>B</t>
  </si>
  <si>
    <t>Health Professions Education</t>
  </si>
  <si>
    <t>C</t>
  </si>
  <si>
    <t>Mission Driven Health Care Services</t>
  </si>
  <si>
    <t>D</t>
  </si>
  <si>
    <t>E</t>
  </si>
  <si>
    <t>F</t>
  </si>
  <si>
    <t>Community Building Activities</t>
  </si>
  <si>
    <t>G</t>
  </si>
  <si>
    <t>H</t>
  </si>
  <si>
    <t>J</t>
  </si>
  <si>
    <t>Foundation Funded Community Benefit</t>
  </si>
  <si>
    <t>K99</t>
  </si>
  <si>
    <t>TOTAL OPERATING EXPENSE</t>
  </si>
  <si>
    <t>% OF OPERATING EXPENSES W/IC</t>
  </si>
  <si>
    <t>% OF OPERATING EXPENSES W/O IC</t>
  </si>
  <si>
    <t>GENERAL INFORMATION</t>
  </si>
  <si>
    <t>Hospital Name:</t>
  </si>
  <si>
    <t>HSCRC Hospital ID #:</t>
  </si>
  <si>
    <t># of Employees:</t>
  </si>
  <si>
    <t>Contact Person:</t>
  </si>
  <si>
    <t>Allen Twigg</t>
  </si>
  <si>
    <t>Contact Number:</t>
  </si>
  <si>
    <t>301-790-8263</t>
  </si>
  <si>
    <t>Contact Email:</t>
  </si>
  <si>
    <t>NET COMMUNITY BENEFIT</t>
  </si>
  <si>
    <t>N/A</t>
  </si>
  <si>
    <t>Clinics for Underinsured and Uninsured</t>
  </si>
  <si>
    <t xml:space="preserve"> </t>
  </si>
  <si>
    <t>TOTAL</t>
  </si>
  <si>
    <t>B00</t>
  </si>
  <si>
    <t>B10</t>
  </si>
  <si>
    <t>B20</t>
  </si>
  <si>
    <t>B30</t>
  </si>
  <si>
    <t>B40</t>
  </si>
  <si>
    <t>Total Health Professions Education</t>
  </si>
  <si>
    <t>C00</t>
  </si>
  <si>
    <t>MISSION DRIVEN HEALTH SERVICES (please list)</t>
  </si>
  <si>
    <t>C10</t>
  </si>
  <si>
    <t>The Medication Assistance Center</t>
  </si>
  <si>
    <t>C20</t>
  </si>
  <si>
    <t>C30</t>
  </si>
  <si>
    <t>C40</t>
  </si>
  <si>
    <t>Hospice Voluntary Write-Offs (Hospice of Washington County)</t>
  </si>
  <si>
    <t>C50</t>
  </si>
  <si>
    <t>C60</t>
  </si>
  <si>
    <t>C70</t>
  </si>
  <si>
    <t>C80</t>
  </si>
  <si>
    <t>C90</t>
  </si>
  <si>
    <t>C91</t>
  </si>
  <si>
    <t>C99</t>
  </si>
  <si>
    <t>Total Mission Driven Health Services</t>
  </si>
  <si>
    <t>D00</t>
  </si>
  <si>
    <t>D10</t>
  </si>
  <si>
    <t>D20</t>
  </si>
  <si>
    <t>D30</t>
  </si>
  <si>
    <t>D31</t>
  </si>
  <si>
    <t>D32</t>
  </si>
  <si>
    <t>Total Research</t>
  </si>
  <si>
    <t>E00</t>
  </si>
  <si>
    <t>Cash and In-Kind Contributions</t>
  </si>
  <si>
    <t>E10</t>
  </si>
  <si>
    <t>E20</t>
  </si>
  <si>
    <t>E30</t>
  </si>
  <si>
    <t>E40</t>
  </si>
  <si>
    <t>Total Cash and In-Kind Contributions</t>
  </si>
  <si>
    <t>F00</t>
  </si>
  <si>
    <t>Physical Improvements and Housing</t>
  </si>
  <si>
    <t>F20</t>
  </si>
  <si>
    <t>F30</t>
  </si>
  <si>
    <t>Community Support</t>
  </si>
  <si>
    <t>F40</t>
  </si>
  <si>
    <t>F50</t>
  </si>
  <si>
    <t>F60</t>
  </si>
  <si>
    <t>F70</t>
  </si>
  <si>
    <t>Advocacy for Community Health Improvements</t>
  </si>
  <si>
    <t>F80</t>
  </si>
  <si>
    <t>Workforce Development</t>
  </si>
  <si>
    <t>F90</t>
  </si>
  <si>
    <t>F91</t>
  </si>
  <si>
    <t>F92</t>
  </si>
  <si>
    <t>Total Community Building Activities</t>
  </si>
  <si>
    <t>G00</t>
  </si>
  <si>
    <t>G10</t>
  </si>
  <si>
    <t>Assigned Staff</t>
  </si>
  <si>
    <t>G20</t>
  </si>
  <si>
    <t>G30</t>
  </si>
  <si>
    <t>G31</t>
  </si>
  <si>
    <t>G32</t>
  </si>
  <si>
    <t>Total Community Benefit Operations</t>
  </si>
  <si>
    <t>H00</t>
  </si>
  <si>
    <t>H99</t>
  </si>
  <si>
    <t>Total Charity Care</t>
  </si>
  <si>
    <t>FINANCIAL DATA</t>
  </si>
  <si>
    <t>I10</t>
  </si>
  <si>
    <t>INDIRECT COST RATIO</t>
  </si>
  <si>
    <t>I00</t>
  </si>
  <si>
    <t>OPERATING REVENUE</t>
  </si>
  <si>
    <t>I20</t>
  </si>
  <si>
    <t>Net Patient Service Revenue</t>
  </si>
  <si>
    <t>I30</t>
  </si>
  <si>
    <t>Other Revenue</t>
  </si>
  <si>
    <t>I40</t>
  </si>
  <si>
    <t>Total Revenue</t>
  </si>
  <si>
    <t>S99</t>
  </si>
  <si>
    <t>TOTAL OPERATING EXPENSES</t>
  </si>
  <si>
    <t>I50</t>
  </si>
  <si>
    <t>NET REVENUE (LOSS) FROM OPERATIONS</t>
  </si>
  <si>
    <t>I60</t>
  </si>
  <si>
    <t>NON-OPERATING GAINS (LOSSES)</t>
  </si>
  <si>
    <t>I70</t>
  </si>
  <si>
    <t>NET REVENUE (LOSS)</t>
  </si>
  <si>
    <t>J00</t>
  </si>
  <si>
    <t>J10</t>
  </si>
  <si>
    <t>J20</t>
  </si>
  <si>
    <t>J30</t>
  </si>
  <si>
    <t>J31</t>
  </si>
  <si>
    <t>J32</t>
  </si>
  <si>
    <t>TOTAL FOUNDATION COMMUNITY BENEFIT</t>
  </si>
  <si>
    <t>K00</t>
  </si>
  <si>
    <t>U99</t>
  </si>
  <si>
    <t>% OF OPERATING EXPENSES</t>
  </si>
  <si>
    <t>V99</t>
  </si>
  <si>
    <t>% of NET REVENUE</t>
  </si>
  <si>
    <t>UNIVERSITY OF MARYLAND MEDICAL CENTER</t>
  </si>
  <si>
    <t>0002, 8992, 8994</t>
  </si>
  <si>
    <t>UNIVERSITY CARE COMMUNITY CLINICS/UCARE</t>
  </si>
  <si>
    <t>COMMUNITY OUTPATIENT PSYCHIATRIC CLINICS</t>
  </si>
  <si>
    <t>URGENT CARE</t>
  </si>
  <si>
    <t>Sabra Wilson</t>
  </si>
  <si>
    <t>Holy Cross Hospital</t>
  </si>
  <si>
    <t>Kimberley McBride</t>
  </si>
  <si>
    <t>301-754-7149</t>
  </si>
  <si>
    <t>mcbrik@holycrosshealth.org</t>
  </si>
  <si>
    <t>Prescription Pharmacy Programs</t>
  </si>
  <si>
    <t>Faith Community/Parish Nursing</t>
  </si>
  <si>
    <t>Emergency and Trauma Services</t>
  </si>
  <si>
    <t>21-00005</t>
  </si>
  <si>
    <t>240-566-3178</t>
  </si>
  <si>
    <t>n/a</t>
  </si>
  <si>
    <t>MENTAL HEALTH SERVICES OUTPATIENT</t>
  </si>
  <si>
    <t>Curt Ohler</t>
  </si>
  <si>
    <t>SBIRT Program</t>
  </si>
  <si>
    <t>Healthcare for the Homeless</t>
  </si>
  <si>
    <t>Forensic Nurse Examiner</t>
  </si>
  <si>
    <t>Detox Program</t>
  </si>
  <si>
    <t>Dental Clinic Services</t>
  </si>
  <si>
    <t>The Johns Hopkins Hospital</t>
  </si>
  <si>
    <t>0009</t>
  </si>
  <si>
    <t>Sharon Tiebert-Maddox</t>
  </si>
  <si>
    <t>443-997-5999</t>
  </si>
  <si>
    <t>tiebert@jhu.edu</t>
  </si>
  <si>
    <t>Psychgeriatrics - "PATCH"</t>
  </si>
  <si>
    <t>Eating Disorders Day Hospital Supportive Housing</t>
  </si>
  <si>
    <t>Hispanic Grant Clinic</t>
  </si>
  <si>
    <t>Office Expense</t>
  </si>
  <si>
    <t>Shore Regional Health Dorchester General Hospital</t>
  </si>
  <si>
    <t xml:space="preserve">Kathleen McGrath </t>
  </si>
  <si>
    <t>410 822 1000  x 5885</t>
  </si>
  <si>
    <t xml:space="preserve">kfmcgrath@umm.edu </t>
  </si>
  <si>
    <t>21-0011</t>
  </si>
  <si>
    <t>Mitch Lomax</t>
  </si>
  <si>
    <t>667-234-2926</t>
  </si>
  <si>
    <t>mlomax@ascension.org</t>
  </si>
  <si>
    <t>Palliative Care</t>
  </si>
  <si>
    <t>Community Care Center</t>
  </si>
  <si>
    <t>Primary Care Clinic on campus in West Baltimore</t>
  </si>
  <si>
    <t>Health Care Access Maryland Care Management Program</t>
  </si>
  <si>
    <t>Sinai Hospital of Baltimore, Inc</t>
  </si>
  <si>
    <t>Julie Sessa</t>
  </si>
  <si>
    <t>410-601-7238</t>
  </si>
  <si>
    <t>jsessa@lifebridgehealth.org</t>
  </si>
  <si>
    <t>Other Hospital OP Services</t>
  </si>
  <si>
    <t>Cancer Registry</t>
  </si>
  <si>
    <t>Grace Medical Center</t>
  </si>
  <si>
    <t>Adventist HealthCare White Oak Medical Center</t>
  </si>
  <si>
    <t>(301) 315-3271</t>
  </si>
  <si>
    <t>JPourahm@adventisthealthcare.com</t>
  </si>
  <si>
    <t>GARRETT REGIONAL MEDICAL CENTER</t>
  </si>
  <si>
    <t>21-0017</t>
  </si>
  <si>
    <t>kackerman@gcmh.com</t>
  </si>
  <si>
    <t>Indigent Drug Program</t>
  </si>
  <si>
    <t>COVID-19 Pandemic Preparedness &amp; Response</t>
  </si>
  <si>
    <t>MISSION DRIVEN HEALTH SERVICES (continued)</t>
  </si>
  <si>
    <t>Pediatric Specialties</t>
  </si>
  <si>
    <t>C12</t>
  </si>
  <si>
    <t>Primary Care Salisbury</t>
  </si>
  <si>
    <t>Endocrinology</t>
  </si>
  <si>
    <t>C15</t>
  </si>
  <si>
    <t>Wagner Wellness Van</t>
  </si>
  <si>
    <t>Endocrinology - Berlin</t>
  </si>
  <si>
    <t>Peninsula Partners</t>
  </si>
  <si>
    <t>Bridge Clinic</t>
  </si>
  <si>
    <t>Trauma On-Call</t>
  </si>
  <si>
    <t>Behavioral Health</t>
  </si>
  <si>
    <t>Pulmonology</t>
  </si>
  <si>
    <t>Neurosurgery</t>
  </si>
  <si>
    <t>Medical Oncology</t>
  </si>
  <si>
    <t>Infectious Disease</t>
  </si>
  <si>
    <t>Delmarva Heart</t>
  </si>
  <si>
    <t>C75</t>
  </si>
  <si>
    <t>CV Surgery</t>
  </si>
  <si>
    <t>Peninsula Cardiology</t>
  </si>
  <si>
    <t>Gastroenterology</t>
  </si>
  <si>
    <t>Gastroenterology - Canakis</t>
  </si>
  <si>
    <t>Pain Management</t>
  </si>
  <si>
    <t>Michael Rosenbaum</t>
  </si>
  <si>
    <t>443-462-3344</t>
  </si>
  <si>
    <t>mrosenbaum@umm.edu</t>
  </si>
  <si>
    <t>Hospital-based</t>
  </si>
  <si>
    <t>Community-based</t>
  </si>
  <si>
    <t>Allen.Twigg@meritushealth.com</t>
  </si>
  <si>
    <t>HSCRC GRANTS/RATE SUPPORT</t>
  </si>
  <si>
    <t>OTHER OFFSETTING REVENUE($)</t>
  </si>
  <si>
    <t>PHYSICIAN SUBSIDIES - TOTAL</t>
  </si>
  <si>
    <t>CHARITY CARE (report total and rate support off-set)</t>
  </si>
  <si>
    <t>HSCRC RATE SUPPORT</t>
  </si>
  <si>
    <t>TOTAL ($)</t>
  </si>
  <si>
    <t>UM Capital Region Health</t>
  </si>
  <si>
    <t>301-357-6125</t>
  </si>
  <si>
    <t>sabra.wilson@umm.edu</t>
  </si>
  <si>
    <t xml:space="preserve">Health Care Support Services </t>
  </si>
  <si>
    <r>
      <t>Physicians/Medical Students</t>
    </r>
    <r>
      <rPr>
        <sz val="10"/>
        <color rgb="FFFF0000"/>
        <rFont val="Arial"/>
        <family val="2"/>
      </rPr>
      <t xml:space="preserve"> </t>
    </r>
  </si>
  <si>
    <t xml:space="preserve">Nurses/Nursing Students </t>
  </si>
  <si>
    <r>
      <t>Other Health Professionals</t>
    </r>
    <r>
      <rPr>
        <sz val="10"/>
        <color rgb="FFFF0000"/>
        <rFont val="Arial"/>
        <family val="2"/>
      </rPr>
      <t/>
    </r>
  </si>
  <si>
    <t>Social and Environmental Improvement Act</t>
  </si>
  <si>
    <t>Enrollment Assistance</t>
  </si>
  <si>
    <t>Safety Net-Billing</t>
  </si>
  <si>
    <t>Women and Children's Services</t>
  </si>
  <si>
    <t>FREDERICK HEALTH HOSPITAL, INC.</t>
  </si>
  <si>
    <t>HANNAH JACOBS</t>
  </si>
  <si>
    <t>HJACOBS@FREDERICK.HEALTH</t>
  </si>
  <si>
    <t xml:space="preserve">University of Maryland Harford Memorial Hospital </t>
  </si>
  <si>
    <t>443 643-3346</t>
  </si>
  <si>
    <t>cohler@umm.edu</t>
  </si>
  <si>
    <t>UMD HARFORD MEMORIAL HOSPITAL EMERGENCY DEPARTMENT</t>
  </si>
  <si>
    <t xml:space="preserve">UMD HARFORD MEMORIAL HOSPITAL BEHAVIOR HEALTH </t>
  </si>
  <si>
    <t>UMD HARFORD MEMORIAL HOSPITAL ANESTHESIOLOGY</t>
  </si>
  <si>
    <t>KLEIN FAMILY BEHAVIOR HEALTH CRISIS CENTER</t>
  </si>
  <si>
    <t>Mercy Medical Center</t>
  </si>
  <si>
    <t>Elinor Petrocelli</t>
  </si>
  <si>
    <t>410-332-9865</t>
  </si>
  <si>
    <t>epetrocelli@mdmercy.com</t>
  </si>
  <si>
    <t>Charity Prescription</t>
  </si>
  <si>
    <t xml:space="preserve">Communiity Health Services - Other </t>
  </si>
  <si>
    <t xml:space="preserve">Health Professions  Education - Other </t>
  </si>
  <si>
    <t>Supportive Housing for Male Substance Abuse Patients</t>
  </si>
  <si>
    <t>Urban Health Institute</t>
  </si>
  <si>
    <t xml:space="preserve">Community Building Activities - Other </t>
  </si>
  <si>
    <t>HSCRC GRANTS/RATE SUPPORT* - see footnote</t>
  </si>
  <si>
    <t>* per Hilltop email 1/14 - please refrain from editing the HSCRC Revenue from Grant/Rate support.  Only three HSCRC grant programs are reflected in the FY21 CBR because they incurred expenses in excess of the grant dollars recognized.  Any excess grant support will be shown as an offset to expenses in FY22 if appropriate.</t>
  </si>
  <si>
    <t>Ascension Saint Agnes</t>
  </si>
  <si>
    <t>Community Health Other (COVID vaccine program)</t>
  </si>
  <si>
    <t>CIBS</t>
  </si>
  <si>
    <t>Jacqueline Pourahmadi</t>
  </si>
  <si>
    <t>COVID-19 Alternate Care Site</t>
  </si>
  <si>
    <t>Adventist Medical Group</t>
  </si>
  <si>
    <t>Clincally Integrated Network</t>
  </si>
  <si>
    <t>Fundraising support</t>
  </si>
  <si>
    <t>Software Supporting Community Benefit Operations</t>
  </si>
  <si>
    <t>**Includes COVID-19 grant income of $10,368,636**</t>
  </si>
  <si>
    <t>Karen Ackerman</t>
  </si>
  <si>
    <t>(301)533-4257</t>
  </si>
  <si>
    <t>SPGC Miller</t>
  </si>
  <si>
    <t>SPGC Garrett College</t>
  </si>
  <si>
    <t>SPGC Nurse Practitioner</t>
  </si>
  <si>
    <t>SPGC General Surgery</t>
  </si>
  <si>
    <t>SPGC Pain Clinic</t>
  </si>
  <si>
    <t>SPGC Grantsville Urgent Care</t>
  </si>
  <si>
    <t>SPGC Gynecology</t>
  </si>
  <si>
    <t>SPGC Health &amp; Wellness</t>
  </si>
  <si>
    <t>SPGC Hospitalists</t>
  </si>
  <si>
    <t>SPGC Kaiser</t>
  </si>
  <si>
    <t>SPGC Primary Care</t>
  </si>
  <si>
    <t>SPGC Pulmonology</t>
  </si>
  <si>
    <t>TidalHealth Peninsula Regional</t>
  </si>
  <si>
    <t>Jon Mitchell</t>
  </si>
  <si>
    <t>410-543-7494</t>
  </si>
  <si>
    <t>jon.mitchell@tidalhealth.org</t>
  </si>
  <si>
    <t>C97</t>
  </si>
  <si>
    <t>C81</t>
  </si>
  <si>
    <t>C98</t>
  </si>
  <si>
    <t>C82</t>
  </si>
  <si>
    <t>C84</t>
  </si>
  <si>
    <t>C86</t>
  </si>
  <si>
    <t>Physcian Subsidies</t>
  </si>
  <si>
    <t>C92</t>
  </si>
  <si>
    <t>C93</t>
  </si>
  <si>
    <t>C94</t>
  </si>
  <si>
    <t>C95</t>
  </si>
  <si>
    <t>C96</t>
  </si>
  <si>
    <t>Suburban Hospital</t>
  </si>
  <si>
    <t>21-022</t>
  </si>
  <si>
    <t>Monique Sanfuentes</t>
  </si>
  <si>
    <t>301-896-3572</t>
  </si>
  <si>
    <t xml:space="preserve">msanfuentes@jhmi.edu </t>
  </si>
  <si>
    <t>Other Health Professionals - PA, Therapy, Behavioral Health, Lab, EMS, Dietary</t>
  </si>
  <si>
    <t>Other Health Professionals - Pharmacy &amp; Radiology</t>
  </si>
  <si>
    <t>PHYSICIAN SUBSIDIES - TOTAL from Worksheet 3</t>
  </si>
  <si>
    <t>Readmissions Prevention Program</t>
  </si>
  <si>
    <t>HeartWell /Diabetes Services</t>
  </si>
  <si>
    <t>Population Health Improvement</t>
  </si>
  <si>
    <t>Community health/health needs assessments</t>
  </si>
  <si>
    <t xml:space="preserve">Luminis Health </t>
  </si>
  <si>
    <t>Anne Arundel</t>
  </si>
  <si>
    <t>Medical Center</t>
  </si>
  <si>
    <t>Nancy Margai</t>
  </si>
  <si>
    <t>Christine Crabbs</t>
  </si>
  <si>
    <t>nmargai@aahs.org</t>
  </si>
  <si>
    <t>Cancer Prevention</t>
  </si>
  <si>
    <t>Pharmacy Assistance Programs</t>
  </si>
  <si>
    <t>Physician Recruiting</t>
  </si>
  <si>
    <t>Subsidized Health Services</t>
  </si>
  <si>
    <t>Senior Leadership</t>
  </si>
  <si>
    <t>Included in Section A</t>
  </si>
  <si>
    <t>UPMC Western Maryalnd</t>
  </si>
  <si>
    <t>Scott Perrin</t>
  </si>
  <si>
    <t>240-964-8062</t>
  </si>
  <si>
    <t>perrinsm@upmc.edu</t>
  </si>
  <si>
    <t>Prescription Medications</t>
  </si>
  <si>
    <t>C51</t>
  </si>
  <si>
    <t>C52</t>
  </si>
  <si>
    <t>C53</t>
  </si>
  <si>
    <t>C54</t>
  </si>
  <si>
    <t>C55</t>
  </si>
  <si>
    <t>Johns Hopkins Bayview Medical Center</t>
  </si>
  <si>
    <t>0029</t>
  </si>
  <si>
    <t>Patricia Carroll or Kim Moeller</t>
  </si>
  <si>
    <t>410-550-0289 or 443-997-0639</t>
  </si>
  <si>
    <t>pcarroll@jhmi.edu or kmoelle@jhmi.edu</t>
  </si>
  <si>
    <t>Community Service Activities</t>
  </si>
  <si>
    <t>Shore Regional Health Memorial Chester River</t>
  </si>
  <si>
    <t>Antithrombosis Clinic</t>
  </si>
  <si>
    <t>Community health strategic planning/health assets assessments</t>
  </si>
  <si>
    <t>ChristianaCare, Union Hospital</t>
  </si>
  <si>
    <t>Katie Coombes</t>
  </si>
  <si>
    <t>302-428-5783</t>
  </si>
  <si>
    <t>katie.w.coombes@christianacare.org</t>
  </si>
  <si>
    <t>Social &amp; Environmental Improvements</t>
  </si>
  <si>
    <t>Hospital Outpatient Services</t>
  </si>
  <si>
    <t>Carroll Hospital</t>
  </si>
  <si>
    <t>21-0033</t>
  </si>
  <si>
    <t>Interpreter Services</t>
  </si>
  <si>
    <t>Access Carroll - medical, dental and behavioral health practice</t>
  </si>
  <si>
    <t>Physician Support</t>
  </si>
  <si>
    <t> </t>
  </si>
  <si>
    <t>Medicaid Advocacy Vendor Fees</t>
  </si>
  <si>
    <t>University Of Maryland Charles Regional Medical Center</t>
  </si>
  <si>
    <t>Jim Clague</t>
  </si>
  <si>
    <t>301-609-5154</t>
  </si>
  <si>
    <t>jclague1@umm.edu</t>
  </si>
  <si>
    <t>Mobile Integrated Health</t>
  </si>
  <si>
    <t>Shore Regional Health Memorial Hospital at Easton</t>
  </si>
  <si>
    <t>University of Maryland Medical Center - Midtown Campus</t>
  </si>
  <si>
    <t>2410</t>
  </si>
  <si>
    <t>Catherine Njoka</t>
  </si>
  <si>
    <t>cnjoka@umm.edu</t>
  </si>
  <si>
    <t>CalvertHealth Medical Center</t>
  </si>
  <si>
    <t>Mary Golway</t>
  </si>
  <si>
    <t>410-535-8134</t>
  </si>
  <si>
    <t>mary.golway@calverthealthmed.org</t>
  </si>
  <si>
    <t>OUTPATIENT PT &amp; OT REHABILITATION SERVICES</t>
  </si>
  <si>
    <t>EMERGENCY PSYCHIATRIC AND ASSAULT SERVICES</t>
  </si>
  <si>
    <t>Northwest Hospital</t>
  </si>
  <si>
    <t>University of Maryland Baltimore Washington Medical Center</t>
  </si>
  <si>
    <t>Al Pietsch</t>
  </si>
  <si>
    <t>410-787-4160</t>
  </si>
  <si>
    <t>Al.Pietsch@umm.edu</t>
  </si>
  <si>
    <t>Social and Environmental Activities - food insecurity</t>
  </si>
  <si>
    <t>Sexual Assault Forensic Exam</t>
  </si>
  <si>
    <t>Diabetes and Endocrinology</t>
  </si>
  <si>
    <t>Inpatient Psychiatric Care</t>
  </si>
  <si>
    <t>Women's Health Services</t>
  </si>
  <si>
    <t>Primary Care/Senior Care</t>
  </si>
  <si>
    <t>Transitional Care Center</t>
  </si>
  <si>
    <t>Emergency Department On-Call</t>
  </si>
  <si>
    <t>TidalHealth Peninsula McCready</t>
  </si>
  <si>
    <t>Jon mitchell@tidalhealth.org</t>
  </si>
  <si>
    <t>McCready Care A Van</t>
  </si>
  <si>
    <t>21-0048</t>
  </si>
  <si>
    <t>Fran Moll</t>
  </si>
  <si>
    <t>443-997-0627</t>
  </si>
  <si>
    <t>fmoll1@jhmi.edu</t>
  </si>
  <si>
    <t>University of Maryland Upper Chesapeake Medical Center</t>
  </si>
  <si>
    <t>UMD UPPER CHESAPEAKE EMERGENCY SERVICES PHYSICIAN SERVICES</t>
  </si>
  <si>
    <t xml:space="preserve">UMD UPPER CHESAPEAKE ANESTHESIOLOGY </t>
  </si>
  <si>
    <t>KLIEN FAMILY BEHAVIOR HEALTH CRISIS CENTER</t>
  </si>
  <si>
    <t>Doctor's</t>
  </si>
  <si>
    <t>Community</t>
  </si>
  <si>
    <t>ccrabbs@aahs.org</t>
  </si>
  <si>
    <t>DCMC Mental Health CON Meetings</t>
  </si>
  <si>
    <t>Leadership Support to Community</t>
  </si>
  <si>
    <t>Adventist HealthCare Shady Grove Medical Center</t>
  </si>
  <si>
    <t>jpourahm@adventisthealthcare.com</t>
  </si>
  <si>
    <t xml:space="preserve">Forensic Medical Unit </t>
  </si>
  <si>
    <t>Clinically Integrated Network</t>
  </si>
  <si>
    <t>Fundraising Support</t>
  </si>
  <si>
    <t>**Includes COVID-19 grant income of $19,381,587**</t>
  </si>
  <si>
    <t>University of Maryland Rehabilitation &amp; Orthopaedic Institute</t>
  </si>
  <si>
    <t>Cynthia A. Kelleher</t>
  </si>
  <si>
    <t>410-448-6447</t>
  </si>
  <si>
    <t>ckelleher@umm.edu</t>
  </si>
  <si>
    <t>Participants</t>
  </si>
  <si>
    <t>Watch Groups (FPAC and Gatehouse)</t>
  </si>
  <si>
    <t>Think First, Brain and Spinal Cord Injury Prevention (See A10)</t>
  </si>
  <si>
    <t>Dental Clinic</t>
  </si>
  <si>
    <t>COVID Vaccine Clinic</t>
  </si>
  <si>
    <t>Adventist HealthCare Fort Washington Medical Center, Inc.</t>
  </si>
  <si>
    <t>Jpourahm@adventisthealthcare.com</t>
  </si>
  <si>
    <t>**Includes COVID grant income of $3,816,516**</t>
  </si>
  <si>
    <t>Bruce Todd</t>
  </si>
  <si>
    <t>410-641-9095</t>
  </si>
  <si>
    <t>mtodd@atlanticgeneral.org</t>
  </si>
  <si>
    <t>Diabetes Clinic</t>
  </si>
  <si>
    <t>Mentel Health</t>
  </si>
  <si>
    <t>University of Maryland St. Joseph Medical Center</t>
  </si>
  <si>
    <t>21-0063</t>
  </si>
  <si>
    <t>2,039</t>
  </si>
  <si>
    <t>Paul Nicholson</t>
  </si>
  <si>
    <t>410-337-1602</t>
  </si>
  <si>
    <t>paulnicholson@umm.edu</t>
  </si>
  <si>
    <t>*using last year's ratio</t>
  </si>
  <si>
    <t>Food Security</t>
  </si>
  <si>
    <t>Cristo Rey Internship Program</t>
  </si>
  <si>
    <t>Levindale Hebrew and Geriatric Center and Hospital</t>
  </si>
  <si>
    <t>Jsessa@lifebridgehealth.org</t>
  </si>
  <si>
    <t>Holy Cross Germantown Hospital</t>
  </si>
  <si>
    <t>Adventist Rehabilitaion Hospital of Maryland, Inc.</t>
  </si>
  <si>
    <t>Therapeutic Recreation</t>
  </si>
  <si>
    <t>Other Revenue + COVID grant income</t>
  </si>
  <si>
    <t>**Includes COVID-19 grant income of $3,726,251**</t>
  </si>
  <si>
    <t>Mt. Washington Pediatric Hospital</t>
  </si>
  <si>
    <t>Rachana Patani</t>
  </si>
  <si>
    <t>410-578-5065</t>
  </si>
  <si>
    <t>Rachana.Patani@MWPH.ORG</t>
  </si>
  <si>
    <t>Weigh Smart Childhood Obesity Program and Lead Clinic</t>
  </si>
  <si>
    <t>Sheppard &amp; Enoch Pratt Hospital</t>
  </si>
  <si>
    <t>Sabrina Grega</t>
  </si>
  <si>
    <t>410.530.8779</t>
  </si>
  <si>
    <t>Sabrina.Grega@sheppardpratt.org</t>
  </si>
  <si>
    <t>Free Discharge Medications</t>
  </si>
  <si>
    <t>Enrollment for Entitlements</t>
  </si>
  <si>
    <t>Free Transportation for Clinical Services</t>
  </si>
  <si>
    <t>Smoking Cessation</t>
  </si>
  <si>
    <t>Professional Education</t>
  </si>
  <si>
    <t>Positive Behavioral Interventions</t>
  </si>
  <si>
    <t>Life Space Crisis Intervention Program</t>
  </si>
  <si>
    <t>Therapy Referral Service</t>
  </si>
  <si>
    <t>Crisis Walk In Clinic (CWIC)</t>
  </si>
  <si>
    <t>Crisis Referral Outpatient Program</t>
  </si>
  <si>
    <t>Telepsychiatry</t>
  </si>
  <si>
    <t>Transitional Aftercare Program</t>
  </si>
  <si>
    <t>Behavioral Health Integrated Care</t>
  </si>
  <si>
    <t>J. Kent</t>
  </si>
  <si>
    <t>Mcknew</t>
  </si>
  <si>
    <t>Family Medical Center</t>
  </si>
  <si>
    <t>Grace Medical Hospital</t>
  </si>
  <si>
    <t>Garrett Regional Hospital</t>
  </si>
  <si>
    <t>Adventist Fort Washington Medical Center</t>
  </si>
  <si>
    <t>J. Kent McNew Family Medical Center</t>
  </si>
  <si>
    <t>HSCRC GRANTS/RATE SUPPORT ($)</t>
  </si>
  <si>
    <t>Other Offsetting Revenue ($)</t>
  </si>
  <si>
    <t>Net Community Benefit W/Indirect Cost ($)</t>
  </si>
  <si>
    <t>Net Community Benefit W/O Indirect Cost ($)</t>
  </si>
  <si>
    <t>UPMC Western Maryland Hospital</t>
  </si>
  <si>
    <t>Adventist Shady Grove Medical Center</t>
  </si>
  <si>
    <t>Carroll Hospital Center</t>
  </si>
  <si>
    <t>TidalHealth McCready Pavilion</t>
  </si>
  <si>
    <t>Ascension Saint Agnes Hospital</t>
  </si>
  <si>
    <t>Levindale Hebrew Geriatric Center &amp; Hospital</t>
  </si>
  <si>
    <t>TidalHealth Peninsula Regional Medical Center</t>
  </si>
  <si>
    <t>Sinai Hospital of Baltimore</t>
  </si>
  <si>
    <t>FY 2021 Community Benefit Analysis, by Hospital</t>
  </si>
  <si>
    <t>Univ. of Maryland Capital Region Medical Center</t>
  </si>
  <si>
    <t>Univ. of Maryland Rehabilitation &amp; Orthopaedic Institute</t>
  </si>
  <si>
    <t>J Kent McNew Family Medical Center</t>
  </si>
  <si>
    <t>Child Life Specialist</t>
  </si>
  <si>
    <t>Oncology transportation program</t>
  </si>
  <si>
    <t>Oncology Survivorship Program</t>
  </si>
  <si>
    <t>Oncology social work services - Own category</t>
  </si>
  <si>
    <t>FY 2021 Data Collection Sheet</t>
  </si>
  <si>
    <t>MedStar Southern Maryland Hospital Center</t>
  </si>
  <si>
    <t>Beth Kelly</t>
  </si>
  <si>
    <t>410-864-9249</t>
  </si>
  <si>
    <t>beth.e.kelly@medstar.net</t>
  </si>
  <si>
    <t>Beth.e.Kelly@medstar.net</t>
  </si>
  <si>
    <t>MedStar Harbor Hospital</t>
  </si>
  <si>
    <t>Beth.E.Kelly@medstar.net</t>
  </si>
  <si>
    <t>MedStar St Mary's Hospital</t>
  </si>
  <si>
    <t>2,113</t>
  </si>
  <si>
    <t>MedStar Franklin Square Medical Center</t>
  </si>
  <si>
    <t xml:space="preserve">MedStar Montgomery Medical Center </t>
  </si>
  <si>
    <t>Beth.E.Kelly@MedStar.net</t>
  </si>
  <si>
    <t>FY 2021 Rate Support for Charity Care</t>
  </si>
  <si>
    <t>NSP II</t>
  </si>
  <si>
    <t>Regional Partnership Catalyst Grant Program</t>
  </si>
  <si>
    <t>FY 2021 Rate Support for Direct Medical Education and the Nurse Support Program</t>
  </si>
  <si>
    <t>Net Community Benefit Expense Less Hospital-reported Rate Support</t>
  </si>
  <si>
    <t>Total Community Benefit Expense Less Hospital-reported Rate Support</t>
  </si>
  <si>
    <t>FY 2021 Amount in Rates for Charity Care, DME, NSPI, NSPII, &amp; Regional Partnership Catalyst Grant*</t>
  </si>
  <si>
    <t>NSPII</t>
  </si>
  <si>
    <t>Regional Partnership Catalyst Grant</t>
  </si>
  <si>
    <t>FY2011 - FY2021 - Rate Support - for all hospitals</t>
  </si>
  <si>
    <t>Total Net CB (minus Charity Care, DME, NSPI, NSPII, Catalyst Grants in Rates) as % of Operating Expense</t>
  </si>
  <si>
    <t>Type of Activity</t>
  </si>
  <si>
    <t>Direct Cost</t>
  </si>
  <si>
    <t xml:space="preserve">Indirect Cost </t>
  </si>
  <si>
    <t>HSCRC Grant/Rate Support</t>
  </si>
  <si>
    <t>Offsetting Revenue</t>
  </si>
  <si>
    <t>Net Community Benefit with Indirect Cost</t>
  </si>
  <si>
    <t>Net Community Benefit without Indirect Cost</t>
  </si>
  <si>
    <t>Unreimbursed Medicaid Costs</t>
  </si>
  <si>
    <t xml:space="preserve">Total </t>
  </si>
  <si>
    <t>Mission-Driven Health Services</t>
  </si>
  <si>
    <t>Mission-Driven Health Services Total</t>
  </si>
  <si>
    <t>Community-Building Activities</t>
  </si>
  <si>
    <t>Foundation-Funded Community Benefits</t>
  </si>
  <si>
    <t>Total Hospital Community Benefits</t>
  </si>
  <si>
    <t>Total Hospital Community Benefit</t>
  </si>
  <si>
    <t>% Operating Expenses w/ Indirect Costs</t>
  </si>
  <si>
    <t>% Operating Expenses w/ o Indirect Costs</t>
  </si>
  <si>
    <t xml:space="preserve">Total Net CB minus Charity Care, DME, NSPI, NSPII, Catalyst Grants in Rates </t>
  </si>
  <si>
    <t xml:space="preserve">Total Community Benefit Expense </t>
  </si>
  <si>
    <t xml:space="preserve"> Charity Care</t>
  </si>
  <si>
    <t>Table I FY2021 All Hospitals Community Benefit Expenditures</t>
  </si>
  <si>
    <t>Attachment III - Aggregated Hospital CBR Data FY2021 - Including Specialty Hospitals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</si>
</sst>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quot;$&quot;#,##0"/>
    <numFmt numFmtId="165" formatCode="0.0%"/>
    <numFmt numFmtId="166" formatCode="_(* #,##0_);_(* \(#,##0\);_(* &quot;-&quot;??_);_(@_)"/>
    <numFmt numFmtId="167" formatCode="_(&quot;$&quot;* #,##0_);_(&quot;$&quot;* \(#,##0\);_(&quot;$&quot;* &quot;-&quot;??_);_(@_)"/>
    <numFmt numFmtId="168" formatCode="&quot;$&quot;#,##0.00"/>
    <numFmt numFmtId="169" formatCode="[&lt;=9999999]###\-####;\(###\)\ ###\-####"/>
    <numFmt numFmtId="170" formatCode="[$$-409]#,##0_);[$$-409]\(#,##0\)"/>
    <numFmt numFmtId="171" formatCode="_(* #,##0.0_);_(* \(#,##0.0\);_(* &quot;-&quot;??_);_(@_)"/>
  </numFmts>
  <fonts count="55"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000000"/>
      <name val="Calibri"/>
      <family val="2"/>
      <scheme val="minor"/>
    </font>
    <font>
      <sz val="11"/>
      <name val="Calibri"/>
      <family val="2"/>
      <scheme val="minor"/>
    </font>
    <font>
      <sz val="10"/>
      <name val="Arial"/>
      <family val="2"/>
    </font>
    <font>
      <sz val="10"/>
      <name val="System"/>
      <family val="2"/>
    </font>
    <font>
      <b/>
      <sz val="11"/>
      <name val="Calibri"/>
      <family val="2"/>
      <scheme val="minor"/>
    </font>
    <font>
      <b/>
      <i/>
      <sz val="11"/>
      <color rgb="FFFF0000"/>
      <name val="Calibri"/>
      <family val="2"/>
      <scheme val="minor"/>
    </font>
    <font>
      <b/>
      <sz val="10"/>
      <color theme="1"/>
      <name val="Calibri"/>
      <family val="2"/>
      <scheme val="minor"/>
    </font>
    <font>
      <b/>
      <sz val="14"/>
      <color theme="1"/>
      <name val="Calibri"/>
      <family val="2"/>
      <scheme val="minor"/>
    </font>
    <font>
      <sz val="11"/>
      <name val="Calibri"/>
      <family val="2"/>
    </font>
    <font>
      <sz val="11"/>
      <color theme="1"/>
      <name val="Calibri"/>
      <family val="2"/>
    </font>
    <font>
      <b/>
      <u/>
      <sz val="14"/>
      <color theme="1"/>
      <name val="Calibri"/>
      <family val="2"/>
      <scheme val="minor"/>
    </font>
    <font>
      <u val="singleAccounting"/>
      <sz val="11"/>
      <color theme="1"/>
      <name val="Calibri"/>
      <family val="2"/>
      <scheme val="minor"/>
    </font>
    <font>
      <b/>
      <i/>
      <sz val="11"/>
      <color theme="1"/>
      <name val="Calibri"/>
      <family val="2"/>
      <scheme val="minor"/>
    </font>
    <font>
      <i/>
      <sz val="11"/>
      <color theme="1"/>
      <name val="Calibri"/>
      <family val="2"/>
      <scheme val="minor"/>
    </font>
    <font>
      <b/>
      <i/>
      <u val="singleAccounting"/>
      <sz val="11"/>
      <color theme="1"/>
      <name val="Calibri"/>
      <family val="2"/>
      <scheme val="minor"/>
    </font>
    <font>
      <b/>
      <i/>
      <u val="doubleAccounting"/>
      <sz val="11"/>
      <color theme="1"/>
      <name val="Calibri"/>
      <family val="2"/>
      <scheme val="minor"/>
    </font>
    <font>
      <b/>
      <i/>
      <sz val="14"/>
      <color theme="1"/>
      <name val="Calibri"/>
      <family val="2"/>
      <scheme val="minor"/>
    </font>
    <font>
      <b/>
      <i/>
      <u val="double"/>
      <sz val="14"/>
      <color theme="1"/>
      <name val="Calibri"/>
      <family val="2"/>
      <scheme val="minor"/>
    </font>
    <font>
      <b/>
      <sz val="18"/>
      <color theme="1"/>
      <name val="Calibri"/>
      <family val="2"/>
      <scheme val="minor"/>
    </font>
    <font>
      <b/>
      <sz val="16"/>
      <name val="Arial"/>
      <family val="2"/>
    </font>
    <font>
      <b/>
      <sz val="10"/>
      <name val="Arial"/>
      <family val="2"/>
    </font>
    <font>
      <sz val="8"/>
      <name val="Arial"/>
      <family val="2"/>
    </font>
    <font>
      <b/>
      <sz val="12"/>
      <name val="Arial"/>
      <family val="2"/>
    </font>
    <font>
      <b/>
      <sz val="8"/>
      <name val="Arial"/>
      <family val="2"/>
    </font>
    <font>
      <u/>
      <sz val="11"/>
      <color theme="10"/>
      <name val="Calibri"/>
      <family val="2"/>
      <scheme val="minor"/>
    </font>
    <font>
      <b/>
      <i/>
      <sz val="10"/>
      <name val="Arial"/>
      <family val="2"/>
    </font>
    <font>
      <u/>
      <sz val="10"/>
      <color theme="10"/>
      <name val="Arial"/>
      <family val="2"/>
    </font>
    <font>
      <b/>
      <i/>
      <sz val="9"/>
      <name val="Arial"/>
      <family val="2"/>
    </font>
    <font>
      <sz val="9"/>
      <name val="Arial"/>
      <family val="2"/>
    </font>
    <font>
      <sz val="10"/>
      <color rgb="FFFF0000"/>
      <name val="Arial"/>
      <family val="2"/>
    </font>
    <font>
      <sz val="11"/>
      <name val="Arial"/>
      <family val="2"/>
    </font>
    <font>
      <u/>
      <sz val="10"/>
      <color theme="10"/>
      <name val="Arial"/>
      <family val="2"/>
    </font>
    <font>
      <sz val="10"/>
      <color theme="1"/>
      <name val="Arial"/>
      <family val="2"/>
    </font>
    <font>
      <i/>
      <sz val="11"/>
      <name val="Calibri"/>
      <family val="2"/>
      <scheme val="minor"/>
    </font>
    <font>
      <sz val="12"/>
      <name val="Arial"/>
      <family val="2"/>
    </font>
    <font>
      <u/>
      <sz val="14"/>
      <color theme="10"/>
      <name val="Calibri"/>
      <family val="2"/>
      <scheme val="minor"/>
    </font>
    <font>
      <sz val="11"/>
      <color rgb="FF000000"/>
      <name val="ARIAL"/>
      <family val="34"/>
      <charset val="1"/>
    </font>
    <font>
      <sz val="10"/>
      <color rgb="FF000000"/>
      <name val="Arial"/>
      <family val="2"/>
    </font>
    <font>
      <sz val="16"/>
      <name val="Arial"/>
      <family val="2"/>
    </font>
    <font>
      <b/>
      <sz val="10"/>
      <color rgb="FFFF0000"/>
      <name val="Arial"/>
      <family val="2"/>
    </font>
    <font>
      <sz val="14"/>
      <name val="Arial"/>
      <family val="2"/>
    </font>
    <font>
      <sz val="9"/>
      <name val="Arial Black"/>
      <family val="2"/>
    </font>
    <font>
      <u/>
      <sz val="10"/>
      <color theme="10"/>
      <name val="Calibri"/>
      <family val="2"/>
      <scheme val="minor"/>
    </font>
    <font>
      <b/>
      <sz val="11"/>
      <color rgb="FFFF0000"/>
      <name val="Calibri"/>
      <family val="2"/>
      <scheme val="minor"/>
    </font>
    <font>
      <b/>
      <sz val="11"/>
      <name val="Arial"/>
      <family val="2"/>
    </font>
    <font>
      <b/>
      <i/>
      <sz val="11"/>
      <name val="Arial"/>
      <family val="2"/>
    </font>
    <font>
      <sz val="11"/>
      <color theme="1"/>
      <name val="Arial"/>
      <family val="2"/>
    </font>
    <font>
      <sz val="11"/>
      <color theme="1"/>
      <name val="Arial"/>
      <family val="2"/>
    </font>
    <font>
      <sz val="11"/>
      <color rgb="FFFF0000"/>
      <name val="Calibri"/>
      <family val="2"/>
      <scheme val="minor"/>
    </font>
    <font>
      <sz val="10"/>
      <color rgb="FF000000"/>
      <name val="Calibri"/>
      <family val="2"/>
      <scheme val="minor"/>
    </font>
    <font>
      <b/>
      <sz val="10"/>
      <color rgb="FF000000"/>
      <name val="Calibri"/>
      <family val="2"/>
      <scheme val="minor"/>
    </font>
  </fonts>
  <fills count="18">
    <fill>
      <patternFill patternType="none"/>
    </fill>
    <fill>
      <patternFill patternType="gray125"/>
    </fill>
    <fill>
      <patternFill patternType="solid">
        <fgColor rgb="FFB8CCE4"/>
        <bgColor indexed="64"/>
      </patternFill>
    </fill>
    <fill>
      <patternFill patternType="solid">
        <fgColor theme="0"/>
        <bgColor indexed="64"/>
      </patternFill>
    </fill>
    <fill>
      <patternFill patternType="solid">
        <fgColor rgb="FFFF0000"/>
        <bgColor indexed="64"/>
      </patternFill>
    </fill>
    <fill>
      <patternFill patternType="solid">
        <fgColor rgb="FFFFFF00"/>
        <bgColor rgb="FF000000"/>
      </patternFill>
    </fill>
    <fill>
      <patternFill patternType="solid">
        <fgColor indexed="13"/>
        <bgColor indexed="64"/>
      </patternFill>
    </fill>
    <fill>
      <patternFill patternType="solid">
        <fgColor rgb="FFFFFFFF"/>
        <bgColor rgb="FF000000"/>
      </patternFill>
    </fill>
    <fill>
      <patternFill patternType="solid">
        <fgColor rgb="FFFFFF00"/>
        <bgColor indexed="64"/>
      </patternFill>
    </fill>
    <fill>
      <patternFill patternType="solid">
        <fgColor indexed="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7"/>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rgb="FFD9D9D9"/>
        <bgColor indexed="64"/>
      </patternFill>
    </fill>
    <fill>
      <patternFill patternType="solid">
        <fgColor rgb="FFFFFF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32">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3" fillId="0" borderId="0"/>
    <xf numFmtId="44" fontId="6" fillId="0" borderId="0" applyFont="0" applyFill="0" applyBorder="0" applyAlignment="0" applyProtection="0"/>
    <xf numFmtId="43" fontId="1" fillId="0" borderId="0" applyFont="0" applyFill="0" applyBorder="0" applyAlignment="0" applyProtection="0"/>
    <xf numFmtId="0" fontId="7" fillId="0" borderId="0"/>
    <xf numFmtId="9" fontId="6"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4" fontId="6" fillId="0" borderId="0" applyFont="0" applyFill="0" applyBorder="0" applyAlignment="0" applyProtection="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28" fillId="0" borderId="0" applyNumberFormat="0" applyFill="0" applyBorder="0" applyAlignment="0" applyProtection="0"/>
    <xf numFmtId="0" fontId="30" fillId="0" borderId="0" applyNumberFormat="0" applyFill="0" applyBorder="0" applyAlignment="0" applyProtection="0"/>
    <xf numFmtId="0" fontId="6" fillId="0" borderId="0"/>
    <xf numFmtId="0" fontId="35" fillId="0" borderId="0" applyNumberForma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6" fillId="0" borderId="0"/>
    <xf numFmtId="0" fontId="1" fillId="0" borderId="0"/>
    <xf numFmtId="0" fontId="50" fillId="0" borderId="0"/>
    <xf numFmtId="44" fontId="51" fillId="0" borderId="0" applyFont="0" applyFill="0" applyBorder="0" applyAlignment="0" applyProtection="0"/>
  </cellStyleXfs>
  <cellXfs count="533">
    <xf numFmtId="0" fontId="0" fillId="0" borderId="0" xfId="0"/>
    <xf numFmtId="0" fontId="2" fillId="0" borderId="0" xfId="4" applyFont="1"/>
    <xf numFmtId="3" fontId="1" fillId="0" borderId="0" xfId="4" applyNumberFormat="1"/>
    <xf numFmtId="0" fontId="1" fillId="0" borderId="0" xfId="4"/>
    <xf numFmtId="0" fontId="2" fillId="2" borderId="1" xfId="4" applyFont="1" applyFill="1" applyBorder="1" applyAlignment="1">
      <alignment horizontal="center" wrapText="1"/>
    </xf>
    <xf numFmtId="0" fontId="4" fillId="2" borderId="1" xfId="5" applyFont="1" applyFill="1" applyBorder="1" applyAlignment="1">
      <alignment horizontal="center" wrapText="1"/>
    </xf>
    <xf numFmtId="0" fontId="1" fillId="0" borderId="0" xfId="4" applyAlignment="1">
      <alignment horizontal="center" wrapText="1"/>
    </xf>
    <xf numFmtId="0" fontId="5" fillId="0" borderId="0" xfId="5" applyFont="1"/>
    <xf numFmtId="0" fontId="5" fillId="0" borderId="1" xfId="5" applyFont="1" applyBorder="1"/>
    <xf numFmtId="164" fontId="5" fillId="0" borderId="1" xfId="6" applyNumberFormat="1" applyFont="1" applyBorder="1" applyAlignment="1">
      <alignment horizontal="right"/>
    </xf>
    <xf numFmtId="164" fontId="5" fillId="0" borderId="1" xfId="7" applyNumberFormat="1" applyFont="1" applyBorder="1" applyAlignment="1">
      <alignment horizontal="right"/>
    </xf>
    <xf numFmtId="0" fontId="5" fillId="0" borderId="1" xfId="5" applyFont="1" applyBorder="1" applyAlignment="1">
      <alignment horizontal="right"/>
    </xf>
    <xf numFmtId="164" fontId="5" fillId="0" borderId="2" xfId="6" applyNumberFormat="1" applyFont="1" applyBorder="1"/>
    <xf numFmtId="164" fontId="5" fillId="0" borderId="2" xfId="6" applyNumberFormat="1" applyFont="1" applyBorder="1" applyAlignment="1">
      <alignment horizontal="right"/>
    </xf>
    <xf numFmtId="0" fontId="5" fillId="3" borderId="1" xfId="5" applyFont="1" applyFill="1" applyBorder="1"/>
    <xf numFmtId="0" fontId="1" fillId="2" borderId="1" xfId="8" applyFont="1" applyFill="1" applyBorder="1"/>
    <xf numFmtId="0" fontId="8" fillId="2" borderId="1" xfId="8" applyFont="1" applyFill="1" applyBorder="1"/>
    <xf numFmtId="164" fontId="8" fillId="2" borderId="1" xfId="6" applyNumberFormat="1" applyFont="1" applyFill="1" applyBorder="1" applyAlignment="1">
      <alignment horizontal="right"/>
    </xf>
    <xf numFmtId="164" fontId="8" fillId="2" borderId="1" xfId="7" applyNumberFormat="1" applyFont="1" applyFill="1" applyBorder="1" applyAlignment="1">
      <alignment horizontal="right"/>
    </xf>
    <xf numFmtId="164" fontId="1" fillId="0" borderId="0" xfId="4" applyNumberFormat="1"/>
    <xf numFmtId="0" fontId="8" fillId="0" borderId="0" xfId="5" applyFont="1"/>
    <xf numFmtId="0" fontId="8" fillId="2" borderId="1" xfId="5" applyFont="1" applyFill="1" applyBorder="1" applyAlignment="1">
      <alignment horizontal="center"/>
    </xf>
    <xf numFmtId="6" fontId="5" fillId="0" borderId="1" xfId="5" applyNumberFormat="1" applyFont="1" applyBorder="1"/>
    <xf numFmtId="0" fontId="5" fillId="2" borderId="1" xfId="5" applyFont="1" applyFill="1" applyBorder="1"/>
    <xf numFmtId="0" fontId="8" fillId="2" borderId="1" xfId="5" applyFont="1" applyFill="1" applyBorder="1"/>
    <xf numFmtId="164" fontId="8" fillId="2" borderId="1" xfId="5" applyNumberFormat="1" applyFont="1" applyFill="1" applyBorder="1"/>
    <xf numFmtId="164" fontId="5" fillId="0" borderId="0" xfId="5" applyNumberFormat="1" applyFont="1"/>
    <xf numFmtId="0" fontId="9" fillId="0" borderId="0" xfId="4" applyFont="1"/>
    <xf numFmtId="0" fontId="1" fillId="4" borderId="0" xfId="4" applyFill="1"/>
    <xf numFmtId="0" fontId="1" fillId="0" borderId="0" xfId="4" applyAlignment="1">
      <alignment wrapText="1"/>
    </xf>
    <xf numFmtId="0" fontId="10" fillId="0" borderId="0" xfId="5" applyFont="1" applyAlignment="1">
      <alignment horizontal="left" vertical="center" wrapText="1"/>
    </xf>
    <xf numFmtId="9" fontId="1" fillId="0" borderId="0" xfId="9" applyFont="1" applyFill="1"/>
    <xf numFmtId="10" fontId="1" fillId="4" borderId="0" xfId="9" applyNumberFormat="1" applyFont="1" applyFill="1"/>
    <xf numFmtId="0" fontId="10" fillId="4" borderId="0" xfId="4" applyFont="1" applyFill="1" applyAlignment="1">
      <alignment horizontal="left" vertical="center"/>
    </xf>
    <xf numFmtId="9" fontId="1" fillId="4" borderId="0" xfId="9" applyFont="1" applyFill="1"/>
    <xf numFmtId="9" fontId="1" fillId="0" borderId="0" xfId="4" applyNumberFormat="1"/>
    <xf numFmtId="0" fontId="11" fillId="0" borderId="0" xfId="4" applyFont="1"/>
    <xf numFmtId="0" fontId="1" fillId="0" borderId="1" xfId="4" applyBorder="1" applyAlignment="1">
      <alignment horizontal="right"/>
    </xf>
    <xf numFmtId="6" fontId="1" fillId="0" borderId="0" xfId="4" applyNumberFormat="1"/>
    <xf numFmtId="0" fontId="1" fillId="3" borderId="0" xfId="4" applyFill="1"/>
    <xf numFmtId="6" fontId="1" fillId="0" borderId="0" xfId="4" applyNumberFormat="1" applyAlignment="1">
      <alignment horizontal="right"/>
    </xf>
    <xf numFmtId="164" fontId="1" fillId="3" borderId="0" xfId="6" applyNumberFormat="1" applyFont="1" applyFill="1" applyAlignment="1">
      <alignment horizontal="right"/>
    </xf>
    <xf numFmtId="164" fontId="1" fillId="3" borderId="0" xfId="6" applyNumberFormat="1" applyFont="1" applyFill="1" applyAlignment="1">
      <alignment horizontal="right" vertical="top"/>
    </xf>
    <xf numFmtId="6" fontId="1" fillId="0" borderId="0" xfId="10" applyNumberFormat="1" applyAlignment="1">
      <alignment horizontal="right"/>
    </xf>
    <xf numFmtId="6" fontId="1" fillId="0" borderId="0" xfId="10" applyNumberFormat="1"/>
    <xf numFmtId="6" fontId="1" fillId="0" borderId="0" xfId="11" applyNumberFormat="1"/>
    <xf numFmtId="0" fontId="1" fillId="0" borderId="3" xfId="4" applyBorder="1" applyAlignment="1">
      <alignment horizontal="right"/>
    </xf>
    <xf numFmtId="0" fontId="1" fillId="0" borderId="1" xfId="4" applyBorder="1" applyAlignment="1">
      <alignment horizontal="center" wrapText="1"/>
    </xf>
    <xf numFmtId="165" fontId="0" fillId="0" borderId="0" xfId="12" applyNumberFormat="1" applyFont="1" applyFill="1"/>
    <xf numFmtId="165" fontId="1" fillId="0" borderId="0" xfId="4" applyNumberFormat="1"/>
    <xf numFmtId="0" fontId="1" fillId="0" borderId="1" xfId="4" applyBorder="1" applyAlignment="1">
      <alignment wrapText="1"/>
    </xf>
    <xf numFmtId="166" fontId="12" fillId="0" borderId="0" xfId="7" applyNumberFormat="1" applyFont="1" applyFill="1"/>
    <xf numFmtId="0" fontId="3" fillId="0" borderId="0" xfId="5"/>
    <xf numFmtId="166" fontId="12" fillId="0" borderId="0" xfId="13" applyNumberFormat="1" applyFont="1"/>
    <xf numFmtId="166" fontId="12" fillId="0" borderId="0" xfId="7" applyNumberFormat="1" applyFont="1"/>
    <xf numFmtId="166" fontId="13" fillId="3" borderId="0" xfId="13" applyNumberFormat="1" applyFont="1" applyFill="1"/>
    <xf numFmtId="166" fontId="12" fillId="0" borderId="0" xfId="14" applyNumberFormat="1" applyFont="1"/>
    <xf numFmtId="166" fontId="0" fillId="4" borderId="0" xfId="7" applyNumberFormat="1" applyFont="1" applyFill="1"/>
    <xf numFmtId="166" fontId="1" fillId="4" borderId="0" xfId="4" applyNumberFormat="1" applyFill="1"/>
    <xf numFmtId="9" fontId="0" fillId="4" borderId="0" xfId="12" applyFont="1" applyFill="1"/>
    <xf numFmtId="0" fontId="14" fillId="4" borderId="0" xfId="4" applyFont="1" applyFill="1"/>
    <xf numFmtId="38" fontId="1" fillId="4" borderId="0" xfId="4" applyNumberFormat="1" applyFill="1"/>
    <xf numFmtId="0" fontId="11" fillId="4" borderId="4" xfId="4" applyFont="1" applyFill="1" applyBorder="1" applyAlignment="1">
      <alignment horizontal="center"/>
    </xf>
    <xf numFmtId="0" fontId="11" fillId="4" borderId="4" xfId="4" applyFont="1" applyFill="1" applyBorder="1" applyAlignment="1">
      <alignment horizontal="center" wrapText="1"/>
    </xf>
    <xf numFmtId="5" fontId="1" fillId="4" borderId="0" xfId="4" applyNumberFormat="1" applyFill="1"/>
    <xf numFmtId="166" fontId="15" fillId="4" borderId="0" xfId="7" applyNumberFormat="1" applyFont="1" applyFill="1"/>
    <xf numFmtId="0" fontId="16" fillId="4" borderId="0" xfId="4" applyFont="1" applyFill="1"/>
    <xf numFmtId="38" fontId="16" fillId="4" borderId="0" xfId="4" applyNumberFormat="1" applyFont="1" applyFill="1"/>
    <xf numFmtId="5" fontId="16" fillId="4" borderId="0" xfId="4" applyNumberFormat="1" applyFont="1" applyFill="1"/>
    <xf numFmtId="0" fontId="17" fillId="4" borderId="0" xfId="4" applyFont="1" applyFill="1"/>
    <xf numFmtId="166" fontId="16" fillId="4" borderId="0" xfId="4" applyNumberFormat="1" applyFont="1" applyFill="1"/>
    <xf numFmtId="167" fontId="18" fillId="4" borderId="0" xfId="15" applyNumberFormat="1" applyFont="1" applyFill="1"/>
    <xf numFmtId="44" fontId="16" fillId="4" borderId="0" xfId="15" applyFont="1" applyFill="1"/>
    <xf numFmtId="166" fontId="19" fillId="4" borderId="0" xfId="4" applyNumberFormat="1" applyFont="1" applyFill="1"/>
    <xf numFmtId="167" fontId="19" fillId="4" borderId="0" xfId="15" applyNumberFormat="1" applyFont="1" applyFill="1"/>
    <xf numFmtId="167" fontId="18" fillId="4" borderId="0" xfId="4" applyNumberFormat="1" applyFont="1" applyFill="1"/>
    <xf numFmtId="167" fontId="15" fillId="4" borderId="0" xfId="4" applyNumberFormat="1" applyFont="1" applyFill="1"/>
    <xf numFmtId="0" fontId="20" fillId="4" borderId="0" xfId="4" applyFont="1" applyFill="1"/>
    <xf numFmtId="10" fontId="21" fillId="4" borderId="0" xfId="12" applyNumberFormat="1" applyFont="1" applyFill="1"/>
    <xf numFmtId="0" fontId="1" fillId="0" borderId="1" xfId="4" applyBorder="1" applyAlignment="1">
      <alignment horizontal="left" wrapText="1"/>
    </xf>
    <xf numFmtId="5" fontId="1" fillId="0" borderId="1" xfId="6" applyNumberFormat="1" applyFont="1" applyFill="1" applyBorder="1" applyAlignment="1"/>
    <xf numFmtId="10" fontId="1" fillId="0" borderId="1" xfId="12" applyNumberFormat="1" applyFont="1" applyFill="1" applyBorder="1" applyAlignment="1"/>
    <xf numFmtId="164" fontId="1" fillId="0" borderId="1" xfId="6" applyNumberFormat="1" applyFont="1" applyFill="1" applyBorder="1" applyAlignment="1"/>
    <xf numFmtId="164" fontId="1" fillId="0" borderId="1" xfId="14" applyNumberFormat="1" applyFont="1" applyFill="1" applyBorder="1" applyAlignment="1"/>
    <xf numFmtId="0" fontId="2" fillId="0" borderId="1" xfId="4" applyFont="1" applyBorder="1" applyAlignment="1">
      <alignment horizontal="left" wrapText="1"/>
    </xf>
    <xf numFmtId="5" fontId="2" fillId="0" borderId="1" xfId="6" applyNumberFormat="1" applyFont="1" applyFill="1" applyBorder="1" applyAlignment="1"/>
    <xf numFmtId="9" fontId="2" fillId="0" borderId="1" xfId="9" applyFont="1" applyFill="1" applyBorder="1" applyAlignment="1"/>
    <xf numFmtId="164" fontId="2" fillId="0" borderId="1" xfId="14" applyNumberFormat="1" applyFont="1" applyFill="1" applyBorder="1" applyAlignment="1"/>
    <xf numFmtId="167" fontId="1" fillId="0" borderId="0" xfId="4" applyNumberFormat="1"/>
    <xf numFmtId="165" fontId="1" fillId="0" borderId="0" xfId="9" applyNumberFormat="1" applyFont="1"/>
    <xf numFmtId="5" fontId="1" fillId="0" borderId="0" xfId="4" applyNumberFormat="1"/>
    <xf numFmtId="0" fontId="22" fillId="0" borderId="0" xfId="8" applyFont="1"/>
    <xf numFmtId="38" fontId="1" fillId="0" borderId="0" xfId="8" applyNumberFormat="1" applyFont="1"/>
    <xf numFmtId="167" fontId="1" fillId="0" borderId="0" xfId="6" applyNumberFormat="1" applyFont="1"/>
    <xf numFmtId="0" fontId="1" fillId="0" borderId="0" xfId="8" applyFont="1"/>
    <xf numFmtId="0" fontId="2" fillId="2" borderId="1" xfId="8" applyFont="1" applyFill="1" applyBorder="1" applyAlignment="1">
      <alignment horizontal="center" wrapText="1"/>
    </xf>
    <xf numFmtId="167" fontId="2" fillId="2" borderId="1" xfId="6" applyNumberFormat="1" applyFont="1" applyFill="1" applyBorder="1" applyAlignment="1">
      <alignment horizontal="center" wrapText="1"/>
    </xf>
    <xf numFmtId="38" fontId="2" fillId="2" borderId="1" xfId="8" applyNumberFormat="1" applyFont="1" applyFill="1" applyBorder="1" applyAlignment="1">
      <alignment horizontal="center" wrapText="1"/>
    </xf>
    <xf numFmtId="37" fontId="2" fillId="2" borderId="1" xfId="8" applyNumberFormat="1" applyFont="1" applyFill="1" applyBorder="1" applyAlignment="1">
      <alignment horizontal="center" wrapText="1"/>
    </xf>
    <xf numFmtId="164" fontId="1" fillId="0" borderId="1" xfId="6" applyNumberFormat="1" applyFont="1" applyBorder="1"/>
    <xf numFmtId="0" fontId="1" fillId="0" borderId="1" xfId="8" applyFont="1" applyBorder="1"/>
    <xf numFmtId="0" fontId="8" fillId="0" borderId="1" xfId="8" applyFont="1" applyBorder="1"/>
    <xf numFmtId="164" fontId="8" fillId="0" borderId="1" xfId="6" applyNumberFormat="1" applyFont="1" applyBorder="1"/>
    <xf numFmtId="164" fontId="8" fillId="3" borderId="1" xfId="5" applyNumberFormat="1" applyFont="1" applyFill="1" applyBorder="1"/>
    <xf numFmtId="164" fontId="2" fillId="0" borderId="1" xfId="6" applyNumberFormat="1" applyFont="1" applyBorder="1"/>
    <xf numFmtId="49" fontId="2" fillId="2" borderId="1" xfId="4" applyNumberFormat="1" applyFont="1" applyFill="1" applyBorder="1" applyAlignment="1">
      <alignment horizontal="center" wrapText="1"/>
    </xf>
    <xf numFmtId="164" fontId="2" fillId="2" borderId="1" xfId="4" applyNumberFormat="1" applyFont="1" applyFill="1" applyBorder="1" applyAlignment="1">
      <alignment horizontal="center" wrapText="1"/>
    </xf>
    <xf numFmtId="9" fontId="2" fillId="2" borderId="1" xfId="12" applyFont="1" applyFill="1" applyBorder="1" applyAlignment="1">
      <alignment horizontal="center" wrapText="1"/>
    </xf>
    <xf numFmtId="164" fontId="2" fillId="2" borderId="1" xfId="15" applyNumberFormat="1" applyFont="1" applyFill="1" applyBorder="1" applyAlignment="1">
      <alignment horizontal="center" wrapText="1"/>
    </xf>
    <xf numFmtId="0" fontId="2" fillId="0" borderId="1" xfId="4" applyFont="1" applyBorder="1"/>
    <xf numFmtId="164" fontId="2" fillId="0" borderId="1" xfId="4" applyNumberFormat="1" applyFont="1" applyBorder="1"/>
    <xf numFmtId="10" fontId="2" fillId="0" borderId="1" xfId="12" applyNumberFormat="1" applyFont="1" applyBorder="1" applyAlignment="1">
      <alignment horizontal="right"/>
    </xf>
    <xf numFmtId="164" fontId="2" fillId="0" borderId="1" xfId="15" applyNumberFormat="1" applyFont="1" applyFill="1" applyBorder="1"/>
    <xf numFmtId="10" fontId="2" fillId="0" borderId="1" xfId="12" applyNumberFormat="1" applyFont="1" applyFill="1" applyBorder="1" applyAlignment="1">
      <alignment horizontal="right"/>
    </xf>
    <xf numFmtId="5" fontId="2" fillId="0" borderId="1" xfId="4" applyNumberFormat="1" applyFont="1" applyBorder="1" applyAlignment="1">
      <alignment horizontal="right"/>
    </xf>
    <xf numFmtId="10" fontId="2" fillId="0" borderId="1" xfId="4" applyNumberFormat="1" applyFont="1" applyBorder="1"/>
    <xf numFmtId="0" fontId="2" fillId="0" borderId="0" xfId="4" applyFont="1" applyAlignment="1">
      <alignment horizontal="right"/>
    </xf>
    <xf numFmtId="164" fontId="2" fillId="0" borderId="0" xfId="4" applyNumberFormat="1" applyFont="1"/>
    <xf numFmtId="5" fontId="2" fillId="0" borderId="0" xfId="4" applyNumberFormat="1" applyFont="1"/>
    <xf numFmtId="164" fontId="2" fillId="0" borderId="0" xfId="15" applyNumberFormat="1" applyFont="1"/>
    <xf numFmtId="9" fontId="2" fillId="0" borderId="0" xfId="12" applyFont="1"/>
    <xf numFmtId="0" fontId="6" fillId="0" borderId="0" xfId="17" applyFont="1"/>
    <xf numFmtId="167" fontId="6" fillId="0" borderId="0" xfId="17" applyNumberFormat="1" applyFont="1"/>
    <xf numFmtId="0" fontId="24" fillId="0" borderId="0" xfId="17" applyFont="1" applyAlignment="1">
      <alignment horizontal="center"/>
    </xf>
    <xf numFmtId="0" fontId="24" fillId="0" borderId="0" xfId="17" applyFont="1" applyAlignment="1">
      <alignment horizontal="left"/>
    </xf>
    <xf numFmtId="0" fontId="6" fillId="0" borderId="0" xfId="17" applyFont="1" applyAlignment="1">
      <alignment horizontal="left"/>
    </xf>
    <xf numFmtId="0" fontId="6" fillId="0" borderId="0" xfId="17" applyFont="1" applyAlignment="1">
      <alignment horizontal="center"/>
    </xf>
    <xf numFmtId="0" fontId="24" fillId="0" borderId="0" xfId="17" applyFont="1" applyAlignment="1">
      <alignment horizontal="center" wrapText="1"/>
    </xf>
    <xf numFmtId="168" fontId="24" fillId="0" borderId="0" xfId="17" applyNumberFormat="1" applyFont="1" applyAlignment="1">
      <alignment horizontal="center" wrapText="1"/>
    </xf>
    <xf numFmtId="0" fontId="24" fillId="0" borderId="0" xfId="17" applyFont="1"/>
    <xf numFmtId="3" fontId="6" fillId="0" borderId="0" xfId="17" applyNumberFormat="1" applyFont="1"/>
    <xf numFmtId="167" fontId="24" fillId="5" borderId="1" xfId="18" applyNumberFormat="1" applyFont="1" applyFill="1" applyBorder="1"/>
    <xf numFmtId="168" fontId="6" fillId="0" borderId="0" xfId="17" applyNumberFormat="1" applyFont="1"/>
    <xf numFmtId="7" fontId="6" fillId="0" borderId="0" xfId="17" applyNumberFormat="1" applyFont="1"/>
    <xf numFmtId="0" fontId="24" fillId="0" borderId="0" xfId="17" applyFont="1" applyAlignment="1">
      <alignment horizontal="right"/>
    </xf>
    <xf numFmtId="37" fontId="24" fillId="5" borderId="1" xfId="18" applyNumberFormat="1" applyFont="1" applyFill="1" applyBorder="1"/>
    <xf numFmtId="0" fontId="24" fillId="0" borderId="0" xfId="5" applyFont="1" applyAlignment="1">
      <alignment horizontal="right"/>
    </xf>
    <xf numFmtId="3" fontId="3" fillId="0" borderId="0" xfId="5" applyNumberFormat="1" applyProtection="1">
      <protection locked="0"/>
    </xf>
    <xf numFmtId="49" fontId="25" fillId="6" borderId="3" xfId="5" applyNumberFormat="1" applyFont="1" applyFill="1" applyBorder="1" applyProtection="1">
      <protection locked="0"/>
    </xf>
    <xf numFmtId="49" fontId="25" fillId="6" borderId="5" xfId="5" applyNumberFormat="1" applyFont="1" applyFill="1" applyBorder="1" applyProtection="1">
      <protection locked="0"/>
    </xf>
    <xf numFmtId="3" fontId="6" fillId="0" borderId="1" xfId="17" applyNumberFormat="1" applyFont="1" applyBorder="1" applyProtection="1">
      <protection locked="0"/>
    </xf>
    <xf numFmtId="3" fontId="6" fillId="0" borderId="1" xfId="17" applyNumberFormat="1" applyFont="1" applyBorder="1"/>
    <xf numFmtId="3" fontId="24" fillId="0" borderId="0" xfId="17" applyNumberFormat="1" applyFont="1"/>
    <xf numFmtId="164" fontId="6" fillId="7" borderId="0" xfId="17" applyNumberFormat="1" applyFont="1" applyFill="1"/>
    <xf numFmtId="164" fontId="6" fillId="0" borderId="0" xfId="17" applyNumberFormat="1" applyFont="1"/>
    <xf numFmtId="0" fontId="6" fillId="0" borderId="7" xfId="17" applyFont="1" applyBorder="1"/>
    <xf numFmtId="49" fontId="25" fillId="0" borderId="0" xfId="5" applyNumberFormat="1" applyFont="1" applyProtection="1">
      <protection locked="0"/>
    </xf>
    <xf numFmtId="3" fontId="3" fillId="0" borderId="0" xfId="5" applyNumberFormat="1"/>
    <xf numFmtId="3" fontId="24" fillId="0" borderId="1" xfId="17" applyNumberFormat="1" applyFont="1" applyBorder="1"/>
    <xf numFmtId="167" fontId="24" fillId="0" borderId="1" xfId="18" applyNumberFormat="1" applyFont="1" applyFill="1" applyBorder="1"/>
    <xf numFmtId="0" fontId="24" fillId="0" borderId="0" xfId="17" applyFont="1" applyAlignment="1">
      <alignment wrapText="1"/>
    </xf>
    <xf numFmtId="3" fontId="24" fillId="0" borderId="8" xfId="17" applyNumberFormat="1" applyFont="1" applyBorder="1"/>
    <xf numFmtId="3" fontId="6" fillId="0" borderId="8" xfId="17" applyNumberFormat="1" applyFont="1" applyBorder="1"/>
    <xf numFmtId="167" fontId="24" fillId="5" borderId="1" xfId="18" applyNumberFormat="1" applyFont="1" applyFill="1" applyBorder="1" applyProtection="1"/>
    <xf numFmtId="3" fontId="24" fillId="0" borderId="0" xfId="17" applyNumberFormat="1" applyFont="1" applyProtection="1">
      <protection locked="0"/>
    </xf>
    <xf numFmtId="49" fontId="26" fillId="0" borderId="0" xfId="17" applyNumberFormat="1" applyFont="1" applyAlignment="1">
      <alignment horizontal="left"/>
    </xf>
    <xf numFmtId="0" fontId="27" fillId="0" borderId="0" xfId="17" applyFont="1" applyAlignment="1">
      <alignment horizontal="center" wrapText="1"/>
    </xf>
    <xf numFmtId="49" fontId="6" fillId="7" borderId="0" xfId="17" applyNumberFormat="1" applyFont="1" applyFill="1" applyProtection="1">
      <protection locked="0"/>
    </xf>
    <xf numFmtId="164" fontId="24" fillId="0" borderId="0" xfId="17" applyNumberFormat="1" applyFont="1"/>
    <xf numFmtId="0" fontId="24" fillId="0" borderId="7" xfId="17" applyFont="1" applyBorder="1"/>
    <xf numFmtId="49" fontId="6" fillId="0" borderId="7" xfId="17" applyNumberFormat="1" applyFont="1" applyBorder="1" applyProtection="1">
      <protection locked="0"/>
    </xf>
    <xf numFmtId="3" fontId="24" fillId="5" borderId="9" xfId="17" applyNumberFormat="1" applyFont="1" applyFill="1" applyBorder="1"/>
    <xf numFmtId="3" fontId="6" fillId="0" borderId="8" xfId="17" applyNumberFormat="1" applyFont="1" applyBorder="1" applyProtection="1">
      <protection locked="0"/>
    </xf>
    <xf numFmtId="164" fontId="24" fillId="5" borderId="1" xfId="17" applyNumberFormat="1" applyFont="1" applyFill="1" applyBorder="1"/>
    <xf numFmtId="167" fontId="24" fillId="5" borderId="9" xfId="18" applyNumberFormat="1" applyFont="1" applyFill="1" applyBorder="1"/>
    <xf numFmtId="3" fontId="24" fillId="8" borderId="9" xfId="17" applyNumberFormat="1" applyFont="1" applyFill="1" applyBorder="1"/>
    <xf numFmtId="167" fontId="24" fillId="8" borderId="9" xfId="18" applyNumberFormat="1" applyFont="1" applyFill="1" applyBorder="1"/>
    <xf numFmtId="0" fontId="6" fillId="0" borderId="8" xfId="17" applyFont="1" applyBorder="1"/>
    <xf numFmtId="168" fontId="24" fillId="0" borderId="0" xfId="17" applyNumberFormat="1" applyFont="1"/>
    <xf numFmtId="10" fontId="24" fillId="0" borderId="0" xfId="19" applyNumberFormat="1" applyFont="1" applyFill="1" applyBorder="1" applyProtection="1"/>
    <xf numFmtId="10" fontId="24" fillId="5" borderId="1" xfId="17" applyNumberFormat="1" applyFont="1" applyFill="1" applyBorder="1"/>
    <xf numFmtId="10" fontId="24" fillId="0" borderId="0" xfId="17" applyNumberFormat="1" applyFont="1"/>
    <xf numFmtId="49" fontId="6" fillId="6" borderId="3" xfId="24" applyNumberFormat="1" applyFill="1" applyBorder="1" applyProtection="1">
      <protection locked="0"/>
    </xf>
    <xf numFmtId="49" fontId="6" fillId="6" borderId="6" xfId="24" applyNumberFormat="1" applyFill="1" applyBorder="1" applyProtection="1">
      <protection locked="0"/>
    </xf>
    <xf numFmtId="49" fontId="6" fillId="6" borderId="12" xfId="24" applyNumberFormat="1" applyFill="1" applyBorder="1" applyProtection="1">
      <protection locked="0"/>
    </xf>
    <xf numFmtId="0" fontId="6" fillId="0" borderId="0" xfId="28" applyAlignment="1">
      <alignment horizontal="left"/>
    </xf>
    <xf numFmtId="0" fontId="6" fillId="0" borderId="0" xfId="28"/>
    <xf numFmtId="0" fontId="6" fillId="0" borderId="0" xfId="28" applyAlignment="1">
      <alignment horizontal="centerContinuous"/>
    </xf>
    <xf numFmtId="0" fontId="24" fillId="0" borderId="0" xfId="28" applyFont="1" applyAlignment="1">
      <alignment horizontal="centerContinuous"/>
    </xf>
    <xf numFmtId="0" fontId="24" fillId="0" borderId="0" xfId="28" applyFont="1"/>
    <xf numFmtId="0" fontId="24" fillId="0" borderId="0" xfId="28" applyFont="1" applyAlignment="1">
      <alignment horizontal="right"/>
    </xf>
    <xf numFmtId="0" fontId="29" fillId="0" borderId="0" xfId="28" applyFont="1" applyAlignment="1">
      <alignment horizontal="left"/>
    </xf>
    <xf numFmtId="0" fontId="24" fillId="0" borderId="0" xfId="28" applyFont="1" applyAlignment="1">
      <alignment horizontal="center" wrapText="1"/>
    </xf>
    <xf numFmtId="0" fontId="24" fillId="0" borderId="0" xfId="28" applyFont="1" applyAlignment="1">
      <alignment horizontal="left"/>
    </xf>
    <xf numFmtId="168" fontId="6" fillId="6" borderId="1" xfId="28" applyNumberFormat="1" applyFill="1" applyBorder="1" applyProtection="1">
      <protection locked="0"/>
    </xf>
    <xf numFmtId="49" fontId="25" fillId="6" borderId="3" xfId="28" applyNumberFormat="1" applyFont="1" applyFill="1" applyBorder="1" applyProtection="1">
      <protection locked="0"/>
    </xf>
    <xf numFmtId="168" fontId="6" fillId="0" borderId="1" xfId="28" applyNumberFormat="1" applyBorder="1"/>
    <xf numFmtId="168" fontId="6" fillId="0" borderId="10" xfId="28" applyNumberFormat="1" applyBorder="1"/>
    <xf numFmtId="168" fontId="6" fillId="9" borderId="11" xfId="28" applyNumberFormat="1" applyFill="1" applyBorder="1"/>
    <xf numFmtId="0" fontId="6" fillId="0" borderId="10" xfId="28" applyBorder="1"/>
    <xf numFmtId="0" fontId="6" fillId="0" borderId="8" xfId="28" applyBorder="1"/>
    <xf numFmtId="0" fontId="6" fillId="9" borderId="0" xfId="28" applyFill="1"/>
    <xf numFmtId="168" fontId="6" fillId="9" borderId="0" xfId="28" applyNumberFormat="1" applyFill="1"/>
    <xf numFmtId="49" fontId="6" fillId="6" borderId="3" xfId="28" applyNumberFormat="1" applyFill="1" applyBorder="1" applyProtection="1">
      <protection locked="0"/>
    </xf>
    <xf numFmtId="49" fontId="6" fillId="6" borderId="12" xfId="28" applyNumberFormat="1" applyFill="1" applyBorder="1" applyProtection="1">
      <protection locked="0"/>
    </xf>
    <xf numFmtId="168" fontId="6" fillId="9" borderId="0" xfId="28" applyNumberFormat="1" applyFill="1" applyProtection="1">
      <protection locked="0"/>
    </xf>
    <xf numFmtId="168" fontId="6" fillId="9" borderId="1" xfId="28" applyNumberFormat="1" applyFill="1" applyBorder="1"/>
    <xf numFmtId="0" fontId="6" fillId="0" borderId="4" xfId="28" applyBorder="1" applyAlignment="1">
      <alignment horizontal="left"/>
    </xf>
    <xf numFmtId="0" fontId="24" fillId="0" borderId="4" xfId="28" applyFont="1" applyBorder="1"/>
    <xf numFmtId="0" fontId="6" fillId="0" borderId="4" xfId="28" applyBorder="1"/>
    <xf numFmtId="168" fontId="6" fillId="8" borderId="1" xfId="28" applyNumberFormat="1" applyFill="1" applyBorder="1" applyProtection="1">
      <protection locked="0"/>
    </xf>
    <xf numFmtId="0" fontId="24" fillId="0" borderId="0" xfId="0" applyFont="1" applyAlignment="1">
      <alignment horizontal="right"/>
    </xf>
    <xf numFmtId="168" fontId="0" fillId="6" borderId="1" xfId="0" applyNumberFormat="1" applyFill="1" applyBorder="1" applyProtection="1">
      <protection locked="0"/>
    </xf>
    <xf numFmtId="168" fontId="0" fillId="6" borderId="1" xfId="0" applyNumberFormat="1" applyFill="1" applyBorder="1"/>
    <xf numFmtId="49" fontId="0" fillId="6" borderId="3" xfId="0" applyNumberFormat="1" applyFill="1" applyBorder="1" applyProtection="1">
      <protection locked="0"/>
    </xf>
    <xf numFmtId="49" fontId="0" fillId="6" borderId="6" xfId="0" applyNumberFormat="1" applyFill="1" applyBorder="1" applyProtection="1">
      <protection locked="0"/>
    </xf>
    <xf numFmtId="49" fontId="0" fillId="6" borderId="12" xfId="0" applyNumberFormat="1" applyFill="1" applyBorder="1" applyProtection="1">
      <protection locked="0"/>
    </xf>
    <xf numFmtId="0" fontId="5" fillId="0" borderId="0" xfId="0" applyFont="1"/>
    <xf numFmtId="49" fontId="6" fillId="3" borderId="0" xfId="28" applyNumberFormat="1" applyFill="1" applyAlignment="1" applyProtection="1">
      <alignment shrinkToFit="1"/>
      <protection locked="0"/>
    </xf>
    <xf numFmtId="0" fontId="6" fillId="3" borderId="0" xfId="28" applyFill="1" applyAlignment="1" applyProtection="1">
      <alignment shrinkToFit="1"/>
      <protection locked="0"/>
    </xf>
    <xf numFmtId="3" fontId="6" fillId="3" borderId="0" xfId="28" applyNumberFormat="1" applyFill="1" applyAlignment="1" applyProtection="1">
      <alignment shrinkToFit="1"/>
      <protection locked="0"/>
    </xf>
    <xf numFmtId="0" fontId="6" fillId="8" borderId="0" xfId="28" applyFill="1"/>
    <xf numFmtId="0" fontId="6" fillId="3" borderId="0" xfId="28" applyFill="1"/>
    <xf numFmtId="169" fontId="6" fillId="3" borderId="0" xfId="28" applyNumberFormat="1" applyFill="1" applyAlignment="1" applyProtection="1">
      <alignment shrinkToFit="1"/>
      <protection locked="0"/>
    </xf>
    <xf numFmtId="168" fontId="6" fillId="11" borderId="3" xfId="28" applyNumberFormat="1" applyFill="1" applyBorder="1"/>
    <xf numFmtId="164" fontId="6" fillId="11" borderId="1" xfId="28" applyNumberFormat="1" applyFill="1" applyBorder="1"/>
    <xf numFmtId="168" fontId="6" fillId="6" borderId="3" xfId="28" applyNumberFormat="1" applyFill="1" applyBorder="1" applyProtection="1">
      <protection locked="0"/>
    </xf>
    <xf numFmtId="164" fontId="6" fillId="12" borderId="1" xfId="28" applyNumberFormat="1" applyFill="1" applyBorder="1"/>
    <xf numFmtId="0" fontId="37" fillId="0" borderId="0" xfId="0" applyFont="1"/>
    <xf numFmtId="3" fontId="6" fillId="8" borderId="1" xfId="28" applyNumberFormat="1" applyFill="1" applyBorder="1" applyProtection="1">
      <protection locked="0"/>
    </xf>
    <xf numFmtId="168" fontId="6" fillId="8" borderId="3" xfId="28" applyNumberFormat="1" applyFill="1" applyBorder="1" applyProtection="1">
      <protection locked="0"/>
    </xf>
    <xf numFmtId="0" fontId="24" fillId="0" borderId="0" xfId="28" applyFont="1" applyAlignment="1">
      <alignment wrapText="1"/>
    </xf>
    <xf numFmtId="0" fontId="6" fillId="8" borderId="1" xfId="28" applyFill="1" applyBorder="1"/>
    <xf numFmtId="49" fontId="6" fillId="6" borderId="15" xfId="28" applyNumberFormat="1" applyFill="1" applyBorder="1" applyProtection="1">
      <protection locked="0"/>
    </xf>
    <xf numFmtId="168" fontId="6" fillId="6" borderId="9" xfId="28" applyNumberFormat="1" applyFill="1" applyBorder="1" applyProtection="1">
      <protection locked="0"/>
    </xf>
    <xf numFmtId="168" fontId="6" fillId="6" borderId="15" xfId="28" applyNumberFormat="1" applyFill="1" applyBorder="1" applyProtection="1">
      <protection locked="0"/>
    </xf>
    <xf numFmtId="0" fontId="6" fillId="8" borderId="3" xfId="28" applyFill="1" applyBorder="1"/>
    <xf numFmtId="168" fontId="6" fillId="9" borderId="12" xfId="28" applyNumberFormat="1" applyFill="1" applyBorder="1"/>
    <xf numFmtId="0" fontId="6" fillId="6" borderId="1" xfId="28" applyFill="1" applyBorder="1" applyProtection="1">
      <protection locked="0"/>
    </xf>
    <xf numFmtId="164" fontId="6" fillId="12" borderId="3" xfId="28" applyNumberFormat="1" applyFill="1" applyBorder="1"/>
    <xf numFmtId="168" fontId="6" fillId="11" borderId="3" xfId="28" applyNumberFormat="1" applyFill="1" applyBorder="1" applyProtection="1">
      <protection locked="0"/>
    </xf>
    <xf numFmtId="168" fontId="6" fillId="11" borderId="1" xfId="28" applyNumberFormat="1" applyFill="1" applyBorder="1"/>
    <xf numFmtId="168" fontId="5" fillId="0" borderId="0" xfId="0" applyNumberFormat="1" applyFont="1"/>
    <xf numFmtId="168" fontId="6" fillId="6" borderId="2" xfId="28" applyNumberFormat="1" applyFill="1" applyBorder="1" applyProtection="1">
      <protection locked="0"/>
    </xf>
    <xf numFmtId="168" fontId="6" fillId="6" borderId="12" xfId="28" applyNumberFormat="1" applyFill="1" applyBorder="1" applyProtection="1">
      <protection locked="0"/>
    </xf>
    <xf numFmtId="0" fontId="6" fillId="0" borderId="0" xfId="28" applyAlignment="1">
      <alignment horizontal="right"/>
    </xf>
    <xf numFmtId="10" fontId="6" fillId="6" borderId="1" xfId="28" applyNumberFormat="1" applyFill="1" applyBorder="1" applyProtection="1">
      <protection locked="0"/>
    </xf>
    <xf numFmtId="168" fontId="6" fillId="3" borderId="0" xfId="28" applyNumberFormat="1" applyFill="1" applyProtection="1">
      <protection locked="0"/>
    </xf>
    <xf numFmtId="168" fontId="6" fillId="3" borderId="0" xfId="28" applyNumberFormat="1" applyFill="1"/>
    <xf numFmtId="164" fontId="6" fillId="12" borderId="9" xfId="28" applyNumberFormat="1" applyFill="1" applyBorder="1"/>
    <xf numFmtId="168" fontId="6" fillId="11" borderId="9" xfId="28" applyNumberFormat="1" applyFill="1" applyBorder="1"/>
    <xf numFmtId="164" fontId="6" fillId="12" borderId="13" xfId="28" applyNumberFormat="1" applyFill="1" applyBorder="1"/>
    <xf numFmtId="10" fontId="0" fillId="12" borderId="1" xfId="9" applyNumberFormat="1" applyFont="1" applyFill="1" applyBorder="1" applyProtection="1"/>
    <xf numFmtId="0" fontId="6" fillId="8" borderId="5" xfId="28" applyFill="1" applyBorder="1" applyAlignment="1" applyProtection="1">
      <alignment horizontal="left" shrinkToFit="1"/>
      <protection locked="0"/>
    </xf>
    <xf numFmtId="0" fontId="6" fillId="8" borderId="5" xfId="28" applyFill="1" applyBorder="1" applyAlignment="1" applyProtection="1">
      <alignment shrinkToFit="1"/>
      <protection locked="0"/>
    </xf>
    <xf numFmtId="3" fontId="6" fillId="8" borderId="5" xfId="28" applyNumberFormat="1" applyFill="1" applyBorder="1" applyAlignment="1" applyProtection="1">
      <alignment horizontal="left" shrinkToFit="1"/>
      <protection locked="0"/>
    </xf>
    <xf numFmtId="3" fontId="6" fillId="8" borderId="5" xfId="28" applyNumberFormat="1" applyFill="1" applyBorder="1" applyAlignment="1" applyProtection="1">
      <alignment shrinkToFit="1"/>
      <protection locked="0"/>
    </xf>
    <xf numFmtId="49" fontId="6" fillId="8" borderId="5" xfId="28" applyNumberFormat="1" applyFill="1" applyBorder="1" applyAlignment="1" applyProtection="1">
      <alignment shrinkToFit="1"/>
      <protection locked="0"/>
    </xf>
    <xf numFmtId="169" fontId="6" fillId="8" borderId="5" xfId="28" applyNumberFormat="1" applyFill="1" applyBorder="1" applyAlignment="1" applyProtection="1">
      <alignment shrinkToFit="1"/>
      <protection locked="0"/>
    </xf>
    <xf numFmtId="164" fontId="6" fillId="11" borderId="3" xfId="28" applyNumberFormat="1" applyFill="1" applyBorder="1"/>
    <xf numFmtId="0" fontId="6" fillId="0" borderId="0" xfId="28" applyAlignment="1">
      <alignment wrapText="1"/>
    </xf>
    <xf numFmtId="164" fontId="6" fillId="6" borderId="1" xfId="28" applyNumberFormat="1" applyFill="1" applyBorder="1" applyProtection="1">
      <protection locked="0"/>
    </xf>
    <xf numFmtId="164" fontId="6" fillId="6" borderId="3" xfId="28" applyNumberFormat="1" applyFill="1" applyBorder="1" applyProtection="1">
      <protection locked="0"/>
    </xf>
    <xf numFmtId="5" fontId="6" fillId="8" borderId="1" xfId="1" applyNumberFormat="1" applyFont="1" applyFill="1" applyBorder="1"/>
    <xf numFmtId="0" fontId="33" fillId="0" borderId="0" xfId="28" applyFont="1"/>
    <xf numFmtId="0" fontId="6" fillId="8" borderId="0" xfId="28" applyFill="1" applyAlignment="1">
      <alignment horizontal="left"/>
    </xf>
    <xf numFmtId="169" fontId="6" fillId="8" borderId="5" xfId="28" applyNumberFormat="1" applyFill="1" applyBorder="1" applyAlignment="1" applyProtection="1">
      <alignment horizontal="left" shrinkToFit="1"/>
      <protection locked="0"/>
    </xf>
    <xf numFmtId="49" fontId="38" fillId="8" borderId="5" xfId="28" applyNumberFormat="1" applyFont="1" applyFill="1" applyBorder="1" applyAlignment="1" applyProtection="1">
      <alignment shrinkToFit="1"/>
      <protection locked="0"/>
    </xf>
    <xf numFmtId="49" fontId="28" fillId="8" borderId="5" xfId="22" applyNumberFormat="1" applyFill="1" applyBorder="1" applyAlignment="1" applyProtection="1">
      <alignment shrinkToFit="1"/>
      <protection locked="0"/>
    </xf>
    <xf numFmtId="49" fontId="39" fillId="8" borderId="5" xfId="22" applyNumberFormat="1" applyFont="1" applyFill="1" applyBorder="1" applyAlignment="1" applyProtection="1">
      <alignment shrinkToFit="1"/>
      <protection locked="0"/>
    </xf>
    <xf numFmtId="168" fontId="6" fillId="13" borderId="3" xfId="28" applyNumberFormat="1" applyFill="1" applyBorder="1" applyProtection="1">
      <protection locked="0"/>
    </xf>
    <xf numFmtId="170" fontId="40" fillId="0" borderId="0" xfId="0" applyNumberFormat="1" applyFont="1"/>
    <xf numFmtId="167" fontId="6" fillId="0" borderId="0" xfId="2" applyNumberFormat="1" applyFont="1"/>
    <xf numFmtId="168" fontId="6" fillId="0" borderId="0" xfId="28" applyNumberFormat="1"/>
    <xf numFmtId="10" fontId="6" fillId="13" borderId="1" xfId="28" applyNumberFormat="1" applyFill="1" applyBorder="1" applyProtection="1">
      <protection locked="0"/>
    </xf>
    <xf numFmtId="168" fontId="6" fillId="8" borderId="1" xfId="28" applyNumberFormat="1" applyFill="1" applyBorder="1"/>
    <xf numFmtId="49" fontId="34" fillId="8" borderId="5" xfId="28" applyNumberFormat="1" applyFont="1" applyFill="1" applyBorder="1" applyAlignment="1" applyProtection="1">
      <alignment shrinkToFit="1"/>
      <protection locked="0"/>
    </xf>
    <xf numFmtId="164" fontId="6" fillId="14" borderId="1" xfId="28" applyNumberFormat="1" applyFill="1" applyBorder="1"/>
    <xf numFmtId="0" fontId="24" fillId="15" borderId="0" xfId="28" applyFont="1" applyFill="1" applyAlignment="1">
      <alignment horizontal="center" wrapText="1"/>
    </xf>
    <xf numFmtId="0" fontId="41" fillId="0" borderId="0" xfId="0" applyFont="1"/>
    <xf numFmtId="0" fontId="6" fillId="8" borderId="3" xfId="28" applyFill="1" applyBorder="1" applyAlignment="1">
      <alignment wrapText="1"/>
    </xf>
    <xf numFmtId="49" fontId="42" fillId="8" borderId="5" xfId="28" applyNumberFormat="1" applyFont="1" applyFill="1" applyBorder="1" applyAlignment="1" applyProtection="1">
      <alignment shrinkToFit="1"/>
      <protection locked="0"/>
    </xf>
    <xf numFmtId="49" fontId="6" fillId="8" borderId="5" xfId="28" applyNumberFormat="1" applyFill="1" applyBorder="1" applyProtection="1">
      <protection locked="0"/>
    </xf>
    <xf numFmtId="167" fontId="6" fillId="8" borderId="1" xfId="2" applyNumberFormat="1" applyFont="1" applyFill="1" applyBorder="1"/>
    <xf numFmtId="44" fontId="6" fillId="8" borderId="1" xfId="2" applyFont="1" applyFill="1" applyBorder="1"/>
    <xf numFmtId="164" fontId="6" fillId="0" borderId="0" xfId="28" applyNumberFormat="1"/>
    <xf numFmtId="0" fontId="6" fillId="8" borderId="5" xfId="28" applyFill="1" applyBorder="1" applyProtection="1">
      <protection locked="0"/>
    </xf>
    <xf numFmtId="3" fontId="6" fillId="8" borderId="5" xfId="28" applyNumberFormat="1" applyFill="1" applyBorder="1" applyProtection="1">
      <protection locked="0"/>
    </xf>
    <xf numFmtId="168" fontId="0" fillId="0" borderId="0" xfId="0" applyNumberFormat="1"/>
    <xf numFmtId="43" fontId="6" fillId="8" borderId="1" xfId="1" applyFont="1" applyFill="1" applyBorder="1"/>
    <xf numFmtId="164" fontId="0" fillId="0" borderId="0" xfId="0" applyNumberFormat="1"/>
    <xf numFmtId="166" fontId="6" fillId="8" borderId="1" xfId="1" applyNumberFormat="1" applyFont="1" applyFill="1" applyBorder="1"/>
    <xf numFmtId="166" fontId="6" fillId="8" borderId="1" xfId="28" applyNumberFormat="1" applyFill="1" applyBorder="1"/>
    <xf numFmtId="166" fontId="6" fillId="6" borderId="1" xfId="28" applyNumberFormat="1" applyFill="1" applyBorder="1" applyProtection="1">
      <protection locked="0"/>
    </xf>
    <xf numFmtId="166" fontId="6" fillId="6" borderId="3" xfId="28" applyNumberFormat="1" applyFill="1" applyBorder="1" applyProtection="1">
      <protection locked="0"/>
    </xf>
    <xf numFmtId="166" fontId="6" fillId="6" borderId="1" xfId="1" applyNumberFormat="1" applyFont="1" applyFill="1" applyBorder="1" applyProtection="1">
      <protection locked="0"/>
    </xf>
    <xf numFmtId="164" fontId="6" fillId="6" borderId="2" xfId="28" applyNumberFormat="1" applyFill="1" applyBorder="1" applyProtection="1">
      <protection locked="0"/>
    </xf>
    <xf numFmtId="164" fontId="6" fillId="6" borderId="12" xfId="28" applyNumberFormat="1" applyFill="1" applyBorder="1" applyProtection="1">
      <protection locked="0"/>
    </xf>
    <xf numFmtId="168" fontId="43" fillId="3" borderId="0" xfId="28" applyNumberFormat="1" applyFont="1" applyFill="1" applyProtection="1">
      <protection locked="0"/>
    </xf>
    <xf numFmtId="5" fontId="6" fillId="8" borderId="1" xfId="28" applyNumberFormat="1" applyFill="1" applyBorder="1"/>
    <xf numFmtId="5" fontId="6" fillId="12" borderId="1" xfId="28" applyNumberFormat="1" applyFill="1" applyBorder="1"/>
    <xf numFmtId="5" fontId="6" fillId="6" borderId="1" xfId="28" applyNumberFormat="1" applyFill="1" applyBorder="1" applyProtection="1">
      <protection locked="0"/>
    </xf>
    <xf numFmtId="5" fontId="6" fillId="6" borderId="3" xfId="28" applyNumberFormat="1" applyFill="1" applyBorder="1" applyProtection="1">
      <protection locked="0"/>
    </xf>
    <xf numFmtId="5" fontId="6" fillId="6" borderId="9" xfId="28" applyNumberFormat="1" applyFill="1" applyBorder="1" applyProtection="1">
      <protection locked="0"/>
    </xf>
    <xf numFmtId="5" fontId="6" fillId="6" borderId="15" xfId="28" applyNumberFormat="1" applyFill="1" applyBorder="1" applyProtection="1">
      <protection locked="0"/>
    </xf>
    <xf numFmtId="49" fontId="28" fillId="8" borderId="5" xfId="22" applyNumberFormat="1" applyFill="1" applyBorder="1" applyAlignment="1" applyProtection="1">
      <protection locked="0"/>
    </xf>
    <xf numFmtId="0" fontId="6" fillId="8" borderId="5" xfId="28" applyFill="1" applyBorder="1"/>
    <xf numFmtId="0" fontId="34" fillId="8" borderId="5" xfId="28" applyFont="1" applyFill="1" applyBorder="1" applyAlignment="1" applyProtection="1">
      <alignment horizontal="left" shrinkToFit="1"/>
      <protection locked="0"/>
    </xf>
    <xf numFmtId="0" fontId="34" fillId="8" borderId="5" xfId="28" applyFont="1" applyFill="1" applyBorder="1" applyAlignment="1" applyProtection="1">
      <alignment shrinkToFit="1"/>
      <protection locked="0"/>
    </xf>
    <xf numFmtId="3" fontId="6" fillId="8" borderId="0" xfId="28" applyNumberFormat="1" applyFill="1"/>
    <xf numFmtId="3" fontId="34" fillId="8" borderId="5" xfId="28" applyNumberFormat="1" applyFont="1" applyFill="1" applyBorder="1" applyAlignment="1" applyProtection="1">
      <alignment shrinkToFit="1"/>
      <protection locked="0"/>
    </xf>
    <xf numFmtId="0" fontId="34" fillId="8" borderId="5" xfId="28" applyFont="1" applyFill="1" applyBorder="1" applyAlignment="1">
      <alignment horizontal="left"/>
    </xf>
    <xf numFmtId="0" fontId="34" fillId="8" borderId="0" xfId="28" applyFont="1" applyFill="1"/>
    <xf numFmtId="169" fontId="34" fillId="8" borderId="5" xfId="28" applyNumberFormat="1" applyFont="1" applyFill="1" applyBorder="1" applyAlignment="1" applyProtection="1">
      <alignment shrinkToFit="1"/>
      <protection locked="0"/>
    </xf>
    <xf numFmtId="0" fontId="28" fillId="8" borderId="5" xfId="22" applyFill="1" applyBorder="1"/>
    <xf numFmtId="42" fontId="36" fillId="8" borderId="1" xfId="0" applyNumberFormat="1" applyFont="1" applyFill="1" applyBorder="1"/>
    <xf numFmtId="167" fontId="6" fillId="8" borderId="3" xfId="2" applyNumberFormat="1" applyFont="1" applyFill="1" applyBorder="1" applyProtection="1">
      <protection locked="0"/>
    </xf>
    <xf numFmtId="167" fontId="6" fillId="8" borderId="1" xfId="2" applyNumberFormat="1" applyFont="1" applyFill="1" applyBorder="1" applyProtection="1">
      <protection locked="0"/>
    </xf>
    <xf numFmtId="167" fontId="6" fillId="6" borderId="3" xfId="2" applyNumberFormat="1" applyFont="1" applyFill="1" applyBorder="1" applyProtection="1">
      <protection locked="0"/>
    </xf>
    <xf numFmtId="167" fontId="6" fillId="6" borderId="1" xfId="2" applyNumberFormat="1" applyFont="1" applyFill="1" applyBorder="1" applyProtection="1">
      <protection locked="0"/>
    </xf>
    <xf numFmtId="49" fontId="25" fillId="6" borderId="1" xfId="28" applyNumberFormat="1" applyFont="1" applyFill="1" applyBorder="1" applyProtection="1">
      <protection locked="0"/>
    </xf>
    <xf numFmtId="44" fontId="6" fillId="12" borderId="1" xfId="2" applyFont="1" applyFill="1" applyBorder="1"/>
    <xf numFmtId="167" fontId="6" fillId="12" borderId="1" xfId="2" applyNumberFormat="1" applyFont="1" applyFill="1" applyBorder="1"/>
    <xf numFmtId="49" fontId="6" fillId="6" borderId="1" xfId="28" applyNumberFormat="1" applyFill="1" applyBorder="1" applyProtection="1">
      <protection locked="0"/>
    </xf>
    <xf numFmtId="44" fontId="6" fillId="6" borderId="3" xfId="2" applyFont="1" applyFill="1" applyBorder="1" applyProtection="1">
      <protection locked="0"/>
    </xf>
    <xf numFmtId="44" fontId="6" fillId="9" borderId="0" xfId="2" applyFont="1" applyFill="1" applyBorder="1" applyProtection="1"/>
    <xf numFmtId="164" fontId="6" fillId="0" borderId="8" xfId="28" applyNumberFormat="1" applyBorder="1"/>
    <xf numFmtId="167" fontId="6" fillId="12" borderId="1" xfId="2" applyNumberFormat="1" applyFont="1" applyFill="1" applyBorder="1" applyProtection="1"/>
    <xf numFmtId="167" fontId="6" fillId="12" borderId="3" xfId="2" applyNumberFormat="1" applyFont="1" applyFill="1" applyBorder="1" applyProtection="1"/>
    <xf numFmtId="164" fontId="6" fillId="11" borderId="3" xfId="28" applyNumberFormat="1" applyFill="1" applyBorder="1" applyProtection="1">
      <protection locked="0"/>
    </xf>
    <xf numFmtId="44" fontId="6" fillId="8" borderId="3" xfId="2" applyFont="1" applyFill="1" applyBorder="1" applyProtection="1">
      <protection locked="0"/>
    </xf>
    <xf numFmtId="44" fontId="6" fillId="6" borderId="1" xfId="2" applyFont="1" applyFill="1" applyBorder="1" applyProtection="1">
      <protection locked="0"/>
    </xf>
    <xf numFmtId="164" fontId="6" fillId="8" borderId="1" xfId="28" applyNumberFormat="1" applyFill="1" applyBorder="1" applyProtection="1">
      <protection locked="0"/>
    </xf>
    <xf numFmtId="164" fontId="6" fillId="11" borderId="1" xfId="28" applyNumberFormat="1" applyFill="1" applyBorder="1" applyProtection="1">
      <protection locked="0"/>
    </xf>
    <xf numFmtId="44" fontId="6" fillId="8" borderId="1" xfId="2" applyFont="1" applyFill="1" applyBorder="1" applyProtection="1">
      <protection locked="0"/>
    </xf>
    <xf numFmtId="164" fontId="6" fillId="9" borderId="0" xfId="28" applyNumberFormat="1" applyFill="1"/>
    <xf numFmtId="44" fontId="6" fillId="12" borderId="1" xfId="2" applyFont="1" applyFill="1" applyBorder="1" applyProtection="1"/>
    <xf numFmtId="0" fontId="6" fillId="0" borderId="16" xfId="28" applyBorder="1"/>
    <xf numFmtId="166" fontId="6" fillId="8" borderId="3" xfId="1" applyNumberFormat="1" applyFont="1" applyFill="1" applyBorder="1" applyProtection="1">
      <protection locked="0"/>
    </xf>
    <xf numFmtId="166" fontId="6" fillId="12" borderId="1" xfId="1" applyNumberFormat="1" applyFont="1" applyFill="1" applyBorder="1"/>
    <xf numFmtId="42" fontId="6" fillId="8" borderId="1" xfId="1" applyNumberFormat="1" applyFont="1" applyFill="1" applyBorder="1" applyProtection="1">
      <protection locked="0"/>
    </xf>
    <xf numFmtId="42" fontId="6" fillId="8" borderId="3" xfId="1" applyNumberFormat="1" applyFont="1" applyFill="1" applyBorder="1" applyProtection="1">
      <protection locked="0"/>
    </xf>
    <xf numFmtId="42" fontId="6" fillId="6" borderId="1" xfId="1" applyNumberFormat="1" applyFont="1" applyFill="1" applyBorder="1" applyProtection="1">
      <protection locked="0"/>
    </xf>
    <xf numFmtId="42" fontId="6" fillId="12" borderId="1" xfId="1" applyNumberFormat="1" applyFont="1" applyFill="1" applyBorder="1"/>
    <xf numFmtId="171" fontId="6" fillId="6" borderId="1" xfId="1" applyNumberFormat="1" applyFont="1" applyFill="1" applyBorder="1" applyProtection="1">
      <protection locked="0"/>
    </xf>
    <xf numFmtId="164" fontId="6" fillId="8" borderId="3" xfId="28" applyNumberFormat="1" applyFill="1" applyBorder="1" applyProtection="1">
      <protection locked="0"/>
    </xf>
    <xf numFmtId="164" fontId="6" fillId="6" borderId="1" xfId="28" applyNumberFormat="1" applyFill="1" applyBorder="1"/>
    <xf numFmtId="167" fontId="6" fillId="12" borderId="9" xfId="2" applyNumberFormat="1" applyFont="1" applyFill="1" applyBorder="1"/>
    <xf numFmtId="167" fontId="6" fillId="0" borderId="0" xfId="28" applyNumberFormat="1"/>
    <xf numFmtId="167" fontId="6" fillId="11" borderId="9" xfId="2" applyNumberFormat="1" applyFont="1" applyFill="1" applyBorder="1" applyAlignment="1">
      <alignment horizontal="right"/>
    </xf>
    <xf numFmtId="167" fontId="6" fillId="0" borderId="8" xfId="2" applyNumberFormat="1" applyFont="1" applyBorder="1"/>
    <xf numFmtId="167" fontId="6" fillId="12" borderId="13" xfId="2" applyNumberFormat="1" applyFont="1" applyFill="1" applyBorder="1"/>
    <xf numFmtId="169" fontId="28" fillId="8" borderId="5" xfId="22" applyNumberFormat="1" applyFill="1" applyBorder="1" applyAlignment="1" applyProtection="1">
      <alignment shrinkToFit="1"/>
      <protection locked="0"/>
    </xf>
    <xf numFmtId="168" fontId="36" fillId="8" borderId="1" xfId="0" applyNumberFormat="1" applyFont="1" applyFill="1" applyBorder="1"/>
    <xf numFmtId="8" fontId="6" fillId="8" borderId="1" xfId="28" applyNumberFormat="1" applyFill="1" applyBorder="1"/>
    <xf numFmtId="7" fontId="6" fillId="0" borderId="0" xfId="28" applyNumberFormat="1"/>
    <xf numFmtId="164" fontId="6" fillId="10" borderId="1" xfId="28" applyNumberFormat="1" applyFill="1" applyBorder="1"/>
    <xf numFmtId="167" fontId="6" fillId="8" borderId="1" xfId="28" applyNumberFormat="1" applyFill="1" applyBorder="1"/>
    <xf numFmtId="164" fontId="6" fillId="10" borderId="3" xfId="28" applyNumberFormat="1" applyFill="1" applyBorder="1"/>
    <xf numFmtId="164" fontId="6" fillId="10" borderId="9" xfId="28" applyNumberFormat="1" applyFill="1" applyBorder="1"/>
    <xf numFmtId="164" fontId="6" fillId="10" borderId="13" xfId="28" applyNumberFormat="1" applyFill="1" applyBorder="1"/>
    <xf numFmtId="10" fontId="6" fillId="10" borderId="1" xfId="9" applyNumberFormat="1" applyFont="1" applyFill="1" applyBorder="1" applyProtection="1"/>
    <xf numFmtId="165" fontId="6" fillId="6" borderId="1" xfId="28" applyNumberFormat="1" applyFill="1" applyBorder="1" applyProtection="1">
      <protection locked="0"/>
    </xf>
    <xf numFmtId="10" fontId="6" fillId="0" borderId="1" xfId="28" applyNumberFormat="1" applyBorder="1" applyProtection="1">
      <protection locked="0"/>
    </xf>
    <xf numFmtId="168" fontId="6" fillId="0" borderId="0" xfId="28" applyNumberFormat="1" applyProtection="1">
      <protection locked="0"/>
    </xf>
    <xf numFmtId="43" fontId="6" fillId="0" borderId="0" xfId="1" applyFont="1"/>
    <xf numFmtId="43" fontId="6" fillId="0" borderId="0" xfId="1" applyFont="1" applyBorder="1"/>
    <xf numFmtId="166" fontId="6" fillId="0" borderId="0" xfId="1" applyNumberFormat="1" applyFont="1"/>
    <xf numFmtId="0" fontId="6" fillId="8" borderId="5" xfId="28" quotePrefix="1" applyFill="1" applyBorder="1" applyAlignment="1" applyProtection="1">
      <alignment shrinkToFit="1"/>
      <protection locked="0"/>
    </xf>
    <xf numFmtId="3" fontId="6" fillId="8" borderId="5" xfId="28" quotePrefix="1" applyNumberFormat="1" applyFill="1" applyBorder="1" applyAlignment="1" applyProtection="1">
      <alignment shrinkToFit="1"/>
      <protection locked="0"/>
    </xf>
    <xf numFmtId="43" fontId="6" fillId="8" borderId="1" xfId="28" applyNumberFormat="1" applyFill="1" applyBorder="1"/>
    <xf numFmtId="49" fontId="6" fillId="8" borderId="5" xfId="28" applyNumberFormat="1" applyFill="1" applyBorder="1" applyAlignment="1" applyProtection="1">
      <alignment horizontal="left" shrinkToFit="1"/>
      <protection locked="0"/>
    </xf>
    <xf numFmtId="167" fontId="6" fillId="6" borderId="5" xfId="2" applyNumberFormat="1" applyFont="1" applyFill="1" applyBorder="1" applyProtection="1">
      <protection locked="0"/>
    </xf>
    <xf numFmtId="10" fontId="0" fillId="0" borderId="0" xfId="3" applyNumberFormat="1" applyFont="1"/>
    <xf numFmtId="167" fontId="41" fillId="8" borderId="1" xfId="2" applyNumberFormat="1" applyFont="1" applyFill="1" applyBorder="1" applyAlignment="1">
      <alignment vertical="top"/>
    </xf>
    <xf numFmtId="167" fontId="6" fillId="0" borderId="1" xfId="2" applyNumberFormat="1" applyFont="1" applyFill="1" applyBorder="1"/>
    <xf numFmtId="167" fontId="6" fillId="12" borderId="1" xfId="28" applyNumberFormat="1" applyFill="1" applyBorder="1"/>
    <xf numFmtId="165" fontId="6" fillId="0" borderId="0" xfId="28" applyNumberFormat="1" applyAlignment="1">
      <alignment horizontal="right"/>
    </xf>
    <xf numFmtId="49" fontId="6" fillId="8" borderId="5" xfId="28" applyNumberFormat="1" applyFill="1" applyBorder="1" applyAlignment="1" applyProtection="1">
      <alignment horizontal="center" shrinkToFit="1"/>
      <protection locked="0"/>
    </xf>
    <xf numFmtId="0" fontId="6" fillId="8" borderId="5" xfId="28" applyFill="1" applyBorder="1" applyAlignment="1" applyProtection="1">
      <alignment horizontal="center" shrinkToFit="1"/>
      <protection locked="0"/>
    </xf>
    <xf numFmtId="3" fontId="6" fillId="8" borderId="5" xfId="28" applyNumberFormat="1" applyFill="1" applyBorder="1" applyAlignment="1" applyProtection="1">
      <alignment horizontal="center" shrinkToFit="1"/>
      <protection locked="0"/>
    </xf>
    <xf numFmtId="0" fontId="6" fillId="8" borderId="0" xfId="28" applyFill="1" applyAlignment="1">
      <alignment horizontal="center"/>
    </xf>
    <xf numFmtId="49" fontId="44" fillId="8" borderId="5" xfId="28" applyNumberFormat="1" applyFont="1" applyFill="1" applyBorder="1" applyAlignment="1" applyProtection="1">
      <alignment shrinkToFit="1"/>
      <protection locked="0"/>
    </xf>
    <xf numFmtId="49" fontId="44" fillId="8" borderId="5" xfId="28" applyNumberFormat="1" applyFont="1" applyFill="1" applyBorder="1" applyAlignment="1" applyProtection="1">
      <alignment horizontal="center" shrinkToFit="1"/>
      <protection locked="0"/>
    </xf>
    <xf numFmtId="168" fontId="0" fillId="11" borderId="1" xfId="0" applyNumberFormat="1" applyFill="1" applyBorder="1" applyProtection="1">
      <protection locked="0"/>
    </xf>
    <xf numFmtId="49" fontId="6" fillId="8" borderId="5" xfId="28" applyNumberFormat="1" applyFill="1" applyBorder="1" applyAlignment="1" applyProtection="1">
      <alignment horizontal="left" vertical="center"/>
      <protection locked="0"/>
    </xf>
    <xf numFmtId="0" fontId="6" fillId="8" borderId="5" xfId="28" applyFill="1" applyBorder="1" applyAlignment="1" applyProtection="1">
      <alignment horizontal="left" vertical="center"/>
      <protection locked="0"/>
    </xf>
    <xf numFmtId="3" fontId="6" fillId="8" borderId="5" xfId="28" applyNumberFormat="1" applyFill="1" applyBorder="1" applyAlignment="1" applyProtection="1">
      <alignment horizontal="left" vertical="center"/>
      <protection locked="0"/>
    </xf>
    <xf numFmtId="0" fontId="6" fillId="3" borderId="0" xfId="28" applyFill="1" applyAlignment="1">
      <alignment horizontal="left" vertical="center"/>
    </xf>
    <xf numFmtId="169" fontId="6" fillId="8" borderId="5" xfId="28" applyNumberFormat="1" applyFill="1" applyBorder="1" applyAlignment="1" applyProtection="1">
      <alignment horizontal="left" vertical="center"/>
      <protection locked="0"/>
    </xf>
    <xf numFmtId="169" fontId="6" fillId="8" borderId="5" xfId="28" applyNumberFormat="1" applyFill="1" applyBorder="1" applyProtection="1">
      <protection locked="0"/>
    </xf>
    <xf numFmtId="49" fontId="28" fillId="8" borderId="5" xfId="22" applyNumberFormat="1" applyFill="1" applyBorder="1" applyAlignment="1" applyProtection="1">
      <alignment horizontal="left" vertical="center"/>
      <protection locked="0"/>
    </xf>
    <xf numFmtId="49" fontId="6" fillId="6" borderId="3" xfId="28" applyNumberFormat="1" applyFill="1" applyBorder="1" applyAlignment="1" applyProtection="1">
      <alignment vertical="center"/>
      <protection locked="0"/>
    </xf>
    <xf numFmtId="164" fontId="6" fillId="0" borderId="1" xfId="28" applyNumberFormat="1" applyBorder="1"/>
    <xf numFmtId="164" fontId="6" fillId="9" borderId="11" xfId="28" applyNumberFormat="1" applyFill="1" applyBorder="1"/>
    <xf numFmtId="164" fontId="6" fillId="12" borderId="9" xfId="28" applyNumberFormat="1" applyFill="1" applyBorder="1" applyAlignment="1">
      <alignment horizontal="right"/>
    </xf>
    <xf numFmtId="164" fontId="6" fillId="12" borderId="1" xfId="28" applyNumberFormat="1" applyFill="1" applyBorder="1" applyAlignment="1">
      <alignment horizontal="right"/>
    </xf>
    <xf numFmtId="164" fontId="6" fillId="11" borderId="9" xfId="28" applyNumberFormat="1" applyFill="1" applyBorder="1" applyAlignment="1">
      <alignment horizontal="right"/>
    </xf>
    <xf numFmtId="164" fontId="6" fillId="0" borderId="8" xfId="28" applyNumberFormat="1" applyBorder="1" applyAlignment="1">
      <alignment horizontal="right"/>
    </xf>
    <xf numFmtId="164" fontId="6" fillId="12" borderId="13" xfId="28" applyNumberFormat="1" applyFill="1" applyBorder="1" applyAlignment="1">
      <alignment horizontal="right"/>
    </xf>
    <xf numFmtId="49" fontId="6" fillId="8" borderId="3" xfId="28" applyNumberFormat="1" applyFill="1" applyBorder="1" applyProtection="1">
      <protection locked="0"/>
    </xf>
    <xf numFmtId="49" fontId="6" fillId="8" borderId="6" xfId="28" applyNumberFormat="1" applyFill="1" applyBorder="1" applyAlignment="1" applyProtection="1">
      <alignment shrinkToFit="1"/>
      <protection locked="0"/>
    </xf>
    <xf numFmtId="0" fontId="6" fillId="8" borderId="3" xfId="28" applyFill="1" applyBorder="1" applyAlignment="1" applyProtection="1">
      <alignment shrinkToFit="1"/>
      <protection locked="0"/>
    </xf>
    <xf numFmtId="0" fontId="6" fillId="8" borderId="6" xfId="28" applyFill="1" applyBorder="1" applyAlignment="1" applyProtection="1">
      <alignment shrinkToFit="1"/>
      <protection locked="0"/>
    </xf>
    <xf numFmtId="3" fontId="6" fillId="8" borderId="3" xfId="28" applyNumberFormat="1" applyFill="1" applyBorder="1" applyAlignment="1" applyProtection="1">
      <alignment horizontal="left" shrinkToFit="1"/>
      <protection locked="0"/>
    </xf>
    <xf numFmtId="3" fontId="6" fillId="8" borderId="6" xfId="28" applyNumberFormat="1" applyFill="1" applyBorder="1" applyAlignment="1" applyProtection="1">
      <alignment shrinkToFit="1"/>
      <protection locked="0"/>
    </xf>
    <xf numFmtId="0" fontId="6" fillId="8" borderId="14" xfId="28" applyFill="1" applyBorder="1"/>
    <xf numFmtId="0" fontId="6" fillId="8" borderId="7" xfId="28" applyFill="1" applyBorder="1"/>
    <xf numFmtId="49" fontId="6" fillId="8" borderId="3" xfId="28" applyNumberFormat="1" applyFill="1" applyBorder="1" applyAlignment="1" applyProtection="1">
      <alignment shrinkToFit="1"/>
      <protection locked="0"/>
    </xf>
    <xf numFmtId="169" fontId="6" fillId="8" borderId="3" xfId="28" applyNumberFormat="1" applyFill="1" applyBorder="1" applyAlignment="1" applyProtection="1">
      <alignment shrinkToFit="1"/>
      <protection locked="0"/>
    </xf>
    <xf numFmtId="169" fontId="6" fillId="8" borderId="6" xfId="28" applyNumberFormat="1" applyFill="1" applyBorder="1" applyAlignment="1" applyProtection="1">
      <alignment shrinkToFit="1"/>
      <protection locked="0"/>
    </xf>
    <xf numFmtId="49" fontId="30" fillId="8" borderId="3" xfId="22" applyNumberFormat="1" applyFont="1" applyFill="1" applyBorder="1" applyAlignment="1" applyProtection="1">
      <protection locked="0"/>
    </xf>
    <xf numFmtId="49" fontId="6" fillId="6" borderId="2" xfId="28" applyNumberFormat="1" applyFill="1" applyBorder="1" applyProtection="1">
      <protection locked="0"/>
    </xf>
    <xf numFmtId="49" fontId="6" fillId="6" borderId="9" xfId="28" applyNumberFormat="1" applyFill="1" applyBorder="1" applyProtection="1">
      <protection locked="0"/>
    </xf>
    <xf numFmtId="10" fontId="6" fillId="0" borderId="0" xfId="28" applyNumberFormat="1"/>
    <xf numFmtId="0" fontId="28" fillId="0" borderId="0" xfId="22" applyAlignment="1">
      <alignment horizontal="left" vertical="center" indent="1"/>
    </xf>
    <xf numFmtId="166" fontId="6" fillId="6" borderId="3" xfId="1" applyNumberFormat="1" applyFont="1" applyFill="1" applyBorder="1" applyProtection="1">
      <protection locked="0"/>
    </xf>
    <xf numFmtId="166" fontId="6" fillId="6" borderId="9" xfId="1" applyNumberFormat="1" applyFont="1" applyFill="1" applyBorder="1" applyProtection="1">
      <protection locked="0"/>
    </xf>
    <xf numFmtId="166" fontId="6" fillId="6" borderId="15" xfId="1" applyNumberFormat="1" applyFont="1" applyFill="1" applyBorder="1" applyProtection="1">
      <protection locked="0"/>
    </xf>
    <xf numFmtId="166" fontId="6" fillId="11" borderId="3" xfId="1" applyNumberFormat="1" applyFont="1" applyFill="1" applyBorder="1" applyProtection="1">
      <protection locked="0"/>
    </xf>
    <xf numFmtId="9" fontId="6" fillId="6" borderId="1" xfId="28" applyNumberFormat="1" applyFill="1" applyBorder="1" applyProtection="1">
      <protection locked="0"/>
    </xf>
    <xf numFmtId="164" fontId="6" fillId="6" borderId="1" xfId="1" applyNumberFormat="1" applyFont="1" applyFill="1" applyBorder="1" applyProtection="1">
      <protection locked="0"/>
    </xf>
    <xf numFmtId="49" fontId="45" fillId="8" borderId="5" xfId="28" applyNumberFormat="1" applyFont="1" applyFill="1" applyBorder="1" applyAlignment="1" applyProtection="1">
      <alignment shrinkToFit="1"/>
      <protection locked="0"/>
    </xf>
    <xf numFmtId="166" fontId="6" fillId="3" borderId="0" xfId="1" applyNumberFormat="1" applyFont="1" applyFill="1" applyBorder="1" applyAlignment="1" applyProtection="1">
      <alignment shrinkToFit="1"/>
      <protection locked="0"/>
    </xf>
    <xf numFmtId="3" fontId="6" fillId="3" borderId="0" xfId="28" applyNumberFormat="1" applyFill="1"/>
    <xf numFmtId="9" fontId="0" fillId="0" borderId="0" xfId="3" applyFont="1"/>
    <xf numFmtId="49" fontId="6" fillId="8" borderId="5" xfId="28" applyNumberFormat="1" applyFill="1" applyBorder="1" applyAlignment="1" applyProtection="1">
      <alignment horizontal="left" wrapText="1" shrinkToFit="1"/>
      <protection locked="0"/>
    </xf>
    <xf numFmtId="49" fontId="6" fillId="8" borderId="0" xfId="28" applyNumberFormat="1" applyFill="1" applyAlignment="1">
      <alignment horizontal="left" wrapText="1"/>
    </xf>
    <xf numFmtId="3" fontId="38" fillId="8" borderId="5" xfId="28" applyNumberFormat="1" applyFont="1" applyFill="1" applyBorder="1" applyAlignment="1" applyProtection="1">
      <alignment horizontal="left" shrinkToFit="1"/>
      <protection locked="0"/>
    </xf>
    <xf numFmtId="168" fontId="33" fillId="3" borderId="0" xfId="28" applyNumberFormat="1" applyFont="1" applyFill="1" applyProtection="1">
      <protection locked="0"/>
    </xf>
    <xf numFmtId="0" fontId="43" fillId="0" borderId="0" xfId="17" applyFont="1"/>
    <xf numFmtId="0" fontId="47" fillId="0" borderId="0" xfId="4" applyFont="1"/>
    <xf numFmtId="3" fontId="43" fillId="0" borderId="0" xfId="17" applyNumberFormat="1" applyFont="1"/>
    <xf numFmtId="168" fontId="6" fillId="12" borderId="1" xfId="28" applyNumberFormat="1" applyFill="1" applyBorder="1"/>
    <xf numFmtId="166" fontId="6" fillId="0" borderId="0" xfId="28" applyNumberFormat="1"/>
    <xf numFmtId="0" fontId="43" fillId="0" borderId="0" xfId="20" applyNumberFormat="1" applyFont="1" applyFill="1" applyBorder="1" applyAlignment="1">
      <alignment horizontal="left"/>
    </xf>
    <xf numFmtId="0" fontId="43" fillId="0" borderId="0" xfId="17" applyFont="1" applyAlignment="1">
      <alignment horizontal="left"/>
    </xf>
    <xf numFmtId="0" fontId="43" fillId="0" borderId="0" xfId="21" applyNumberFormat="1" applyFont="1" applyFill="1" applyBorder="1" applyAlignment="1">
      <alignment horizontal="left"/>
    </xf>
    <xf numFmtId="0" fontId="6" fillId="0" borderId="0" xfId="28" applyAlignment="1">
      <alignment horizontal="center" wrapText="1"/>
    </xf>
    <xf numFmtId="3" fontId="6" fillId="8" borderId="1" xfId="28" applyNumberFormat="1" applyFill="1" applyBorder="1"/>
    <xf numFmtId="3" fontId="6" fillId="6" borderId="1" xfId="28" applyNumberFormat="1" applyFill="1" applyBorder="1" applyProtection="1">
      <protection locked="0"/>
    </xf>
    <xf numFmtId="43" fontId="6" fillId="6" borderId="3" xfId="1" applyFont="1" applyFill="1" applyBorder="1" applyProtection="1">
      <protection locked="0"/>
    </xf>
    <xf numFmtId="166" fontId="6" fillId="11" borderId="3" xfId="1" applyNumberFormat="1" applyFont="1" applyFill="1" applyBorder="1" applyProtection="1"/>
    <xf numFmtId="166" fontId="6" fillId="8" borderId="1" xfId="1" applyNumberFormat="1" applyFont="1" applyFill="1" applyBorder="1" applyProtection="1">
      <protection locked="0"/>
    </xf>
    <xf numFmtId="166" fontId="6" fillId="6" borderId="2" xfId="1" applyNumberFormat="1" applyFont="1" applyFill="1" applyBorder="1" applyProtection="1">
      <protection locked="0"/>
    </xf>
    <xf numFmtId="49" fontId="6" fillId="0" borderId="0" xfId="28" applyNumberFormat="1" applyAlignment="1" applyProtection="1">
      <alignment shrinkToFit="1"/>
      <protection locked="0"/>
    </xf>
    <xf numFmtId="0" fontId="6" fillId="0" borderId="0" xfId="28" applyAlignment="1" applyProtection="1">
      <alignment shrinkToFit="1"/>
      <protection locked="0"/>
    </xf>
    <xf numFmtId="49" fontId="6" fillId="8" borderId="4" xfId="28" applyNumberFormat="1" applyFill="1" applyBorder="1" applyAlignment="1" applyProtection="1">
      <alignment shrinkToFit="1"/>
      <protection locked="0"/>
    </xf>
    <xf numFmtId="6" fontId="6" fillId="8" borderId="1" xfId="28" applyNumberFormat="1" applyFill="1" applyBorder="1"/>
    <xf numFmtId="164" fontId="3" fillId="0" borderId="0" xfId="5" applyNumberFormat="1"/>
    <xf numFmtId="0" fontId="1" fillId="0" borderId="14" xfId="4" applyBorder="1"/>
    <xf numFmtId="0" fontId="52" fillId="0" borderId="0" xfId="4" applyFont="1"/>
    <xf numFmtId="0" fontId="1" fillId="0" borderId="0" xfId="16"/>
    <xf numFmtId="0" fontId="1" fillId="0" borderId="1" xfId="4" applyBorder="1" applyAlignment="1">
      <alignment horizontal="right" wrapText="1"/>
    </xf>
    <xf numFmtId="0" fontId="8" fillId="4" borderId="0" xfId="5" applyFont="1" applyFill="1"/>
    <xf numFmtId="0" fontId="53" fillId="2" borderId="17" xfId="0" applyFont="1" applyFill="1" applyBorder="1" applyAlignment="1">
      <alignment vertical="center"/>
    </xf>
    <xf numFmtId="0" fontId="53" fillId="0" borderId="18" xfId="0" applyFont="1" applyBorder="1" applyAlignment="1">
      <alignment vertical="center"/>
    </xf>
    <xf numFmtId="0" fontId="54" fillId="0" borderId="19" xfId="0" applyFont="1" applyBorder="1" applyAlignment="1">
      <alignment vertical="center" wrapText="1"/>
    </xf>
    <xf numFmtId="0" fontId="53" fillId="0" borderId="0" xfId="0" applyFont="1" applyAlignment="1">
      <alignment vertical="center"/>
    </xf>
    <xf numFmtId="10" fontId="54" fillId="0" borderId="19" xfId="0" applyNumberFormat="1" applyFont="1" applyBorder="1" applyAlignment="1">
      <alignment horizontal="center" vertical="center"/>
    </xf>
    <xf numFmtId="0" fontId="54" fillId="2" borderId="17" xfId="0" applyFont="1" applyFill="1" applyBorder="1" applyAlignment="1">
      <alignment vertical="center"/>
    </xf>
    <xf numFmtId="0" fontId="54" fillId="2" borderId="17" xfId="0" applyFont="1" applyFill="1" applyBorder="1" applyAlignment="1">
      <alignment horizontal="center" vertical="center" wrapText="1"/>
    </xf>
    <xf numFmtId="0" fontId="53" fillId="0" borderId="17" xfId="0" applyFont="1" applyBorder="1" applyAlignment="1">
      <alignment vertical="center"/>
    </xf>
    <xf numFmtId="0" fontId="54" fillId="0" borderId="17" xfId="0" applyFont="1" applyBorder="1" applyAlignment="1">
      <alignment vertical="center"/>
    </xf>
    <xf numFmtId="6" fontId="54" fillId="17" borderId="17" xfId="0" applyNumberFormat="1" applyFont="1" applyFill="1" applyBorder="1" applyAlignment="1">
      <alignment horizontal="center" vertical="center"/>
    </xf>
    <xf numFmtId="0" fontId="54" fillId="17" borderId="17" xfId="0" applyFont="1" applyFill="1" applyBorder="1" applyAlignment="1">
      <alignment horizontal="center" vertical="center"/>
    </xf>
    <xf numFmtId="6" fontId="53" fillId="17" borderId="17" xfId="0" applyNumberFormat="1" applyFont="1" applyFill="1" applyBorder="1" applyAlignment="1">
      <alignment horizontal="center" vertical="center"/>
    </xf>
    <xf numFmtId="6" fontId="54" fillId="0" borderId="19" xfId="0" applyNumberFormat="1" applyFont="1" applyBorder="1" applyAlignment="1">
      <alignment horizontal="center" vertical="center"/>
    </xf>
    <xf numFmtId="49" fontId="6" fillId="0" borderId="0" xfId="17" applyNumberFormat="1" applyFont="1" applyProtection="1">
      <protection locked="0"/>
    </xf>
    <xf numFmtId="164" fontId="1" fillId="0" borderId="0" xfId="15" applyNumberFormat="1" applyFont="1"/>
    <xf numFmtId="9" fontId="1" fillId="0" borderId="0" xfId="12" applyFont="1"/>
    <xf numFmtId="164" fontId="1" fillId="0" borderId="1" xfId="4" applyNumberFormat="1" applyBorder="1" applyAlignment="1">
      <alignment horizontal="right"/>
    </xf>
    <xf numFmtId="5" fontId="1" fillId="0" borderId="1" xfId="4" applyNumberFormat="1" applyBorder="1" applyAlignment="1">
      <alignment horizontal="right"/>
    </xf>
    <xf numFmtId="10" fontId="1" fillId="0" borderId="1" xfId="4" applyNumberFormat="1" applyBorder="1" applyAlignment="1">
      <alignment horizontal="right"/>
    </xf>
    <xf numFmtId="5" fontId="1" fillId="0" borderId="1" xfId="7" applyNumberFormat="1" applyFont="1" applyFill="1" applyBorder="1"/>
    <xf numFmtId="164" fontId="1" fillId="0" borderId="1" xfId="15" applyNumberFormat="1" applyFont="1" applyFill="1" applyBorder="1"/>
    <xf numFmtId="10" fontId="1" fillId="0" borderId="1" xfId="12" applyNumberFormat="1" applyFont="1" applyFill="1" applyBorder="1"/>
    <xf numFmtId="10" fontId="1" fillId="0" borderId="1" xfId="3" applyNumberFormat="1" applyFont="1" applyFill="1" applyBorder="1"/>
    <xf numFmtId="164" fontId="1" fillId="3" borderId="1" xfId="4" applyNumberFormat="1" applyFill="1" applyBorder="1" applyAlignment="1">
      <alignment horizontal="right"/>
    </xf>
    <xf numFmtId="5" fontId="1" fillId="3" borderId="1" xfId="4" applyNumberFormat="1" applyFill="1" applyBorder="1" applyAlignment="1">
      <alignment horizontal="right"/>
    </xf>
    <xf numFmtId="10" fontId="1" fillId="3" borderId="1" xfId="4" applyNumberFormat="1" applyFill="1" applyBorder="1" applyAlignment="1">
      <alignment horizontal="right"/>
    </xf>
    <xf numFmtId="0" fontId="1" fillId="0" borderId="1" xfId="4" applyBorder="1"/>
    <xf numFmtId="0" fontId="5" fillId="0" borderId="1" xfId="16" applyFont="1" applyBorder="1"/>
    <xf numFmtId="164" fontId="1" fillId="0" borderId="1" xfId="16" applyNumberFormat="1" applyBorder="1" applyAlignment="1">
      <alignment horizontal="right"/>
    </xf>
    <xf numFmtId="5" fontId="1" fillId="0" borderId="1" xfId="16" applyNumberFormat="1" applyBorder="1" applyAlignment="1">
      <alignment horizontal="right"/>
    </xf>
    <xf numFmtId="0" fontId="1" fillId="0" borderId="0" xfId="4" applyAlignment="1">
      <alignment horizontal="right"/>
    </xf>
    <xf numFmtId="164" fontId="1" fillId="0" borderId="0" xfId="15" applyNumberFormat="1" applyFont="1" applyAlignment="1"/>
    <xf numFmtId="164" fontId="1" fillId="0" borderId="0" xfId="12" applyNumberFormat="1" applyFont="1" applyAlignment="1"/>
    <xf numFmtId="164" fontId="1" fillId="0" borderId="0" xfId="9" applyNumberFormat="1" applyFont="1" applyBorder="1"/>
    <xf numFmtId="9" fontId="1" fillId="0" borderId="0" xfId="12" applyFont="1" applyBorder="1"/>
    <xf numFmtId="37" fontId="1" fillId="0" borderId="0" xfId="4" applyNumberFormat="1"/>
    <xf numFmtId="0" fontId="2" fillId="0" borderId="4" xfId="4" applyFont="1" applyBorder="1" applyAlignment="1">
      <alignment horizontal="center" wrapText="1"/>
    </xf>
    <xf numFmtId="0" fontId="2" fillId="0" borderId="0" xfId="4" applyFont="1" applyAlignment="1">
      <alignment horizontal="center" wrapText="1"/>
    </xf>
    <xf numFmtId="0" fontId="2" fillId="3" borderId="4" xfId="4" applyFont="1" applyFill="1" applyBorder="1" applyAlignment="1">
      <alignment horizontal="center"/>
    </xf>
    <xf numFmtId="0" fontId="1" fillId="0" borderId="0" xfId="4" applyAlignment="1">
      <alignment horizontal="left" wrapText="1"/>
    </xf>
    <xf numFmtId="0" fontId="2" fillId="0" borderId="0" xfId="4" applyFont="1" applyAlignment="1">
      <alignment horizontal="left"/>
    </xf>
    <xf numFmtId="49" fontId="23" fillId="0" borderId="0" xfId="17" applyNumberFormat="1" applyFont="1" applyAlignment="1">
      <alignment horizontal="center"/>
    </xf>
    <xf numFmtId="49" fontId="25" fillId="6" borderId="3" xfId="5" applyNumberFormat="1" applyFont="1" applyFill="1" applyBorder="1" applyProtection="1">
      <protection locked="0"/>
    </xf>
    <xf numFmtId="49" fontId="25" fillId="6" borderId="5" xfId="5" applyNumberFormat="1" applyFont="1" applyFill="1" applyBorder="1" applyProtection="1">
      <protection locked="0"/>
    </xf>
    <xf numFmtId="0" fontId="54" fillId="16" borderId="17" xfId="0" applyFont="1" applyFill="1" applyBorder="1" applyAlignment="1">
      <alignment horizontal="center" vertical="center"/>
    </xf>
    <xf numFmtId="6" fontId="54" fillId="0" borderId="17" xfId="0" applyNumberFormat="1" applyFont="1" applyBorder="1" applyAlignment="1">
      <alignment horizontal="right" vertical="center"/>
    </xf>
    <xf numFmtId="169" fontId="6" fillId="8" borderId="5" xfId="28" applyNumberFormat="1" applyFill="1" applyBorder="1" applyAlignment="1" applyProtection="1">
      <alignment horizontal="center" shrinkToFit="1"/>
      <protection locked="0"/>
    </xf>
    <xf numFmtId="49" fontId="28" fillId="8" borderId="5" xfId="22" applyNumberFormat="1" applyFill="1" applyBorder="1" applyAlignment="1" applyProtection="1">
      <alignment horizontal="center" shrinkToFit="1"/>
      <protection locked="0"/>
    </xf>
    <xf numFmtId="0" fontId="31" fillId="0" borderId="0" xfId="28" applyFont="1" applyAlignment="1">
      <alignment vertical="justify" wrapText="1"/>
    </xf>
    <xf numFmtId="0" fontId="32" fillId="0" borderId="0" xfId="28" applyFont="1" applyAlignment="1">
      <alignment vertical="justify" wrapText="1"/>
    </xf>
    <xf numFmtId="0" fontId="32" fillId="0" borderId="0" xfId="28" applyFont="1"/>
    <xf numFmtId="0" fontId="29" fillId="0" borderId="0" xfId="28" applyFont="1" applyAlignment="1">
      <alignment horizontal="center"/>
    </xf>
    <xf numFmtId="49" fontId="6" fillId="8" borderId="5" xfId="28" applyNumberFormat="1" applyFill="1" applyBorder="1" applyAlignment="1" applyProtection="1">
      <alignment horizontal="center" shrinkToFit="1"/>
      <protection locked="0"/>
    </xf>
    <xf numFmtId="0" fontId="6" fillId="8" borderId="5" xfId="28" applyFill="1" applyBorder="1" applyAlignment="1" applyProtection="1">
      <alignment horizontal="center" shrinkToFit="1"/>
      <protection locked="0"/>
    </xf>
    <xf numFmtId="3" fontId="6" fillId="8" borderId="5" xfId="28" applyNumberFormat="1" applyFill="1" applyBorder="1" applyAlignment="1" applyProtection="1">
      <alignment horizontal="center" shrinkToFit="1"/>
      <protection locked="0"/>
    </xf>
    <xf numFmtId="0" fontId="6" fillId="8" borderId="5" xfId="28" quotePrefix="1" applyFill="1" applyBorder="1" applyAlignment="1" applyProtection="1">
      <alignment horizontal="center" shrinkToFit="1"/>
      <protection locked="0"/>
    </xf>
    <xf numFmtId="49" fontId="6" fillId="8" borderId="5" xfId="28" applyNumberFormat="1" applyFill="1" applyBorder="1" applyAlignment="1" applyProtection="1">
      <alignment horizontal="left" shrinkToFit="1"/>
      <protection locked="0"/>
    </xf>
    <xf numFmtId="49" fontId="28" fillId="8" borderId="5" xfId="22" applyNumberFormat="1" applyFill="1" applyBorder="1" applyAlignment="1" applyProtection="1">
      <alignment horizontal="left" wrapText="1" shrinkToFit="1"/>
      <protection locked="0"/>
    </xf>
    <xf numFmtId="49" fontId="28" fillId="8" borderId="5" xfId="22" applyNumberFormat="1" applyFill="1" applyBorder="1" applyAlignment="1" applyProtection="1">
      <alignment horizontal="left" shrinkToFit="1"/>
      <protection locked="0"/>
    </xf>
    <xf numFmtId="169" fontId="6" fillId="8" borderId="3" xfId="28" applyNumberFormat="1" applyFill="1" applyBorder="1" applyAlignment="1" applyProtection="1">
      <alignment shrinkToFit="1"/>
      <protection locked="0"/>
    </xf>
    <xf numFmtId="169" fontId="6" fillId="8" borderId="5" xfId="28" applyNumberFormat="1" applyFill="1" applyBorder="1" applyAlignment="1" applyProtection="1">
      <alignment shrinkToFit="1"/>
      <protection locked="0"/>
    </xf>
    <xf numFmtId="49" fontId="28" fillId="8" borderId="3" xfId="22" applyNumberFormat="1" applyFill="1" applyBorder="1" applyAlignment="1" applyProtection="1">
      <alignment shrinkToFit="1"/>
      <protection locked="0"/>
    </xf>
    <xf numFmtId="49" fontId="6" fillId="8" borderId="5" xfId="28" applyNumberFormat="1" applyFill="1" applyBorder="1" applyAlignment="1" applyProtection="1">
      <alignment shrinkToFit="1"/>
      <protection locked="0"/>
    </xf>
    <xf numFmtId="49" fontId="6" fillId="8" borderId="3" xfId="28" applyNumberFormat="1" applyFill="1" applyBorder="1" applyAlignment="1" applyProtection="1">
      <alignment shrinkToFit="1"/>
      <protection locked="0"/>
    </xf>
    <xf numFmtId="1" fontId="6" fillId="8" borderId="3" xfId="28" quotePrefix="1" applyNumberFormat="1" applyFill="1" applyBorder="1" applyAlignment="1" applyProtection="1">
      <alignment shrinkToFit="1"/>
      <protection locked="0"/>
    </xf>
    <xf numFmtId="1" fontId="6" fillId="8" borderId="5" xfId="28" quotePrefix="1" applyNumberFormat="1" applyFill="1" applyBorder="1" applyAlignment="1" applyProtection="1">
      <alignment shrinkToFit="1"/>
      <protection locked="0"/>
    </xf>
    <xf numFmtId="3" fontId="6" fillId="8" borderId="3" xfId="28" applyNumberFormat="1" applyFill="1" applyBorder="1" applyAlignment="1" applyProtection="1">
      <alignment horizontal="left" shrinkToFit="1"/>
      <protection locked="0"/>
    </xf>
    <xf numFmtId="3" fontId="6" fillId="8" borderId="5" xfId="28" applyNumberFormat="1" applyFill="1" applyBorder="1" applyAlignment="1" applyProtection="1">
      <alignment horizontal="left" shrinkToFit="1"/>
      <protection locked="0"/>
    </xf>
    <xf numFmtId="169" fontId="6" fillId="8" borderId="5" xfId="28" applyNumberFormat="1" applyFill="1" applyBorder="1" applyAlignment="1" applyProtection="1">
      <alignment horizontal="left" shrinkToFit="1"/>
      <protection locked="0"/>
    </xf>
    <xf numFmtId="0" fontId="26" fillId="0" borderId="0" xfId="0" applyFont="1" applyAlignment="1">
      <alignment horizontal="center"/>
    </xf>
    <xf numFmtId="0" fontId="29" fillId="0" borderId="0" xfId="0" applyFont="1" applyAlignment="1">
      <alignment horizontal="center"/>
    </xf>
    <xf numFmtId="0" fontId="6" fillId="8" borderId="5" xfId="28" applyFill="1" applyBorder="1" applyAlignment="1" applyProtection="1">
      <alignment horizontal="left" shrinkToFit="1"/>
      <protection locked="0"/>
    </xf>
    <xf numFmtId="0" fontId="48" fillId="0" borderId="0" xfId="0" applyFont="1" applyAlignment="1">
      <alignment horizontal="center"/>
    </xf>
    <xf numFmtId="0" fontId="49" fillId="0" borderId="0" xfId="0" applyFont="1" applyAlignment="1">
      <alignment horizontal="center"/>
    </xf>
    <xf numFmtId="49" fontId="6" fillId="8" borderId="4" xfId="28" applyNumberFormat="1" applyFill="1" applyBorder="1" applyAlignment="1" applyProtection="1">
      <alignment horizontal="left" shrinkToFit="1"/>
      <protection locked="0"/>
    </xf>
    <xf numFmtId="1" fontId="6" fillId="8" borderId="4" xfId="28" applyNumberFormat="1" applyFill="1" applyBorder="1" applyAlignment="1" applyProtection="1">
      <alignment horizontal="left" shrinkToFit="1"/>
      <protection locked="0"/>
    </xf>
    <xf numFmtId="49" fontId="5" fillId="8" borderId="5" xfId="22" applyNumberFormat="1" applyFont="1" applyFill="1" applyBorder="1" applyAlignment="1" applyProtection="1">
      <alignment horizontal="left" shrinkToFit="1"/>
      <protection locked="0"/>
    </xf>
    <xf numFmtId="3" fontId="38" fillId="8" borderId="5" xfId="28" applyNumberFormat="1" applyFont="1" applyFill="1" applyBorder="1" applyAlignment="1" applyProtection="1">
      <alignment horizontal="left" shrinkToFit="1"/>
      <protection locked="0"/>
    </xf>
    <xf numFmtId="0" fontId="6" fillId="8" borderId="5" xfId="28" applyFill="1" applyBorder="1" applyAlignment="1">
      <alignment horizontal="left"/>
    </xf>
    <xf numFmtId="0" fontId="24" fillId="0" borderId="0" xfId="0" applyFont="1" applyAlignment="1">
      <alignment horizontal="center"/>
    </xf>
    <xf numFmtId="3" fontId="6" fillId="8" borderId="5" xfId="28" quotePrefix="1" applyNumberFormat="1" applyFill="1" applyBorder="1" applyAlignment="1" applyProtection="1">
      <alignment horizontal="left" shrinkToFit="1"/>
      <protection locked="0"/>
    </xf>
    <xf numFmtId="49" fontId="6" fillId="8" borderId="5" xfId="28" applyNumberFormat="1" applyFill="1" applyBorder="1" applyAlignment="1" applyProtection="1">
      <alignment horizontal="left" wrapText="1" shrinkToFit="1"/>
      <protection locked="0"/>
    </xf>
    <xf numFmtId="49" fontId="46" fillId="8" borderId="5" xfId="22" applyNumberFormat="1" applyFont="1" applyFill="1" applyBorder="1" applyAlignment="1" applyProtection="1">
      <alignment horizontal="left" wrapText="1" shrinkToFit="1"/>
      <protection locked="0"/>
    </xf>
    <xf numFmtId="49" fontId="34" fillId="8" borderId="5" xfId="28" applyNumberFormat="1" applyFont="1" applyFill="1" applyBorder="1" applyAlignment="1" applyProtection="1">
      <alignment horizontal="left" shrinkToFit="1"/>
      <protection locked="0"/>
    </xf>
    <xf numFmtId="0" fontId="34" fillId="8" borderId="5" xfId="28" applyFont="1" applyFill="1" applyBorder="1" applyAlignment="1" applyProtection="1">
      <alignment horizontal="left" shrinkToFit="1"/>
      <protection locked="0"/>
    </xf>
    <xf numFmtId="49" fontId="38" fillId="8" borderId="5" xfId="28" applyNumberFormat="1" applyFont="1" applyFill="1" applyBorder="1" applyAlignment="1" applyProtection="1">
      <alignment horizontal="left" shrinkToFit="1"/>
      <protection locked="0"/>
    </xf>
    <xf numFmtId="49" fontId="6" fillId="8" borderId="5" xfId="28" applyNumberFormat="1" applyFill="1" applyBorder="1" applyAlignment="1" applyProtection="1">
      <alignment horizontal="left" vertical="center" shrinkToFit="1"/>
      <protection locked="0"/>
    </xf>
    <xf numFmtId="49" fontId="30" fillId="8" borderId="5" xfId="22" applyNumberFormat="1" applyFont="1" applyFill="1" applyBorder="1" applyAlignment="1" applyProtection="1">
      <alignment horizontal="left" shrinkToFit="1"/>
      <protection locked="0"/>
    </xf>
  </cellXfs>
  <cellStyles count="32">
    <cellStyle name="Comma" xfId="1" builtinId="3"/>
    <cellStyle name="Comma 10" xfId="14" xr:uid="{9F522CAB-4B91-46D7-A048-42F9B3BE0CCE}"/>
    <cellStyle name="Comma 2" xfId="7" xr:uid="{3E327DB4-0E7C-40F6-91A2-5B123B5689AA}"/>
    <cellStyle name="Comma 3" xfId="13" xr:uid="{899E6C14-5609-4E77-9779-1AA298F921A8}"/>
    <cellStyle name="Comma 4" xfId="20" xr:uid="{3C21D22E-34F1-4AF2-977A-3135691E3487}"/>
    <cellStyle name="Comma 5" xfId="26" xr:uid="{D46F8485-AF0A-4FFB-BD6E-A53E101E1297}"/>
    <cellStyle name="Currency" xfId="2" builtinId="4"/>
    <cellStyle name="Currency 10 2" xfId="18" xr:uid="{FCA2D2AD-ED6D-42C6-9D92-618DC158A06B}"/>
    <cellStyle name="Currency 2" xfId="15" xr:uid="{E4C6D042-B240-424B-8AE8-2199E662F5D7}"/>
    <cellStyle name="Currency 2 5" xfId="6" xr:uid="{63BD4E96-D121-48BE-9E54-E143300B551A}"/>
    <cellStyle name="Currency 3" xfId="27" xr:uid="{9C86ABB2-0590-47E8-8366-46D011000B18}"/>
    <cellStyle name="Currency 4" xfId="31" xr:uid="{6571BEC2-0F39-4EFA-83D9-625B88D435E5}"/>
    <cellStyle name="Hyperlink" xfId="22" builtinId="8"/>
    <cellStyle name="Hyperlink 2" xfId="23" xr:uid="{04603B7D-0E33-497F-9367-A971A94EBA3D}"/>
    <cellStyle name="Hyperlink 3" xfId="25" xr:uid="{58CF9C0C-ACEE-413A-BAF4-035376DA178E}"/>
    <cellStyle name="Normal" xfId="0" builtinId="0"/>
    <cellStyle name="Normal 2" xfId="5" xr:uid="{6D5F61DD-3B08-47E0-ADA3-FEB15A003864}"/>
    <cellStyle name="Normal 2 2" xfId="28" xr:uid="{5C7C27F1-D3FB-409B-9143-251A108668C8}"/>
    <cellStyle name="Normal 2 3" xfId="29" xr:uid="{347AB2D9-9E0E-49FD-ADB4-9D59883B1BDF}"/>
    <cellStyle name="Normal 3" xfId="4" xr:uid="{4CE718E8-549A-4858-B062-E6FE51F899D1}"/>
    <cellStyle name="Normal 3 2" xfId="8" xr:uid="{BA0D479C-8CBD-4A7A-B013-63DA4672BF00}"/>
    <cellStyle name="Normal 3 3 2 2" xfId="11" xr:uid="{1877EF02-799A-461A-B2C6-D40FB23DDCDE}"/>
    <cellStyle name="Normal 3 5" xfId="16" xr:uid="{2F6D8771-94E2-4EA0-BA4E-410C453D94C7}"/>
    <cellStyle name="Normal 3 7" xfId="10" xr:uid="{E8F98536-20D7-4E93-8A68-0B13AEA070AC}"/>
    <cellStyle name="Normal 4" xfId="24" xr:uid="{ADB3E93F-A7F2-4F2C-866D-5A3F279D6179}"/>
    <cellStyle name="Normal 5" xfId="30" xr:uid="{22ABE837-B870-4027-AC4B-14086854F25D}"/>
    <cellStyle name="Normal 9" xfId="17" xr:uid="{EFE88A8E-F508-4D34-BE86-EA1D0F19A3B1}"/>
    <cellStyle name="Percent" xfId="3" builtinId="5"/>
    <cellStyle name="Percent 10" xfId="19" xr:uid="{BD4332A6-E946-4A29-B539-69D1F83820F3}"/>
    <cellStyle name="Percent 2" xfId="9" xr:uid="{02211FAF-C4B0-4AC4-A9C9-E624F1FE322C}"/>
    <cellStyle name="Percent 2 2" xfId="12" xr:uid="{353DBE4D-2C75-4CF3-83EC-FED390250308}"/>
    <cellStyle name="Percent 4" xfId="21" xr:uid="{6FE3CF30-36C1-4B31-9151-E3E622CA3136}"/>
  </cellStyles>
  <dxfs count="0"/>
  <tableStyles count="0" defaultTableStyle="TableStyleMedium2" defaultPivotStyle="PivotStyleLight16"/>
  <colors>
    <mruColors>
      <color rgb="FFA500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1.xml"/><Relationship Id="rId65"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FY2011 - FY2021 Rate Support for Charity Care</a:t>
            </a:r>
          </a:p>
          <a:p>
            <a:pPr>
              <a:defRPr/>
            </a:pPr>
            <a:r>
              <a:rPr lang="en-US" sz="1200" baseline="0"/>
              <a:t>(in millions)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628799531801311"/>
          <c:y val="0.22101851851851817"/>
          <c:w val="0.87140846625634893"/>
          <c:h val="0.5471602508019825"/>
        </c:manualLayout>
      </c:layout>
      <c:lineChart>
        <c:grouping val="standard"/>
        <c:varyColors val="0"/>
        <c:ser>
          <c:idx val="1"/>
          <c:order val="0"/>
          <c:spPr>
            <a:ln w="28575" cap="rnd">
              <a:solidFill>
                <a:schemeClr val="accent1"/>
              </a:solidFill>
              <a:round/>
            </a:ln>
            <a:effectLst/>
          </c:spPr>
          <c:marker>
            <c:symbol val="none"/>
          </c:marker>
          <c:cat>
            <c:numRef>
              <c:f>Figures!$A$22:$A$32</c:f>
              <c:numCache>
                <c:formatCode>General</c:formatCode>
                <c:ptCount val="11"/>
                <c:pt idx="0">
                  <c:v>2011</c:v>
                </c:pt>
                <c:pt idx="1">
                  <c:v>2012</c:v>
                </c:pt>
                <c:pt idx="2">
                  <c:v>2013</c:v>
                </c:pt>
                <c:pt idx="3">
                  <c:v>2014</c:v>
                </c:pt>
                <c:pt idx="4">
                  <c:v>2015</c:v>
                </c:pt>
                <c:pt idx="5">
                  <c:v>2016</c:v>
                </c:pt>
                <c:pt idx="6">
                  <c:v>2017</c:v>
                </c:pt>
                <c:pt idx="7">
                  <c:v>2018</c:v>
                </c:pt>
                <c:pt idx="8">
                  <c:v>2019</c:v>
                </c:pt>
                <c:pt idx="9">
                  <c:v>2020</c:v>
                </c:pt>
                <c:pt idx="10">
                  <c:v>2021</c:v>
                </c:pt>
              </c:numCache>
            </c:numRef>
          </c:cat>
          <c:val>
            <c:numRef>
              <c:f>Figures!$B$22:$B$32</c:f>
              <c:numCache>
                <c:formatCode>"$"#,##0_);[Red]\("$"#,##0\)</c:formatCode>
                <c:ptCount val="11"/>
                <c:pt idx="0">
                  <c:v>374.89863100000002</c:v>
                </c:pt>
                <c:pt idx="1">
                  <c:v>442.00888400000002</c:v>
                </c:pt>
                <c:pt idx="2">
                  <c:v>462.590418</c:v>
                </c:pt>
                <c:pt idx="3">
                  <c:v>463.908838</c:v>
                </c:pt>
                <c:pt idx="4">
                  <c:v>428.14220477171256</c:v>
                </c:pt>
                <c:pt idx="5">
                  <c:v>343.87975935278638</c:v>
                </c:pt>
                <c:pt idx="6">
                  <c:v>307.57909999999998</c:v>
                </c:pt>
                <c:pt idx="7">
                  <c:v>301.54137674841866</c:v>
                </c:pt>
                <c:pt idx="8">
                  <c:v>280.32054054977982</c:v>
                </c:pt>
                <c:pt idx="9">
                  <c:v>332.22753366999643</c:v>
                </c:pt>
                <c:pt idx="10">
                  <c:v>329.41137069998263</c:v>
                </c:pt>
              </c:numCache>
            </c:numRef>
          </c:val>
          <c:smooth val="0"/>
          <c:extLst>
            <c:ext xmlns:c16="http://schemas.microsoft.com/office/drawing/2014/chart" uri="{C3380CC4-5D6E-409C-BE32-E72D297353CC}">
              <c16:uniqueId val="{00000000-0427-4555-9D9A-851F26D48031}"/>
            </c:ext>
          </c:extLst>
        </c:ser>
        <c:dLbls>
          <c:showLegendKey val="0"/>
          <c:showVal val="0"/>
          <c:showCatName val="0"/>
          <c:showSerName val="0"/>
          <c:showPercent val="0"/>
          <c:showBubbleSize val="0"/>
        </c:dLbls>
        <c:smooth val="0"/>
        <c:axId val="114790784"/>
        <c:axId val="114792320"/>
      </c:lineChart>
      <c:catAx>
        <c:axId val="114790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792320"/>
        <c:crosses val="autoZero"/>
        <c:auto val="1"/>
        <c:lblAlgn val="ctr"/>
        <c:lblOffset val="100"/>
        <c:noMultiLvlLbl val="0"/>
      </c:catAx>
      <c:valAx>
        <c:axId val="11479232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790784"/>
        <c:crosses val="autoZero"/>
        <c:crossBetween val="between"/>
        <c:majorUnit val="10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389" l="0.70000000000000062" r="0.70000000000000062" t="0.7500000000000038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lgn="ctr">
              <a:defRPr sz="1400" b="0" i="0" u="none" strike="noStrike" kern="1200" spc="0" baseline="0">
                <a:solidFill>
                  <a:schemeClr val="tx1">
                    <a:lumMod val="65000"/>
                    <a:lumOff val="35000"/>
                  </a:schemeClr>
                </a:solidFill>
                <a:latin typeface="+mn-lt"/>
                <a:ea typeface="+mn-ea"/>
                <a:cs typeface="+mn-cs"/>
              </a:defRPr>
            </a:pPr>
            <a:r>
              <a:rPr lang="en-US"/>
              <a:t>FY2011-FY2021</a:t>
            </a:r>
            <a:r>
              <a:rPr lang="en-US" baseline="0"/>
              <a:t> Community Benefit Expense</a:t>
            </a:r>
          </a:p>
          <a:p>
            <a:pPr algn="ctr">
              <a:defRPr/>
            </a:pPr>
            <a:r>
              <a:rPr lang="en-US" sz="1100" baseline="0"/>
              <a:t>(in millions)</a:t>
            </a:r>
            <a:endParaRPr lang="en-US" sz="1100"/>
          </a:p>
        </c:rich>
      </c:tx>
      <c:layout>
        <c:manualLayout>
          <c:xMode val="edge"/>
          <c:yMode val="edge"/>
          <c:x val="0.22909102641278678"/>
          <c:y val="4.2424252546946442E-2"/>
        </c:manualLayout>
      </c:layout>
      <c:overlay val="0"/>
      <c:spPr>
        <a:noFill/>
        <a:ln>
          <a:noFill/>
        </a:ln>
        <a:effectLst/>
      </c:spPr>
      <c:txPr>
        <a:bodyPr rot="0" spcFirstLastPara="1" vertOverflow="ellipsis" vert="horz" wrap="square" anchor="t" anchorCtr="0"/>
        <a:lstStyle/>
        <a:p>
          <a:pPr algn="ct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Figures!$B$46</c:f>
              <c:strCache>
                <c:ptCount val="1"/>
                <c:pt idx="0">
                  <c:v>CB Expense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Figures!$A$47:$A$57</c:f>
              <c:numCache>
                <c:formatCode>General</c:formatCode>
                <c:ptCount val="11"/>
                <c:pt idx="0">
                  <c:v>2011</c:v>
                </c:pt>
                <c:pt idx="1">
                  <c:v>2012</c:v>
                </c:pt>
                <c:pt idx="2">
                  <c:v>2013</c:v>
                </c:pt>
                <c:pt idx="3">
                  <c:v>2014</c:v>
                </c:pt>
                <c:pt idx="4">
                  <c:v>2015</c:v>
                </c:pt>
                <c:pt idx="5">
                  <c:v>2016</c:v>
                </c:pt>
                <c:pt idx="6">
                  <c:v>2017</c:v>
                </c:pt>
                <c:pt idx="7">
                  <c:v>2018</c:v>
                </c:pt>
                <c:pt idx="8">
                  <c:v>2019</c:v>
                </c:pt>
                <c:pt idx="9">
                  <c:v>2020</c:v>
                </c:pt>
                <c:pt idx="10">
                  <c:v>2021</c:v>
                </c:pt>
              </c:numCache>
            </c:numRef>
          </c:cat>
          <c:val>
            <c:numRef>
              <c:f>Figures!$B$47:$B$57</c:f>
              <c:numCache>
                <c:formatCode>"$"#,##0_);[Red]\("$"#,##0\)</c:formatCode>
                <c:ptCount val="11"/>
                <c:pt idx="0">
                  <c:v>1203.0176928095927</c:v>
                </c:pt>
                <c:pt idx="1">
                  <c:v>1378.3019303951344</c:v>
                </c:pt>
                <c:pt idx="2">
                  <c:v>1505.554321846221</c:v>
                </c:pt>
                <c:pt idx="3">
                  <c:v>1498.125311</c:v>
                </c:pt>
                <c:pt idx="4">
                  <c:v>1477.3026560000001</c:v>
                </c:pt>
                <c:pt idx="5">
                  <c:v>1523.6728668289177</c:v>
                </c:pt>
                <c:pt idx="6">
                  <c:v>1562.5152129999999</c:v>
                </c:pt>
                <c:pt idx="7">
                  <c:v>1748.4416889699364</c:v>
                </c:pt>
                <c:pt idx="8">
                  <c:v>1885.9526062099812</c:v>
                </c:pt>
                <c:pt idx="9">
                  <c:v>1942.5955654023769</c:v>
                </c:pt>
                <c:pt idx="10">
                  <c:v>1952.5760372664199</c:v>
                </c:pt>
              </c:numCache>
            </c:numRef>
          </c:val>
          <c:extLst>
            <c:ext xmlns:c16="http://schemas.microsoft.com/office/drawing/2014/chart" uri="{C3380CC4-5D6E-409C-BE32-E72D297353CC}">
              <c16:uniqueId val="{00000000-EB6D-4405-BEED-002B6BBFB111}"/>
            </c:ext>
          </c:extLst>
        </c:ser>
        <c:ser>
          <c:idx val="1"/>
          <c:order val="1"/>
          <c:tx>
            <c:strRef>
              <c:f>Figures!$C$46</c:f>
              <c:strCache>
                <c:ptCount val="1"/>
                <c:pt idx="0">
                  <c:v>CB Expense Less Rate Support</c:v>
                </c:pt>
              </c:strCache>
            </c:strRef>
          </c:tx>
          <c:spPr>
            <a:solidFill>
              <a:srgbClr val="A5002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Figures!$A$47:$A$57</c:f>
              <c:numCache>
                <c:formatCode>General</c:formatCode>
                <c:ptCount val="11"/>
                <c:pt idx="0">
                  <c:v>2011</c:v>
                </c:pt>
                <c:pt idx="1">
                  <c:v>2012</c:v>
                </c:pt>
                <c:pt idx="2">
                  <c:v>2013</c:v>
                </c:pt>
                <c:pt idx="3">
                  <c:v>2014</c:v>
                </c:pt>
                <c:pt idx="4">
                  <c:v>2015</c:v>
                </c:pt>
                <c:pt idx="5">
                  <c:v>2016</c:v>
                </c:pt>
                <c:pt idx="6">
                  <c:v>2017</c:v>
                </c:pt>
                <c:pt idx="7">
                  <c:v>2018</c:v>
                </c:pt>
                <c:pt idx="8">
                  <c:v>2019</c:v>
                </c:pt>
                <c:pt idx="9">
                  <c:v>2020</c:v>
                </c:pt>
                <c:pt idx="10">
                  <c:v>2021</c:v>
                </c:pt>
              </c:numCache>
            </c:numRef>
          </c:cat>
          <c:val>
            <c:numRef>
              <c:f>Figures!$C$47:$C$57</c:f>
              <c:numCache>
                <c:formatCode>"$"#,##0_);[Red]\("$"#,##0\)</c:formatCode>
                <c:ptCount val="11"/>
                <c:pt idx="0">
                  <c:v>580.41547980959274</c:v>
                </c:pt>
                <c:pt idx="1">
                  <c:v>651.68681639513431</c:v>
                </c:pt>
                <c:pt idx="2">
                  <c:v>713.44631884622095</c:v>
                </c:pt>
                <c:pt idx="3">
                  <c:v>724.6684919999999</c:v>
                </c:pt>
                <c:pt idx="4">
                  <c:v>731.20237529969745</c:v>
                </c:pt>
                <c:pt idx="5">
                  <c:v>827.66715307936329</c:v>
                </c:pt>
                <c:pt idx="6">
                  <c:v>895.94846399999994</c:v>
                </c:pt>
                <c:pt idx="7">
                  <c:v>1086.1815225812397</c:v>
                </c:pt>
                <c:pt idx="8">
                  <c:v>1236.0251120028438</c:v>
                </c:pt>
                <c:pt idx="9">
                  <c:v>1236.8535759472793</c:v>
                </c:pt>
                <c:pt idx="10">
                  <c:v>1203.0787068146478</c:v>
                </c:pt>
              </c:numCache>
            </c:numRef>
          </c:val>
          <c:extLst>
            <c:ext xmlns:c16="http://schemas.microsoft.com/office/drawing/2014/chart" uri="{C3380CC4-5D6E-409C-BE32-E72D297353CC}">
              <c16:uniqueId val="{00000001-EB6D-4405-BEED-002B6BBFB111}"/>
            </c:ext>
          </c:extLst>
        </c:ser>
        <c:dLbls>
          <c:showLegendKey val="0"/>
          <c:showVal val="0"/>
          <c:showCatName val="0"/>
          <c:showSerName val="0"/>
          <c:showPercent val="0"/>
          <c:showBubbleSize val="0"/>
        </c:dLbls>
        <c:gapWidth val="219"/>
        <c:overlap val="-27"/>
        <c:axId val="115223936"/>
        <c:axId val="115225728"/>
      </c:barChart>
      <c:catAx>
        <c:axId val="115223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225728"/>
        <c:crosses val="autoZero"/>
        <c:auto val="1"/>
        <c:lblAlgn val="ctr"/>
        <c:lblOffset val="100"/>
        <c:noMultiLvlLbl val="0"/>
      </c:catAx>
      <c:valAx>
        <c:axId val="11522572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223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389" l="0.70000000000000062" r="0.70000000000000062" t="0.75000000000000389"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FY2011-FY2021   </a:t>
            </a:r>
          </a:p>
          <a:p>
            <a:pPr algn="ctr" rtl="0">
              <a:defRPr lang="en-US">
                <a:solidFill>
                  <a:sysClr val="windowText" lastClr="000000">
                    <a:lumMod val="65000"/>
                    <a:lumOff val="35000"/>
                  </a:sysClr>
                </a:solidFill>
              </a:defRPr>
            </a:pPr>
            <a:r>
              <a:rPr lang="en-US" sz="1400" b="0" i="0" u="none" strike="noStrike" kern="1200" spc="0" baseline="0">
                <a:solidFill>
                  <a:sysClr val="windowText" lastClr="000000">
                    <a:lumMod val="65000"/>
                    <a:lumOff val="35000"/>
                  </a:sysClr>
                </a:solidFill>
                <a:latin typeface="+mn-lt"/>
                <a:ea typeface="+mn-ea"/>
                <a:cs typeface="+mn-cs"/>
              </a:rPr>
              <a:t> % of Operating Expense</a:t>
            </a:r>
          </a:p>
        </c:rich>
      </c:tx>
      <c:layout>
        <c:manualLayout>
          <c:xMode val="edge"/>
          <c:yMode val="edge"/>
          <c:x val="0.34680060393694734"/>
          <c:y val="3.8639252563907864E-2"/>
        </c:manualLayout>
      </c:layout>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tx>
            <c:strRef>
              <c:f>Figures!$B$72</c:f>
              <c:strCache>
                <c:ptCount val="1"/>
                <c:pt idx="0">
                  <c:v>% of Operating Expense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Figures!$A$73:$A$83</c:f>
              <c:numCache>
                <c:formatCode>General</c:formatCode>
                <c:ptCount val="11"/>
                <c:pt idx="0">
                  <c:v>2011</c:v>
                </c:pt>
                <c:pt idx="1">
                  <c:v>2012</c:v>
                </c:pt>
                <c:pt idx="2">
                  <c:v>2013</c:v>
                </c:pt>
                <c:pt idx="3">
                  <c:v>2014</c:v>
                </c:pt>
                <c:pt idx="4">
                  <c:v>2015</c:v>
                </c:pt>
                <c:pt idx="5">
                  <c:v>2016</c:v>
                </c:pt>
                <c:pt idx="6">
                  <c:v>2017</c:v>
                </c:pt>
                <c:pt idx="7">
                  <c:v>2018</c:v>
                </c:pt>
                <c:pt idx="8">
                  <c:v>2019</c:v>
                </c:pt>
                <c:pt idx="9">
                  <c:v>2020</c:v>
                </c:pt>
                <c:pt idx="10">
                  <c:v>2021</c:v>
                </c:pt>
              </c:numCache>
            </c:numRef>
          </c:cat>
          <c:val>
            <c:numRef>
              <c:f>Figures!$B$73:$B$83</c:f>
              <c:numCache>
                <c:formatCode>0.0%</c:formatCode>
                <c:ptCount val="11"/>
                <c:pt idx="0">
                  <c:v>9.2258868211991238E-2</c:v>
                </c:pt>
                <c:pt idx="1">
                  <c:v>0.10185384603002651</c:v>
                </c:pt>
                <c:pt idx="2">
                  <c:v>0.1104988049791147</c:v>
                </c:pt>
                <c:pt idx="3">
                  <c:v>0.10620841479725308</c:v>
                </c:pt>
                <c:pt idx="4">
                  <c:v>0.10054156065587122</c:v>
                </c:pt>
                <c:pt idx="5">
                  <c:v>9.3308531422878357E-2</c:v>
                </c:pt>
                <c:pt idx="6">
                  <c:v>9.8678472055513361E-2</c:v>
                </c:pt>
                <c:pt idx="7">
                  <c:v>0.1083059645415272</c:v>
                </c:pt>
                <c:pt idx="8">
                  <c:v>0.11240129144569644</c:v>
                </c:pt>
                <c:pt idx="9">
                  <c:v>0.11328343960549368</c:v>
                </c:pt>
                <c:pt idx="10">
                  <c:v>0.10713076094640465</c:v>
                </c:pt>
              </c:numCache>
            </c:numRef>
          </c:val>
          <c:extLst>
            <c:ext xmlns:c16="http://schemas.microsoft.com/office/drawing/2014/chart" uri="{C3380CC4-5D6E-409C-BE32-E72D297353CC}">
              <c16:uniqueId val="{00000000-F7FD-4C60-BA76-69F6DC871636}"/>
            </c:ext>
          </c:extLst>
        </c:ser>
        <c:ser>
          <c:idx val="1"/>
          <c:order val="1"/>
          <c:tx>
            <c:strRef>
              <c:f>Figures!$C$72</c:f>
              <c:strCache>
                <c:ptCount val="1"/>
                <c:pt idx="0">
                  <c:v>% of Operating Expense less Rate Support</c:v>
                </c:pt>
              </c:strCache>
            </c:strRef>
          </c:tx>
          <c:spPr>
            <a:solidFill>
              <a:srgbClr val="A5002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Figures!$A$73:$A$83</c:f>
              <c:numCache>
                <c:formatCode>General</c:formatCode>
                <c:ptCount val="11"/>
                <c:pt idx="0">
                  <c:v>2011</c:v>
                </c:pt>
                <c:pt idx="1">
                  <c:v>2012</c:v>
                </c:pt>
                <c:pt idx="2">
                  <c:v>2013</c:v>
                </c:pt>
                <c:pt idx="3">
                  <c:v>2014</c:v>
                </c:pt>
                <c:pt idx="4">
                  <c:v>2015</c:v>
                </c:pt>
                <c:pt idx="5">
                  <c:v>2016</c:v>
                </c:pt>
                <c:pt idx="6">
                  <c:v>2017</c:v>
                </c:pt>
                <c:pt idx="7">
                  <c:v>2018</c:v>
                </c:pt>
                <c:pt idx="8">
                  <c:v>2019</c:v>
                </c:pt>
                <c:pt idx="9">
                  <c:v>2020</c:v>
                </c:pt>
                <c:pt idx="10">
                  <c:v>2021</c:v>
                </c:pt>
              </c:numCache>
            </c:numRef>
          </c:cat>
          <c:val>
            <c:numRef>
              <c:f>Figures!$C$73:$C$83</c:f>
              <c:numCache>
                <c:formatCode>0.0%</c:formatCode>
                <c:ptCount val="11"/>
                <c:pt idx="0">
                  <c:v>4.4511793617010624E-2</c:v>
                </c:pt>
                <c:pt idx="1">
                  <c:v>4.8158394901093353E-2</c:v>
                </c:pt>
                <c:pt idx="2">
                  <c:v>5.2362750719338144E-2</c:v>
                </c:pt>
                <c:pt idx="3">
                  <c:v>5.1374802377152994E-2</c:v>
                </c:pt>
                <c:pt idx="4">
                  <c:v>4.9763823052323575E-2</c:v>
                </c:pt>
                <c:pt idx="5">
                  <c:v>5.0685687355920786E-2</c:v>
                </c:pt>
                <c:pt idx="6">
                  <c:v>5.6582377395389953E-2</c:v>
                </c:pt>
                <c:pt idx="7">
                  <c:v>6.7282734226985441E-2</c:v>
                </c:pt>
                <c:pt idx="8">
                  <c:v>7.3666124159730187E-2</c:v>
                </c:pt>
                <c:pt idx="9">
                  <c:v>7.2127739745272174E-2</c:v>
                </c:pt>
                <c:pt idx="10">
                  <c:v>6.6008562473146695E-2</c:v>
                </c:pt>
              </c:numCache>
            </c:numRef>
          </c:val>
          <c:extLst>
            <c:ext xmlns:c16="http://schemas.microsoft.com/office/drawing/2014/chart" uri="{C3380CC4-5D6E-409C-BE32-E72D297353CC}">
              <c16:uniqueId val="{00000001-F7FD-4C60-BA76-69F6DC871636}"/>
            </c:ext>
          </c:extLst>
        </c:ser>
        <c:dLbls>
          <c:showLegendKey val="0"/>
          <c:showVal val="1"/>
          <c:showCatName val="0"/>
          <c:showSerName val="0"/>
          <c:showPercent val="0"/>
          <c:showBubbleSize val="0"/>
        </c:dLbls>
        <c:gapWidth val="219"/>
        <c:overlap val="-27"/>
        <c:axId val="115271936"/>
        <c:axId val="115679232"/>
      </c:barChart>
      <c:catAx>
        <c:axId val="115271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679232"/>
        <c:crosses val="autoZero"/>
        <c:auto val="1"/>
        <c:lblAlgn val="ctr"/>
        <c:lblOffset val="100"/>
        <c:noMultiLvlLbl val="0"/>
      </c:catAx>
      <c:valAx>
        <c:axId val="11567923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271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389" l="0.70000000000000062" r="0.70000000000000062" t="0.7500000000000038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Community</a:t>
            </a:r>
            <a:r>
              <a:rPr lang="en-US" baseline="0"/>
              <a:t> Benefit</a:t>
            </a:r>
            <a:r>
              <a:rPr lang="en-US"/>
              <a:t> Expenditures With and Without Rate Support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8642923204464371E-2"/>
          <c:y val="0.19968425809503534"/>
          <c:w val="0.90858596445359274"/>
          <c:h val="0.36858281992287234"/>
        </c:manualLayout>
      </c:layout>
      <c:barChart>
        <c:barDir val="col"/>
        <c:grouping val="clustered"/>
        <c:varyColors val="0"/>
        <c:ser>
          <c:idx val="0"/>
          <c:order val="0"/>
          <c:tx>
            <c:strRef>
              <c:f>Figures!$B$2</c:f>
              <c:strCache>
                <c:ptCount val="1"/>
                <c:pt idx="0">
                  <c:v>Percent of Total CB Expenditures</c:v>
                </c:pt>
              </c:strCache>
            </c:strRef>
          </c:tx>
          <c:spPr>
            <a:solidFill>
              <a:schemeClr val="accent1"/>
            </a:solidFill>
            <a:ln>
              <a:noFill/>
            </a:ln>
            <a:effectLst/>
          </c:spPr>
          <c:invertIfNegative val="0"/>
          <c:dLbls>
            <c:dLbl>
              <c:idx val="1"/>
              <c:layout>
                <c:manualLayout>
                  <c:x val="-6.7822732738114094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161-4F46-9C3B-51BE647FDA67}"/>
                </c:ext>
              </c:extLst>
            </c:dLbl>
            <c:dLbl>
              <c:idx val="2"/>
              <c:layout>
                <c:manualLayout>
                  <c:x val="5.0867049553584304E-3"/>
                  <c:y val="-1.09546432484572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161-4F46-9C3B-51BE647FDA67}"/>
                </c:ext>
              </c:extLst>
            </c:dLbl>
            <c:dLbl>
              <c:idx val="4"/>
              <c:layout>
                <c:manualLayout>
                  <c:x val="-5.0867049553586534E-3"/>
                  <c:y val="-5.477321624228623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161-4F46-9C3B-51BE647FDA6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Figures!$A$3:$A$11</c:f>
              <c:strCache>
                <c:ptCount val="9"/>
                <c:pt idx="0">
                  <c:v> Charity Care</c:v>
                </c:pt>
                <c:pt idx="1">
                  <c:v>Mission Driven Health Services</c:v>
                </c:pt>
                <c:pt idx="2">
                  <c:v>Health Professions Education</c:v>
                </c:pt>
                <c:pt idx="3">
                  <c:v>Community Health Services</c:v>
                </c:pt>
                <c:pt idx="4">
                  <c:v>Unreimbursed Medicaid Cost</c:v>
                </c:pt>
                <c:pt idx="5">
                  <c:v>Community Building</c:v>
                </c:pt>
                <c:pt idx="6">
                  <c:v>Financial Contributions</c:v>
                </c:pt>
                <c:pt idx="7">
                  <c:v>Research</c:v>
                </c:pt>
                <c:pt idx="8">
                  <c:v>Community Benefit Operations</c:v>
                </c:pt>
              </c:strCache>
            </c:strRef>
          </c:cat>
          <c:val>
            <c:numRef>
              <c:f>Figures!$B$3:$B$11</c:f>
              <c:numCache>
                <c:formatCode>0%</c:formatCode>
                <c:ptCount val="9"/>
                <c:pt idx="0">
                  <c:v>0.16900375189927808</c:v>
                </c:pt>
                <c:pt idx="1">
                  <c:v>0.36008959140706992</c:v>
                </c:pt>
                <c:pt idx="2">
                  <c:v>0.3300135188386662</c:v>
                </c:pt>
                <c:pt idx="3">
                  <c:v>7.5572225492574821E-2</c:v>
                </c:pt>
                <c:pt idx="4">
                  <c:v>2.8494791828598452E-2</c:v>
                </c:pt>
                <c:pt idx="5">
                  <c:v>1.3287948227491235E-2</c:v>
                </c:pt>
                <c:pt idx="6">
                  <c:v>8.346152392868577E-3</c:v>
                </c:pt>
                <c:pt idx="7">
                  <c:v>7.0853314137994065E-3</c:v>
                </c:pt>
                <c:pt idx="8">
                  <c:v>7.4233899265772974E-3</c:v>
                </c:pt>
              </c:numCache>
            </c:numRef>
          </c:val>
          <c:extLst>
            <c:ext xmlns:c16="http://schemas.microsoft.com/office/drawing/2014/chart" uri="{C3380CC4-5D6E-409C-BE32-E72D297353CC}">
              <c16:uniqueId val="{00000003-D161-4F46-9C3B-51BE647FDA67}"/>
            </c:ext>
          </c:extLst>
        </c:ser>
        <c:ser>
          <c:idx val="1"/>
          <c:order val="1"/>
          <c:tx>
            <c:strRef>
              <c:f>Figures!$C$2</c:f>
              <c:strCache>
                <c:ptCount val="1"/>
                <c:pt idx="0">
                  <c:v>Percent of Total CB Expenditures w/o Rate Support</c:v>
                </c:pt>
              </c:strCache>
            </c:strRef>
          </c:tx>
          <c:spPr>
            <a:solidFill>
              <a:srgbClr val="A50021"/>
            </a:solidFill>
            <a:ln>
              <a:noFill/>
            </a:ln>
            <a:effectLst/>
          </c:spPr>
          <c:invertIfNegative val="0"/>
          <c:dLbls>
            <c:dLbl>
              <c:idx val="0"/>
              <c:layout>
                <c:manualLayout>
                  <c:x val="6.7822732738113478E-3"/>
                  <c:y val="1.919218994316231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161-4F46-9C3B-51BE647FDA67}"/>
                </c:ext>
              </c:extLst>
            </c:dLbl>
            <c:dLbl>
              <c:idx val="1"/>
              <c:layout>
                <c:manualLayout>
                  <c:x val="3.3911366369056002E-3"/>
                  <c:y val="-2.51041007730007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161-4F46-9C3B-51BE647FDA67}"/>
                </c:ext>
              </c:extLst>
            </c:dLbl>
            <c:dLbl>
              <c:idx val="2"/>
              <c:layout>
                <c:manualLayout>
                  <c:x val="1.186897822916994E-2"/>
                  <c:y val="-8.215982436342852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161-4F46-9C3B-51BE647FDA67}"/>
                </c:ext>
              </c:extLst>
            </c:dLbl>
            <c:dLbl>
              <c:idx val="3"/>
              <c:layout>
                <c:manualLayout>
                  <c:x val="8.4778415922641247E-3"/>
                  <c:y val="-5.477321624228623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161-4F46-9C3B-51BE647FDA6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Figures!$A$3:$A$11</c:f>
              <c:strCache>
                <c:ptCount val="9"/>
                <c:pt idx="0">
                  <c:v> Charity Care</c:v>
                </c:pt>
                <c:pt idx="1">
                  <c:v>Mission Driven Health Services</c:v>
                </c:pt>
                <c:pt idx="2">
                  <c:v>Health Professions Education</c:v>
                </c:pt>
                <c:pt idx="3">
                  <c:v>Community Health Services</c:v>
                </c:pt>
                <c:pt idx="4">
                  <c:v>Unreimbursed Medicaid Cost</c:v>
                </c:pt>
                <c:pt idx="5">
                  <c:v>Community Building</c:v>
                </c:pt>
                <c:pt idx="6">
                  <c:v>Financial Contributions</c:v>
                </c:pt>
                <c:pt idx="7">
                  <c:v>Research</c:v>
                </c:pt>
                <c:pt idx="8">
                  <c:v>Community Benefit Operations</c:v>
                </c:pt>
              </c:strCache>
            </c:strRef>
          </c:cat>
          <c:val>
            <c:numRef>
              <c:f>Figures!$C$3:$C$11</c:f>
              <c:numCache>
                <c:formatCode>0%</c:formatCode>
                <c:ptCount val="9"/>
                <c:pt idx="0">
                  <c:v>4.8318167941566008E-4</c:v>
                </c:pt>
                <c:pt idx="1">
                  <c:v>0.58441920990179219</c:v>
                </c:pt>
                <c:pt idx="2">
                  <c:v>0.19591506641862377</c:v>
                </c:pt>
                <c:pt idx="3">
                  <c:v>0.11316782537441346</c:v>
                </c:pt>
                <c:pt idx="4">
                  <c:v>4.6246556757481974E-2</c:v>
                </c:pt>
                <c:pt idx="5">
                  <c:v>2.1566111294640096E-2</c:v>
                </c:pt>
                <c:pt idx="6">
                  <c:v>1.354566170074651E-2</c:v>
                </c:pt>
                <c:pt idx="7">
                  <c:v>1.1499370949781077E-2</c:v>
                </c:pt>
                <c:pt idx="8">
                  <c:v>1.2048034098210952E-2</c:v>
                </c:pt>
              </c:numCache>
            </c:numRef>
          </c:val>
          <c:extLst>
            <c:ext xmlns:c16="http://schemas.microsoft.com/office/drawing/2014/chart" uri="{C3380CC4-5D6E-409C-BE32-E72D297353CC}">
              <c16:uniqueId val="{00000008-D161-4F46-9C3B-51BE647FDA67}"/>
            </c:ext>
          </c:extLst>
        </c:ser>
        <c:dLbls>
          <c:showLegendKey val="0"/>
          <c:showVal val="1"/>
          <c:showCatName val="0"/>
          <c:showSerName val="0"/>
          <c:showPercent val="0"/>
          <c:showBubbleSize val="0"/>
        </c:dLbls>
        <c:gapWidth val="219"/>
        <c:overlap val="-27"/>
        <c:axId val="115730304"/>
        <c:axId val="115731840"/>
      </c:barChart>
      <c:catAx>
        <c:axId val="1157303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731840"/>
        <c:crosses val="autoZero"/>
        <c:auto val="1"/>
        <c:lblAlgn val="ctr"/>
        <c:lblOffset val="300"/>
        <c:noMultiLvlLbl val="0"/>
      </c:catAx>
      <c:valAx>
        <c:axId val="1157318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730304"/>
        <c:crosses val="autoZero"/>
        <c:crossBetween val="between"/>
      </c:valAx>
      <c:spPr>
        <a:noFill/>
        <a:ln>
          <a:noFill/>
        </a:ln>
        <a:effectLst/>
      </c:spPr>
    </c:plotArea>
    <c:legend>
      <c:legendPos val="b"/>
      <c:layout>
        <c:manualLayout>
          <c:xMode val="edge"/>
          <c:yMode val="edge"/>
          <c:x val="0.17851279226576003"/>
          <c:y val="0.90080438103663885"/>
          <c:w val="0.65455271670541171"/>
          <c:h val="5.368897849549911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389" l="0.70000000000000062" r="0.70000000000000062" t="0.75000000000000389" header="0.30000000000000032" footer="0.30000000000000032"/>
    <c:pageSetup orientation="portrait"/>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7</xdr:col>
      <xdr:colOff>129887</xdr:colOff>
      <xdr:row>16</xdr:row>
      <xdr:rowOff>189057</xdr:rowOff>
    </xdr:from>
    <xdr:to>
      <xdr:col>16</xdr:col>
      <xdr:colOff>590264</xdr:colOff>
      <xdr:row>34</xdr:row>
      <xdr:rowOff>189057</xdr:rowOff>
    </xdr:to>
    <xdr:graphicFrame macro="">
      <xdr:nvGraphicFramePr>
        <xdr:cNvPr id="2" name="Chart 1">
          <a:extLst>
            <a:ext uri="{FF2B5EF4-FFF2-40B4-BE49-F238E27FC236}">
              <a16:creationId xmlns:a16="http://schemas.microsoft.com/office/drawing/2014/main" id="{10776CD6-9464-4671-8C41-8201B61C39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161925</xdr:colOff>
      <xdr:row>44</xdr:row>
      <xdr:rowOff>180975</xdr:rowOff>
    </xdr:from>
    <xdr:to>
      <xdr:col>13</xdr:col>
      <xdr:colOff>515793</xdr:colOff>
      <xdr:row>62</xdr:row>
      <xdr:rowOff>58015</xdr:rowOff>
    </xdr:to>
    <xdr:graphicFrame macro="">
      <xdr:nvGraphicFramePr>
        <xdr:cNvPr id="3" name="Chart 2">
          <a:extLst>
            <a:ext uri="{FF2B5EF4-FFF2-40B4-BE49-F238E27FC236}">
              <a16:creationId xmlns:a16="http://schemas.microsoft.com/office/drawing/2014/main" id="{DFAD54D0-849A-413A-9021-2435C82210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190500</xdr:colOff>
      <xdr:row>63</xdr:row>
      <xdr:rowOff>104775</xdr:rowOff>
    </xdr:from>
    <xdr:to>
      <xdr:col>13</xdr:col>
      <xdr:colOff>480826</xdr:colOff>
      <xdr:row>80</xdr:row>
      <xdr:rowOff>119412</xdr:rowOff>
    </xdr:to>
    <xdr:graphicFrame macro="">
      <xdr:nvGraphicFramePr>
        <xdr:cNvPr id="4" name="Chart 3">
          <a:extLst>
            <a:ext uri="{FF2B5EF4-FFF2-40B4-BE49-F238E27FC236}">
              <a16:creationId xmlns:a16="http://schemas.microsoft.com/office/drawing/2014/main" id="{2E3F90A0-5B95-4121-B691-DDEC5E481B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1152524</xdr:colOff>
      <xdr:row>1</xdr:row>
      <xdr:rowOff>56356</xdr:rowOff>
    </xdr:from>
    <xdr:to>
      <xdr:col>11</xdr:col>
      <xdr:colOff>256524</xdr:colOff>
      <xdr:row>12</xdr:row>
      <xdr:rowOff>171449</xdr:rowOff>
    </xdr:to>
    <xdr:graphicFrame macro="">
      <xdr:nvGraphicFramePr>
        <xdr:cNvPr id="5" name="Chart 4">
          <a:extLst>
            <a:ext uri="{FF2B5EF4-FFF2-40B4-BE49-F238E27FC236}">
              <a16:creationId xmlns:a16="http://schemas.microsoft.com/office/drawing/2014/main" id="{1AB81503-6D94-4A62-AB97-D0182F2F1A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0.04846</cdr:x>
      <cdr:y>0.87404</cdr:y>
    </cdr:from>
    <cdr:to>
      <cdr:x>0.19751</cdr:x>
      <cdr:y>1</cdr:y>
    </cdr:to>
    <cdr:sp macro="" textlink="">
      <cdr:nvSpPr>
        <cdr:cNvPr id="2" name="TextBox 1"/>
        <cdr:cNvSpPr txBox="1"/>
      </cdr:nvSpPr>
      <cdr:spPr>
        <a:xfrm xmlns:a="http://schemas.openxmlformats.org/drawingml/2006/main">
          <a:off x="297296" y="3554916"/>
          <a:ext cx="914400" cy="51233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0.03576</cdr:x>
      <cdr:y>0.94428</cdr:y>
    </cdr:from>
    <cdr:to>
      <cdr:x>0.1848</cdr:x>
      <cdr:y>1</cdr:y>
    </cdr:to>
    <cdr:sp macro="" textlink="">
      <cdr:nvSpPr>
        <cdr:cNvPr id="3" name="TextBox 2"/>
        <cdr:cNvSpPr txBox="1"/>
      </cdr:nvSpPr>
      <cdr:spPr>
        <a:xfrm xmlns:a="http://schemas.openxmlformats.org/drawingml/2006/main">
          <a:off x="271988" y="4127500"/>
          <a:ext cx="1133588" cy="24353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900"/>
        </a:p>
      </cdr:txBody>
    </cdr:sp>
  </cdr:relSizeAnchor>
</c:userShapes>
</file>

<file path=xl/externalLinks/_rels/externalLink1.xml.rels><?xml version="1.0" encoding="UTF-8" standalone="yes"?>
<Relationships xmlns="http://schemas.openxmlformats.org/package/2006/relationships"><Relationship Id="rId1" Type="http://schemas.microsoft.com/office/2006/relationships/xlExternalLinkPath/xlPathMissing" Target="H1_H4%20Inpu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1_H4 Input"/>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mailto:mrosenbaum@umm.edu"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sabra.wilson@umm.edu"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mcbrik@holycrosshealth.org"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HJACOBS@FREDERICK.HEALTH"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mailto:cohler@umm.edu"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mailto:tiebert@jhu.edu"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jsessa@lifebridgehealth.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mailto:jsessa@lifebridgehealth.org"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mailto:JPourahm@adventisthealthcare.com"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mailto:kackerman@gcmh.com"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mailto:Beth.E.Kelly@MedStar.net"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mailto:jon.mitchell@tidalhealth.org"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mailto:msanfuentes@jhmi.edu"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mailto:nmargai@aahs.org"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mailto:Beth.e.Kelly@medstar.net"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mailto:perrinsm@upmc.edu"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mailto:Beth.E.Kelly@medstar.net"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mailto:katie.w.coombes@christianacare.org"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mailto:jsessa@lifebridgehealth.org"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mailto:Beth.E.Kelly@medstar.net"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mailto:jclague1@umm.edu" TargetMode="Externa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mailto:jsessa@lifebridgehealth.org"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mailto:Al.Pietsch@umm.edu" TargetMode="Externa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mailto:fmoll1@jhmi.edu"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mailto:cohler@umm.edu"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mailto:ccrabbs@aahs.org" TargetMode="External"/></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mailto:Jpourahm@adventisthealthcare.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mailto:mtodd@atlanticgeneral.org"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mailto:beth.e.kelly@medstar.net"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mailto:paulnicholson@umm.edu"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mailto:Jsessa@lifebridgehealth.org"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mailto:mcbrik@holycrosshealth.org" TargetMode="External"/></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mailto:Jpourahm@adventisthealthcare.com"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mailto:Sabrina.Grega@sheppardpratt.org"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mailto:ccrabbs@aahs.org" TargetMode="External"/></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Allen.Twigg@meritushealth.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D9918-EA1C-4D62-85AA-9342B4066055}">
  <sheetPr codeName="Sheet2">
    <pageSetUpPr fitToPage="1"/>
  </sheetPr>
  <dimension ref="A1:H55"/>
  <sheetViews>
    <sheetView tabSelected="1" workbookViewId="0">
      <selection activeCell="A8" sqref="A8"/>
    </sheetView>
  </sheetViews>
  <sheetFormatPr defaultColWidth="9.26171875" defaultRowHeight="14.4" x14ac:dyDescent="0.55000000000000004"/>
  <cols>
    <col min="1" max="1" width="18.68359375" style="3" customWidth="1"/>
    <col min="2" max="2" width="52" style="3" bestFit="1" customWidth="1"/>
    <col min="3" max="3" width="13.68359375" style="2" bestFit="1" customWidth="1"/>
    <col min="4" max="4" width="13.26171875" style="2" bestFit="1" customWidth="1"/>
    <col min="5" max="5" width="13.26171875" style="2" customWidth="1"/>
    <col min="6" max="6" width="15.26171875" style="3" bestFit="1" customWidth="1"/>
    <col min="7" max="8" width="9.26171875" style="3"/>
    <col min="9" max="9" width="10.26171875" style="3" bestFit="1" customWidth="1"/>
    <col min="10" max="13" width="9.26171875" style="3"/>
    <col min="14" max="14" width="10.26171875" style="3" bestFit="1" customWidth="1"/>
    <col min="15" max="15" width="15.26171875" style="3" bestFit="1" customWidth="1"/>
    <col min="16" max="16384" width="9.26171875" style="3"/>
  </cols>
  <sheetData>
    <row r="1" spans="1:8" x14ac:dyDescent="0.55000000000000004">
      <c r="A1" s="1" t="s">
        <v>715</v>
      </c>
      <c r="B1" s="1"/>
    </row>
    <row r="2" spans="1:8" s="7" customFormat="1" ht="43.2" x14ac:dyDescent="0.55000000000000004">
      <c r="A2" s="4" t="s">
        <v>0</v>
      </c>
      <c r="B2" s="4" t="s">
        <v>1</v>
      </c>
      <c r="C2" s="5" t="s">
        <v>2</v>
      </c>
      <c r="D2" s="5" t="s">
        <v>3</v>
      </c>
      <c r="E2" s="5" t="s">
        <v>719</v>
      </c>
      <c r="F2" s="4" t="s">
        <v>4</v>
      </c>
      <c r="G2" s="6"/>
    </row>
    <row r="3" spans="1:8" s="7" customFormat="1" x14ac:dyDescent="0.55000000000000004">
      <c r="A3" s="8">
        <v>210001</v>
      </c>
      <c r="B3" s="8" t="s">
        <v>5</v>
      </c>
      <c r="C3" s="9">
        <v>3502400</v>
      </c>
      <c r="D3" s="9">
        <v>369067.10000000003</v>
      </c>
      <c r="E3" s="9">
        <v>369067</v>
      </c>
      <c r="F3" s="10">
        <f>C3+D3+E3</f>
        <v>4240534.0999999996</v>
      </c>
      <c r="G3" s="3"/>
    </row>
    <row r="4" spans="1:8" s="7" customFormat="1" x14ac:dyDescent="0.55000000000000004">
      <c r="A4" s="11" t="s">
        <v>6</v>
      </c>
      <c r="B4" s="8" t="s">
        <v>7</v>
      </c>
      <c r="C4" s="9">
        <v>128109106.84954114</v>
      </c>
      <c r="D4" s="9">
        <v>1557658.2</v>
      </c>
      <c r="E4" s="9">
        <v>1557658</v>
      </c>
      <c r="F4" s="10">
        <f t="shared" ref="F4:F5" si="0">C4+D4+E4</f>
        <v>131224423.04954115</v>
      </c>
      <c r="G4" s="3"/>
    </row>
    <row r="5" spans="1:8" s="7" customFormat="1" x14ac:dyDescent="0.55000000000000004">
      <c r="A5" s="11" t="s">
        <v>8</v>
      </c>
      <c r="B5" s="8" t="s">
        <v>9</v>
      </c>
      <c r="C5" s="9">
        <v>5333622.3581779627</v>
      </c>
      <c r="D5" s="9">
        <v>398235.4</v>
      </c>
      <c r="E5" s="9">
        <v>398235</v>
      </c>
      <c r="F5" s="10">
        <f t="shared" si="0"/>
        <v>6130092.7581779631</v>
      </c>
      <c r="G5" s="3"/>
      <c r="H5" s="20"/>
    </row>
    <row r="6" spans="1:8" s="7" customFormat="1" x14ac:dyDescent="0.55000000000000004">
      <c r="A6" s="8">
        <v>210004</v>
      </c>
      <c r="B6" s="8" t="s">
        <v>10</v>
      </c>
      <c r="C6" s="9">
        <v>2432375.1135000004</v>
      </c>
      <c r="D6" s="12">
        <v>518074.4</v>
      </c>
      <c r="E6" s="12">
        <v>518074.4</v>
      </c>
      <c r="F6" s="10">
        <f t="shared" ref="F6:F53" si="1">C6+D6+E6</f>
        <v>3468523.9135000003</v>
      </c>
      <c r="G6" s="3"/>
    </row>
    <row r="7" spans="1:8" s="7" customFormat="1" x14ac:dyDescent="0.55000000000000004">
      <c r="A7" s="8">
        <v>210005</v>
      </c>
      <c r="B7" s="8" t="s">
        <v>11</v>
      </c>
      <c r="C7" s="9">
        <v>0</v>
      </c>
      <c r="D7" s="12">
        <v>354397.7</v>
      </c>
      <c r="E7" s="12">
        <v>354397.7</v>
      </c>
      <c r="F7" s="10">
        <f t="shared" si="1"/>
        <v>708795.4</v>
      </c>
      <c r="G7" s="3"/>
    </row>
    <row r="8" spans="1:8" s="7" customFormat="1" x14ac:dyDescent="0.55000000000000004">
      <c r="A8" s="8">
        <v>210006</v>
      </c>
      <c r="B8" s="8" t="s">
        <v>12</v>
      </c>
      <c r="C8" s="9">
        <v>0</v>
      </c>
      <c r="D8" s="12">
        <v>108110.1</v>
      </c>
      <c r="E8" s="12">
        <v>108110.1</v>
      </c>
      <c r="F8" s="10">
        <f t="shared" si="1"/>
        <v>216220.2</v>
      </c>
      <c r="G8" s="3"/>
    </row>
    <row r="9" spans="1:8" s="7" customFormat="1" x14ac:dyDescent="0.55000000000000004">
      <c r="A9" s="8">
        <v>210008</v>
      </c>
      <c r="B9" s="8" t="s">
        <v>13</v>
      </c>
      <c r="C9" s="9">
        <v>4893835.5060227271</v>
      </c>
      <c r="D9" s="12">
        <v>553679.5</v>
      </c>
      <c r="E9" s="12">
        <v>553680</v>
      </c>
      <c r="F9" s="10">
        <f t="shared" si="1"/>
        <v>6001195.0060227271</v>
      </c>
      <c r="G9" s="3"/>
    </row>
    <row r="10" spans="1:8" s="7" customFormat="1" x14ac:dyDescent="0.55000000000000004">
      <c r="A10" s="8">
        <v>210009</v>
      </c>
      <c r="B10" s="8" t="s">
        <v>14</v>
      </c>
      <c r="C10" s="13">
        <v>125062232.0771354</v>
      </c>
      <c r="D10" s="12">
        <v>2474648</v>
      </c>
      <c r="E10" s="12">
        <v>2474648</v>
      </c>
      <c r="F10" s="10">
        <f t="shared" si="1"/>
        <v>130011528.0771354</v>
      </c>
      <c r="G10" s="3"/>
    </row>
    <row r="11" spans="1:8" s="7" customFormat="1" x14ac:dyDescent="0.55000000000000004">
      <c r="A11" s="8">
        <v>210010</v>
      </c>
      <c r="B11" s="8" t="s">
        <v>15</v>
      </c>
      <c r="C11" s="13">
        <v>0</v>
      </c>
      <c r="D11" s="12">
        <v>45196.5</v>
      </c>
      <c r="E11" s="12">
        <v>45196.5</v>
      </c>
      <c r="F11" s="10">
        <f t="shared" si="1"/>
        <v>90393</v>
      </c>
      <c r="G11" s="3"/>
    </row>
    <row r="12" spans="1:8" s="7" customFormat="1" x14ac:dyDescent="0.55000000000000004">
      <c r="A12" s="8">
        <v>210011</v>
      </c>
      <c r="B12" s="8" t="s">
        <v>16</v>
      </c>
      <c r="C12" s="13">
        <v>7239785.0069185011</v>
      </c>
      <c r="D12" s="12">
        <v>430110.5</v>
      </c>
      <c r="E12" s="12">
        <v>430110.5</v>
      </c>
      <c r="F12" s="10">
        <f t="shared" si="1"/>
        <v>8100006.0069185011</v>
      </c>
      <c r="G12" s="3"/>
    </row>
    <row r="13" spans="1:8" s="7" customFormat="1" x14ac:dyDescent="0.55000000000000004">
      <c r="A13" s="8">
        <v>210012</v>
      </c>
      <c r="B13" s="8" t="s">
        <v>17</v>
      </c>
      <c r="C13" s="13">
        <v>19450627.834635604</v>
      </c>
      <c r="D13" s="12">
        <v>790819</v>
      </c>
      <c r="E13" s="12">
        <v>790819</v>
      </c>
      <c r="F13" s="10">
        <f t="shared" si="1"/>
        <v>21032265.834635604</v>
      </c>
      <c r="G13" s="3"/>
    </row>
    <row r="14" spans="1:8" s="7" customFormat="1" x14ac:dyDescent="0.55000000000000004">
      <c r="A14" s="8">
        <v>210013</v>
      </c>
      <c r="B14" s="8" t="s">
        <v>18</v>
      </c>
      <c r="C14" s="13">
        <v>0</v>
      </c>
      <c r="D14" s="12">
        <v>111845</v>
      </c>
      <c r="E14" s="12">
        <v>111845</v>
      </c>
      <c r="F14" s="10">
        <f t="shared" si="1"/>
        <v>223690</v>
      </c>
      <c r="G14" s="3"/>
    </row>
    <row r="15" spans="1:8" s="7" customFormat="1" x14ac:dyDescent="0.55000000000000004">
      <c r="A15" s="8">
        <v>210015</v>
      </c>
      <c r="B15" s="8" t="s">
        <v>19</v>
      </c>
      <c r="C15" s="13">
        <v>10768726.094649073</v>
      </c>
      <c r="D15" s="12">
        <v>554968.6</v>
      </c>
      <c r="E15" s="12">
        <v>554968.6</v>
      </c>
      <c r="F15" s="10">
        <f t="shared" si="1"/>
        <v>11878663.294649072</v>
      </c>
      <c r="G15" s="3"/>
    </row>
    <row r="16" spans="1:8" s="7" customFormat="1" x14ac:dyDescent="0.55000000000000004">
      <c r="A16" s="8">
        <v>210016</v>
      </c>
      <c r="B16" s="8" t="s">
        <v>20</v>
      </c>
      <c r="C16" s="13">
        <v>0</v>
      </c>
      <c r="D16" s="12">
        <v>302988.40000000002</v>
      </c>
      <c r="E16" s="12">
        <v>302988.40000000002</v>
      </c>
      <c r="F16" s="10">
        <f t="shared" si="1"/>
        <v>605976.80000000005</v>
      </c>
      <c r="G16" s="3"/>
    </row>
    <row r="17" spans="1:7" s="7" customFormat="1" x14ac:dyDescent="0.55000000000000004">
      <c r="A17" s="8">
        <v>210017</v>
      </c>
      <c r="B17" s="8" t="s">
        <v>21</v>
      </c>
      <c r="C17" s="13">
        <v>0</v>
      </c>
      <c r="D17" s="12">
        <v>63470.1</v>
      </c>
      <c r="E17" s="12">
        <v>63470.1</v>
      </c>
      <c r="F17" s="10">
        <f t="shared" si="1"/>
        <v>126940.2</v>
      </c>
      <c r="G17" s="3"/>
    </row>
    <row r="18" spans="1:7" s="7" customFormat="1" x14ac:dyDescent="0.55000000000000004">
      <c r="A18" s="8">
        <v>210018</v>
      </c>
      <c r="B18" s="8" t="s">
        <v>22</v>
      </c>
      <c r="C18" s="13">
        <v>0</v>
      </c>
      <c r="D18" s="12">
        <v>180055.4</v>
      </c>
      <c r="E18" s="12">
        <v>180055.4</v>
      </c>
      <c r="F18" s="10">
        <f t="shared" si="1"/>
        <v>360110.8</v>
      </c>
      <c r="G18" s="3"/>
    </row>
    <row r="19" spans="1:7" s="7" customFormat="1" x14ac:dyDescent="0.55000000000000004">
      <c r="A19" s="8">
        <v>210019</v>
      </c>
      <c r="B19" s="8" t="s">
        <v>23</v>
      </c>
      <c r="C19" s="13">
        <v>0</v>
      </c>
      <c r="D19" s="12">
        <v>455207.8</v>
      </c>
      <c r="E19" s="12">
        <v>455207.8</v>
      </c>
      <c r="F19" s="10">
        <f t="shared" si="1"/>
        <v>910415.6</v>
      </c>
      <c r="G19" s="3"/>
    </row>
    <row r="20" spans="1:7" s="7" customFormat="1" x14ac:dyDescent="0.55000000000000004">
      <c r="A20" s="8">
        <v>210022</v>
      </c>
      <c r="B20" s="8" t="s">
        <v>24</v>
      </c>
      <c r="C20" s="13">
        <v>531821.10035620374</v>
      </c>
      <c r="D20" s="12">
        <v>336635.10000000003</v>
      </c>
      <c r="E20" s="12">
        <v>336635.10000000003</v>
      </c>
      <c r="F20" s="10">
        <f t="shared" si="1"/>
        <v>1205091.3003562039</v>
      </c>
      <c r="G20" s="3"/>
    </row>
    <row r="21" spans="1:7" s="7" customFormat="1" x14ac:dyDescent="0.55000000000000004">
      <c r="A21" s="8">
        <v>210023</v>
      </c>
      <c r="B21" s="8" t="s">
        <v>25</v>
      </c>
      <c r="C21" s="13">
        <v>4368064.4138142802</v>
      </c>
      <c r="D21" s="12">
        <v>639656.5</v>
      </c>
      <c r="E21" s="12">
        <v>639656.5</v>
      </c>
      <c r="F21" s="10">
        <f t="shared" si="1"/>
        <v>5647377.4138142802</v>
      </c>
      <c r="G21" s="3"/>
    </row>
    <row r="22" spans="1:7" s="7" customFormat="1" x14ac:dyDescent="0.55000000000000004">
      <c r="A22" s="8">
        <v>210024</v>
      </c>
      <c r="B22" s="8" t="s">
        <v>26</v>
      </c>
      <c r="C22" s="13">
        <v>11605785.932645733</v>
      </c>
      <c r="D22" s="12">
        <v>420493</v>
      </c>
      <c r="E22" s="12">
        <v>420493</v>
      </c>
      <c r="F22" s="10">
        <f t="shared" si="1"/>
        <v>12446771.932645733</v>
      </c>
      <c r="G22" s="3"/>
    </row>
    <row r="23" spans="1:7" s="7" customFormat="1" x14ac:dyDescent="0.55000000000000004">
      <c r="A23" s="8">
        <v>210027</v>
      </c>
      <c r="B23" s="8" t="s">
        <v>27</v>
      </c>
      <c r="C23" s="13">
        <v>0</v>
      </c>
      <c r="D23" s="12">
        <v>336123.5</v>
      </c>
      <c r="E23" s="12">
        <v>336123.5</v>
      </c>
      <c r="F23" s="10">
        <f t="shared" si="1"/>
        <v>672247</v>
      </c>
      <c r="G23" s="3"/>
    </row>
    <row r="24" spans="1:7" s="7" customFormat="1" x14ac:dyDescent="0.55000000000000004">
      <c r="A24" s="8">
        <v>210028</v>
      </c>
      <c r="B24" s="8" t="s">
        <v>28</v>
      </c>
      <c r="C24" s="13">
        <v>0</v>
      </c>
      <c r="D24" s="12">
        <v>190672.2</v>
      </c>
      <c r="E24" s="12">
        <v>190672.2</v>
      </c>
      <c r="F24" s="10">
        <f t="shared" si="1"/>
        <v>381344.4</v>
      </c>
      <c r="G24" s="3"/>
    </row>
    <row r="25" spans="1:7" s="7" customFormat="1" x14ac:dyDescent="0.55000000000000004">
      <c r="A25" s="8">
        <v>210029</v>
      </c>
      <c r="B25" s="8" t="s">
        <v>29</v>
      </c>
      <c r="C25" s="13">
        <v>26222960.926284961</v>
      </c>
      <c r="D25" s="12">
        <v>691568.3</v>
      </c>
      <c r="E25" s="12">
        <v>691568.3</v>
      </c>
      <c r="F25" s="10">
        <f t="shared" si="1"/>
        <v>27606097.526284963</v>
      </c>
      <c r="G25" s="3"/>
    </row>
    <row r="26" spans="1:7" s="7" customFormat="1" x14ac:dyDescent="0.55000000000000004">
      <c r="A26" s="8">
        <v>210030</v>
      </c>
      <c r="B26" s="8" t="s">
        <v>30</v>
      </c>
      <c r="C26" s="13">
        <v>0</v>
      </c>
      <c r="D26" s="12">
        <v>50208.1</v>
      </c>
      <c r="E26" s="12">
        <v>50208.1</v>
      </c>
      <c r="F26" s="10">
        <f t="shared" si="1"/>
        <v>100416.2</v>
      </c>
      <c r="G26" s="3"/>
    </row>
    <row r="27" spans="1:7" s="7" customFormat="1" x14ac:dyDescent="0.55000000000000004">
      <c r="A27" s="8">
        <v>210032</v>
      </c>
      <c r="B27" s="8" t="s">
        <v>31</v>
      </c>
      <c r="C27" s="13">
        <v>0</v>
      </c>
      <c r="D27" s="12">
        <v>164257.70000000001</v>
      </c>
      <c r="E27" s="12">
        <v>164257.70000000001</v>
      </c>
      <c r="F27" s="10">
        <f t="shared" si="1"/>
        <v>328515.40000000002</v>
      </c>
      <c r="G27" s="3"/>
    </row>
    <row r="28" spans="1:7" s="7" customFormat="1" x14ac:dyDescent="0.55000000000000004">
      <c r="A28" s="8">
        <v>210033</v>
      </c>
      <c r="B28" s="8" t="s">
        <v>32</v>
      </c>
      <c r="C28" s="13">
        <v>0</v>
      </c>
      <c r="D28" s="12">
        <v>233904</v>
      </c>
      <c r="E28" s="12">
        <v>233904</v>
      </c>
      <c r="F28" s="10">
        <f t="shared" si="1"/>
        <v>467808</v>
      </c>
      <c r="G28" s="3"/>
    </row>
    <row r="29" spans="1:7" s="7" customFormat="1" x14ac:dyDescent="0.55000000000000004">
      <c r="A29" s="8">
        <v>210034</v>
      </c>
      <c r="B29" s="8" t="s">
        <v>33</v>
      </c>
      <c r="C29" s="13">
        <v>2256718.4282901748</v>
      </c>
      <c r="D29" s="12">
        <v>187755.80000000002</v>
      </c>
      <c r="E29" s="12">
        <v>187755.80000000002</v>
      </c>
      <c r="F29" s="10">
        <f t="shared" si="1"/>
        <v>2632230.0282901744</v>
      </c>
      <c r="G29" s="3"/>
    </row>
    <row r="30" spans="1:7" s="7" customFormat="1" x14ac:dyDescent="0.55000000000000004">
      <c r="A30" s="8">
        <v>210035</v>
      </c>
      <c r="B30" s="8" t="s">
        <v>34</v>
      </c>
      <c r="C30" s="13">
        <v>0</v>
      </c>
      <c r="D30" s="12">
        <v>155775.1</v>
      </c>
      <c r="E30" s="12">
        <v>155775.1</v>
      </c>
      <c r="F30" s="10">
        <f t="shared" si="1"/>
        <v>311550.2</v>
      </c>
      <c r="G30" s="3"/>
    </row>
    <row r="31" spans="1:7" s="7" customFormat="1" x14ac:dyDescent="0.55000000000000004">
      <c r="A31" s="8">
        <v>210037</v>
      </c>
      <c r="B31" s="8" t="s">
        <v>35</v>
      </c>
      <c r="C31" s="13">
        <v>0</v>
      </c>
      <c r="D31" s="12">
        <v>231728.1</v>
      </c>
      <c r="E31" s="12">
        <v>231728.1</v>
      </c>
      <c r="F31" s="10">
        <f t="shared" si="1"/>
        <v>463456.2</v>
      </c>
      <c r="G31" s="3"/>
    </row>
    <row r="32" spans="1:7" s="7" customFormat="1" x14ac:dyDescent="0.55000000000000004">
      <c r="A32" s="8">
        <v>210038</v>
      </c>
      <c r="B32" s="8" t="s">
        <v>36</v>
      </c>
      <c r="C32" s="13">
        <v>3690815.6101339846</v>
      </c>
      <c r="D32" s="12">
        <v>230207.7</v>
      </c>
      <c r="E32" s="12">
        <v>230207.7</v>
      </c>
      <c r="F32" s="10">
        <f t="shared" si="1"/>
        <v>4151231.010133985</v>
      </c>
      <c r="G32" s="3"/>
    </row>
    <row r="33" spans="1:7" s="7" customFormat="1" x14ac:dyDescent="0.55000000000000004">
      <c r="A33" s="8">
        <v>210039</v>
      </c>
      <c r="B33" s="8" t="s">
        <v>37</v>
      </c>
      <c r="C33" s="13">
        <v>0</v>
      </c>
      <c r="D33" s="12">
        <v>153315.1</v>
      </c>
      <c r="E33" s="12">
        <v>153315.1</v>
      </c>
      <c r="F33" s="10">
        <f t="shared" si="1"/>
        <v>306630.2</v>
      </c>
      <c r="G33" s="3"/>
    </row>
    <row r="34" spans="1:7" s="7" customFormat="1" x14ac:dyDescent="0.55000000000000004">
      <c r="A34" s="8">
        <v>210040</v>
      </c>
      <c r="B34" s="8" t="s">
        <v>38</v>
      </c>
      <c r="C34" s="13">
        <v>0</v>
      </c>
      <c r="D34" s="12">
        <v>271508.90000000002</v>
      </c>
      <c r="E34" s="12">
        <v>271508.90000000002</v>
      </c>
      <c r="F34" s="10">
        <f t="shared" si="1"/>
        <v>543017.80000000005</v>
      </c>
      <c r="G34" s="3"/>
    </row>
    <row r="35" spans="1:7" s="7" customFormat="1" x14ac:dyDescent="0.55000000000000004">
      <c r="A35" s="8">
        <v>210043</v>
      </c>
      <c r="B35" s="8" t="s">
        <v>39</v>
      </c>
      <c r="C35" s="9">
        <v>730772.74507387949</v>
      </c>
      <c r="D35" s="9">
        <v>448592.9</v>
      </c>
      <c r="E35" s="9">
        <v>448592.9</v>
      </c>
      <c r="F35" s="10">
        <f t="shared" si="1"/>
        <v>1627958.5450738794</v>
      </c>
      <c r="G35" s="3"/>
    </row>
    <row r="36" spans="1:7" s="7" customFormat="1" x14ac:dyDescent="0.55000000000000004">
      <c r="A36" s="8">
        <v>210044</v>
      </c>
      <c r="B36" s="8" t="s">
        <v>40</v>
      </c>
      <c r="C36" s="9">
        <v>8130175.6796619669</v>
      </c>
      <c r="D36" s="9">
        <v>477483.5</v>
      </c>
      <c r="E36" s="9">
        <v>477483.5</v>
      </c>
      <c r="F36" s="10">
        <f t="shared" si="1"/>
        <v>9085142.6796619669</v>
      </c>
      <c r="G36" s="3"/>
    </row>
    <row r="37" spans="1:7" s="7" customFormat="1" x14ac:dyDescent="0.55000000000000004">
      <c r="A37" s="8">
        <v>210045</v>
      </c>
      <c r="B37" s="8" t="s">
        <v>41</v>
      </c>
      <c r="C37" s="9">
        <v>0</v>
      </c>
      <c r="D37" s="9">
        <v>16060.2</v>
      </c>
      <c r="E37" s="9">
        <v>16060.2</v>
      </c>
      <c r="F37" s="10">
        <f t="shared" si="1"/>
        <v>32120.400000000001</v>
      </c>
      <c r="G37" s="3"/>
    </row>
    <row r="38" spans="1:7" s="7" customFormat="1" x14ac:dyDescent="0.55000000000000004">
      <c r="A38" s="8">
        <v>210048</v>
      </c>
      <c r="B38" s="8" t="s">
        <v>42</v>
      </c>
      <c r="C38" s="9">
        <v>0</v>
      </c>
      <c r="D38" s="9">
        <v>307991.7</v>
      </c>
      <c r="E38" s="9">
        <v>307991.7</v>
      </c>
      <c r="F38" s="10">
        <f t="shared" si="1"/>
        <v>615983.4</v>
      </c>
      <c r="G38" s="3"/>
    </row>
    <row r="39" spans="1:7" s="7" customFormat="1" x14ac:dyDescent="0.55000000000000004">
      <c r="A39" s="8">
        <v>210049</v>
      </c>
      <c r="B39" s="8" t="s">
        <v>43</v>
      </c>
      <c r="C39" s="9">
        <v>0</v>
      </c>
      <c r="D39" s="9">
        <v>323916.5</v>
      </c>
      <c r="E39" s="9">
        <v>323916.5</v>
      </c>
      <c r="F39" s="10">
        <f t="shared" si="1"/>
        <v>647833</v>
      </c>
      <c r="G39" s="3"/>
    </row>
    <row r="40" spans="1:7" s="7" customFormat="1" x14ac:dyDescent="0.55000000000000004">
      <c r="A40" s="8">
        <v>210051</v>
      </c>
      <c r="B40" s="8" t="s">
        <v>44</v>
      </c>
      <c r="C40" s="9">
        <v>0</v>
      </c>
      <c r="D40" s="9">
        <v>256445.2</v>
      </c>
      <c r="E40" s="9">
        <v>256445.2</v>
      </c>
      <c r="F40" s="10">
        <f t="shared" si="1"/>
        <v>512890.4</v>
      </c>
      <c r="G40" s="3"/>
    </row>
    <row r="41" spans="1:7" s="7" customFormat="1" x14ac:dyDescent="0.55000000000000004">
      <c r="A41" s="8">
        <v>210056</v>
      </c>
      <c r="B41" s="14" t="s">
        <v>45</v>
      </c>
      <c r="C41" s="9">
        <v>2953444.3136479068</v>
      </c>
      <c r="D41" s="9">
        <v>256874.4</v>
      </c>
      <c r="E41" s="9">
        <v>256874.4</v>
      </c>
      <c r="F41" s="10">
        <f t="shared" si="1"/>
        <v>3467193.1136479066</v>
      </c>
      <c r="G41" s="3"/>
    </row>
    <row r="42" spans="1:7" s="7" customFormat="1" x14ac:dyDescent="0.55000000000000004">
      <c r="A42" s="8">
        <v>210057</v>
      </c>
      <c r="B42" s="14" t="s">
        <v>46</v>
      </c>
      <c r="C42" s="9">
        <v>20870</v>
      </c>
      <c r="D42" s="9">
        <v>470396.8</v>
      </c>
      <c r="E42" s="9">
        <v>470396.8</v>
      </c>
      <c r="F42" s="10">
        <f t="shared" si="1"/>
        <v>961663.6</v>
      </c>
      <c r="G42" s="3"/>
    </row>
    <row r="43" spans="1:7" s="7" customFormat="1" x14ac:dyDescent="0.55000000000000004">
      <c r="A43" s="8">
        <v>210058</v>
      </c>
      <c r="B43" s="14" t="s">
        <v>47</v>
      </c>
      <c r="C43" s="9">
        <v>4095450.6815999993</v>
      </c>
      <c r="D43" s="9">
        <v>124572.6</v>
      </c>
      <c r="E43" s="9">
        <v>124572.6</v>
      </c>
      <c r="F43" s="10">
        <f t="shared" si="1"/>
        <v>4344595.881599999</v>
      </c>
      <c r="G43" s="3"/>
    </row>
    <row r="44" spans="1:7" s="7" customFormat="1" x14ac:dyDescent="0.55000000000000004">
      <c r="A44" s="8">
        <v>210060</v>
      </c>
      <c r="B44" s="14" t="s">
        <v>48</v>
      </c>
      <c r="C44" s="9">
        <v>0</v>
      </c>
      <c r="D44" s="9">
        <v>53090.934000000001</v>
      </c>
      <c r="E44" s="9">
        <v>53090.934000000001</v>
      </c>
      <c r="F44" s="10">
        <f t="shared" si="1"/>
        <v>106181.868</v>
      </c>
      <c r="G44" s="3"/>
    </row>
    <row r="45" spans="1:7" s="7" customFormat="1" x14ac:dyDescent="0.55000000000000004">
      <c r="A45" s="8">
        <v>210061</v>
      </c>
      <c r="B45" s="14" t="s">
        <v>49</v>
      </c>
      <c r="C45" s="9">
        <v>0</v>
      </c>
      <c r="D45" s="9">
        <v>110793</v>
      </c>
      <c r="E45" s="9">
        <v>110793</v>
      </c>
      <c r="F45" s="10">
        <f t="shared" si="1"/>
        <v>221586</v>
      </c>
      <c r="G45" s="3"/>
    </row>
    <row r="46" spans="1:7" s="7" customFormat="1" x14ac:dyDescent="0.55000000000000004">
      <c r="A46" s="8">
        <v>210062</v>
      </c>
      <c r="B46" s="14" t="s">
        <v>50</v>
      </c>
      <c r="C46" s="9">
        <v>0</v>
      </c>
      <c r="D46" s="9">
        <v>273965.09999999998</v>
      </c>
      <c r="E46" s="9">
        <v>273965.09999999998</v>
      </c>
      <c r="F46" s="10">
        <f t="shared" si="1"/>
        <v>547930.19999999995</v>
      </c>
      <c r="G46" s="3"/>
    </row>
    <row r="47" spans="1:7" s="7" customFormat="1" x14ac:dyDescent="0.55000000000000004">
      <c r="A47" s="8">
        <v>210063</v>
      </c>
      <c r="B47" s="14" t="s">
        <v>51</v>
      </c>
      <c r="C47" s="9">
        <v>0</v>
      </c>
      <c r="D47" s="9">
        <v>389173.60000000003</v>
      </c>
      <c r="E47" s="9">
        <v>389173.60000000003</v>
      </c>
      <c r="F47" s="10">
        <f t="shared" si="1"/>
        <v>778347.20000000007</v>
      </c>
      <c r="G47" s="3"/>
    </row>
    <row r="48" spans="1:7" s="7" customFormat="1" x14ac:dyDescent="0.55000000000000004">
      <c r="A48" s="8">
        <v>210064</v>
      </c>
      <c r="B48" s="14" t="s">
        <v>52</v>
      </c>
      <c r="C48" s="9">
        <v>0</v>
      </c>
      <c r="D48" s="9">
        <v>60471.3</v>
      </c>
      <c r="E48" s="9">
        <v>60471.3</v>
      </c>
      <c r="F48" s="10">
        <f t="shared" si="1"/>
        <v>120942.6</v>
      </c>
      <c r="G48" s="3"/>
    </row>
    <row r="49" spans="1:7" s="7" customFormat="1" x14ac:dyDescent="0.55000000000000004">
      <c r="A49" s="8">
        <v>210065</v>
      </c>
      <c r="B49" s="14" t="s">
        <v>53</v>
      </c>
      <c r="C49" s="9">
        <v>0</v>
      </c>
      <c r="D49" s="9">
        <v>111194.1</v>
      </c>
      <c r="E49" s="9">
        <v>111194.1</v>
      </c>
      <c r="F49" s="10">
        <f t="shared" si="1"/>
        <v>222388.2</v>
      </c>
      <c r="G49" s="3"/>
    </row>
    <row r="50" spans="1:7" s="7" customFormat="1" x14ac:dyDescent="0.55000000000000004">
      <c r="A50" s="8">
        <v>213300</v>
      </c>
      <c r="B50" s="14" t="s">
        <v>54</v>
      </c>
      <c r="C50" s="9">
        <v>0</v>
      </c>
      <c r="D50" s="9">
        <v>66001.5</v>
      </c>
      <c r="E50" s="9">
        <v>0</v>
      </c>
      <c r="F50" s="10">
        <f t="shared" si="1"/>
        <v>66001.5</v>
      </c>
      <c r="G50" s="3"/>
    </row>
    <row r="51" spans="1:7" s="7" customFormat="1" x14ac:dyDescent="0.55000000000000004">
      <c r="A51" s="8">
        <v>214000</v>
      </c>
      <c r="B51" s="14" t="s">
        <v>55</v>
      </c>
      <c r="C51" s="9">
        <v>2499789.6100000003</v>
      </c>
      <c r="D51" s="9">
        <v>159882.5</v>
      </c>
      <c r="E51" s="9">
        <v>0</v>
      </c>
      <c r="F51" s="10">
        <f t="shared" si="1"/>
        <v>2659672.1100000003</v>
      </c>
      <c r="G51" s="3"/>
    </row>
    <row r="52" spans="1:7" s="7" customFormat="1" x14ac:dyDescent="0.55000000000000004">
      <c r="A52" s="8">
        <v>214020</v>
      </c>
      <c r="B52" s="14" t="s">
        <v>694</v>
      </c>
      <c r="C52" s="9">
        <v>0</v>
      </c>
      <c r="D52" s="9">
        <v>0</v>
      </c>
      <c r="E52" s="9">
        <v>0</v>
      </c>
      <c r="F52" s="10">
        <f t="shared" si="1"/>
        <v>0</v>
      </c>
      <c r="G52" s="3"/>
    </row>
    <row r="53" spans="1:7" s="7" customFormat="1" x14ac:dyDescent="0.55000000000000004">
      <c r="A53" s="8">
        <v>213029</v>
      </c>
      <c r="B53" s="14" t="s">
        <v>56</v>
      </c>
      <c r="C53" s="9">
        <v>0</v>
      </c>
      <c r="D53" s="9">
        <v>63254.853999999999</v>
      </c>
      <c r="E53" s="9">
        <v>0</v>
      </c>
      <c r="F53" s="10">
        <f t="shared" si="1"/>
        <v>63254.853999999999</v>
      </c>
      <c r="G53" s="3"/>
    </row>
    <row r="54" spans="1:7" s="7" customFormat="1" x14ac:dyDescent="0.55000000000000004">
      <c r="A54" s="15"/>
      <c r="B54" s="16" t="s">
        <v>57</v>
      </c>
      <c r="C54" s="17">
        <f>SUM(C3:C53)</f>
        <v>373899380.28208959</v>
      </c>
      <c r="D54" s="17">
        <f>SUM(D3:D53)</f>
        <v>17532501.487999998</v>
      </c>
      <c r="E54" s="17">
        <f>SUM(E3:E53)</f>
        <v>17243362.434</v>
      </c>
      <c r="F54" s="18">
        <f>SUM(F3:F53)</f>
        <v>408675244.2040894</v>
      </c>
      <c r="G54" s="3"/>
    </row>
    <row r="55" spans="1:7" x14ac:dyDescent="0.55000000000000004">
      <c r="F55" s="2"/>
    </row>
  </sheetData>
  <pageMargins left="0.7" right="0.7" top="0.75" bottom="0.75" header="0.3" footer="0.3"/>
  <pageSetup scale="8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7988F-A09F-4449-934A-D9346C92C528}">
  <sheetPr codeName="Sheet11"/>
  <dimension ref="A1:I155"/>
  <sheetViews>
    <sheetView zoomScaleNormal="100" workbookViewId="0"/>
  </sheetViews>
  <sheetFormatPr defaultColWidth="9" defaultRowHeight="18" customHeight="1"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style="207"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497" t="s">
        <v>343</v>
      </c>
      <c r="D5" s="497"/>
      <c r="E5" s="497"/>
      <c r="F5" s="208"/>
    </row>
    <row r="6" spans="1:8" ht="18" customHeight="1" x14ac:dyDescent="0.55000000000000004">
      <c r="B6" s="180" t="s">
        <v>237</v>
      </c>
      <c r="C6" s="500" t="s">
        <v>344</v>
      </c>
      <c r="D6" s="498"/>
      <c r="E6" s="498"/>
      <c r="F6" s="209"/>
    </row>
    <row r="7" spans="1:8" ht="18" customHeight="1" x14ac:dyDescent="0.55000000000000004">
      <c r="B7" s="180" t="s">
        <v>238</v>
      </c>
      <c r="C7" s="499">
        <v>8755</v>
      </c>
      <c r="D7" s="499"/>
      <c r="E7" s="499"/>
      <c r="F7" s="210"/>
    </row>
    <row r="8" spans="1:8" ht="18" customHeight="1" x14ac:dyDescent="0.55000000000000004">
      <c r="C8" s="211"/>
      <c r="D8" s="211"/>
      <c r="E8" s="211"/>
      <c r="F8" s="212"/>
    </row>
    <row r="9" spans="1:8" ht="18" customHeight="1" x14ac:dyDescent="0.55000000000000004">
      <c r="B9" s="180" t="s">
        <v>239</v>
      </c>
      <c r="C9" s="497" t="s">
        <v>425</v>
      </c>
      <c r="D9" s="497"/>
      <c r="E9" s="497"/>
      <c r="F9" s="208"/>
    </row>
    <row r="10" spans="1:8" ht="18" customHeight="1" x14ac:dyDescent="0.55000000000000004">
      <c r="B10" s="180" t="s">
        <v>241</v>
      </c>
      <c r="C10" s="491" t="s">
        <v>426</v>
      </c>
      <c r="D10" s="491"/>
      <c r="E10" s="491"/>
      <c r="F10" s="213"/>
    </row>
    <row r="11" spans="1:8" ht="18" customHeight="1" x14ac:dyDescent="0.55000000000000004">
      <c r="B11" s="180" t="s">
        <v>243</v>
      </c>
      <c r="C11" s="492" t="s">
        <v>427</v>
      </c>
      <c r="D11" s="492"/>
      <c r="E11" s="492"/>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9" ht="18" customHeight="1" x14ac:dyDescent="0.55000000000000004">
      <c r="A17" s="183" t="s">
        <v>101</v>
      </c>
      <c r="B17" s="179" t="s">
        <v>102</v>
      </c>
    </row>
    <row r="18" spans="1:9" ht="18" customHeight="1" x14ac:dyDescent="0.55000000000000004">
      <c r="A18" s="180" t="s">
        <v>103</v>
      </c>
      <c r="B18" s="176" t="s">
        <v>104</v>
      </c>
      <c r="D18" s="214">
        <v>30530101.90122053</v>
      </c>
      <c r="E18" s="214"/>
      <c r="F18" s="214"/>
      <c r="G18" s="214">
        <v>25302437.25032533</v>
      </c>
      <c r="H18" s="215">
        <f>(D18+E18)-G18</f>
        <v>5227664.6508952007</v>
      </c>
    </row>
    <row r="19" spans="1:9" ht="45" customHeight="1" x14ac:dyDescent="0.55000000000000004">
      <c r="A19" s="178" t="s">
        <v>105</v>
      </c>
      <c r="B19" s="177"/>
      <c r="C19" s="177"/>
      <c r="D19" s="182" t="s">
        <v>99</v>
      </c>
      <c r="E19" s="182" t="s">
        <v>100</v>
      </c>
      <c r="F19" s="182" t="s">
        <v>431</v>
      </c>
      <c r="G19" s="182" t="s">
        <v>432</v>
      </c>
      <c r="H19" s="182" t="s">
        <v>244</v>
      </c>
    </row>
    <row r="20" spans="1:9" ht="18" customHeight="1" x14ac:dyDescent="0.55000000000000004">
      <c r="A20" s="183" t="s">
        <v>108</v>
      </c>
      <c r="B20" s="179" t="s">
        <v>109</v>
      </c>
    </row>
    <row r="21" spans="1:9" ht="18" customHeight="1" x14ac:dyDescent="0.55000000000000004">
      <c r="A21" s="180" t="s">
        <v>110</v>
      </c>
      <c r="B21" s="176" t="s">
        <v>111</v>
      </c>
      <c r="D21" s="184">
        <v>416700.076</v>
      </c>
      <c r="E21" s="216">
        <v>37503.006840000002</v>
      </c>
      <c r="F21" s="216"/>
      <c r="G21" s="184">
        <v>1380</v>
      </c>
      <c r="H21" s="423">
        <f>(D21+E21)-F21-G21</f>
        <v>452823.08283999999</v>
      </c>
    </row>
    <row r="22" spans="1:9" ht="18" customHeight="1" x14ac:dyDescent="0.55000000000000004">
      <c r="A22" s="180" t="s">
        <v>112</v>
      </c>
      <c r="B22" s="176" t="s">
        <v>113</v>
      </c>
      <c r="D22" s="184">
        <v>137779.20000000001</v>
      </c>
      <c r="E22" s="216">
        <v>74829.644291141754</v>
      </c>
      <c r="F22" s="216"/>
      <c r="G22" s="184">
        <v>0</v>
      </c>
      <c r="H22" s="423">
        <f t="shared" ref="H22:H34" si="0">(D22+E22)-F22-G22</f>
        <v>212608.84429114178</v>
      </c>
    </row>
    <row r="23" spans="1:9" ht="18" customHeight="1" x14ac:dyDescent="0.55000000000000004">
      <c r="A23" s="180" t="s">
        <v>114</v>
      </c>
      <c r="B23" s="176" t="s">
        <v>115</v>
      </c>
      <c r="D23" s="184">
        <v>0</v>
      </c>
      <c r="E23" s="216">
        <v>0</v>
      </c>
      <c r="F23" s="216"/>
      <c r="G23" s="184"/>
      <c r="H23" s="423">
        <f t="shared" si="0"/>
        <v>0</v>
      </c>
    </row>
    <row r="24" spans="1:9" ht="18" customHeight="1" x14ac:dyDescent="0.55000000000000004">
      <c r="A24" s="180" t="s">
        <v>116</v>
      </c>
      <c r="B24" s="176" t="s">
        <v>117</v>
      </c>
      <c r="D24" s="184">
        <v>0</v>
      </c>
      <c r="E24" s="216">
        <v>0</v>
      </c>
      <c r="F24" s="216"/>
      <c r="G24" s="184"/>
      <c r="H24" s="423">
        <f t="shared" si="0"/>
        <v>0</v>
      </c>
    </row>
    <row r="25" spans="1:9" ht="18" customHeight="1" x14ac:dyDescent="0.55000000000000004">
      <c r="A25" s="180" t="s">
        <v>118</v>
      </c>
      <c r="B25" s="176" t="s">
        <v>119</v>
      </c>
      <c r="D25" s="184">
        <v>108222.40000000001</v>
      </c>
      <c r="E25" s="216">
        <v>58776.968485327685</v>
      </c>
      <c r="F25" s="216"/>
      <c r="G25" s="184">
        <v>0</v>
      </c>
      <c r="H25" s="423">
        <f t="shared" si="0"/>
        <v>166999.36848532769</v>
      </c>
    </row>
    <row r="26" spans="1:9" ht="18" customHeight="1" x14ac:dyDescent="0.55000000000000004">
      <c r="A26" s="180" t="s">
        <v>120</v>
      </c>
      <c r="B26" s="176" t="s">
        <v>121</v>
      </c>
      <c r="D26" s="184">
        <v>0</v>
      </c>
      <c r="E26" s="216">
        <v>0</v>
      </c>
      <c r="F26" s="216"/>
      <c r="G26" s="184"/>
      <c r="H26" s="423">
        <f t="shared" si="0"/>
        <v>0</v>
      </c>
    </row>
    <row r="27" spans="1:9" ht="18" customHeight="1" x14ac:dyDescent="0.55000000000000004">
      <c r="A27" s="180" t="s">
        <v>122</v>
      </c>
      <c r="B27" s="176" t="s">
        <v>246</v>
      </c>
      <c r="D27" s="184">
        <v>0</v>
      </c>
      <c r="E27" s="216">
        <v>0</v>
      </c>
      <c r="F27" s="216"/>
      <c r="G27" s="184"/>
      <c r="H27" s="423">
        <f t="shared" si="0"/>
        <v>0</v>
      </c>
    </row>
    <row r="28" spans="1:9" ht="18" customHeight="1" x14ac:dyDescent="0.55000000000000004">
      <c r="A28" s="180" t="s">
        <v>124</v>
      </c>
      <c r="B28" s="176" t="s">
        <v>125</v>
      </c>
      <c r="D28" s="184">
        <v>99542.56</v>
      </c>
      <c r="E28" s="216">
        <v>8958.8303999999989</v>
      </c>
      <c r="F28" s="216"/>
      <c r="G28" s="184">
        <v>0</v>
      </c>
      <c r="H28" s="423">
        <f t="shared" si="0"/>
        <v>108501.3904</v>
      </c>
    </row>
    <row r="29" spans="1:9" ht="18" customHeight="1" x14ac:dyDescent="0.55000000000000004">
      <c r="A29" s="180" t="s">
        <v>126</v>
      </c>
      <c r="B29" s="176" t="s">
        <v>127</v>
      </c>
      <c r="D29" s="184">
        <v>607635</v>
      </c>
      <c r="E29" s="216">
        <v>54687.15</v>
      </c>
      <c r="F29" s="216"/>
      <c r="G29" s="184">
        <v>89478</v>
      </c>
      <c r="H29" s="423">
        <f t="shared" si="0"/>
        <v>572844.15</v>
      </c>
    </row>
    <row r="30" spans="1:9" ht="18" customHeight="1" x14ac:dyDescent="0.55000000000000004">
      <c r="A30" s="180" t="s">
        <v>128</v>
      </c>
      <c r="B30" s="193"/>
      <c r="D30" s="184"/>
      <c r="E30" s="216">
        <v>0</v>
      </c>
      <c r="F30" s="216"/>
      <c r="G30" s="184"/>
      <c r="H30" s="423">
        <f t="shared" si="0"/>
        <v>0</v>
      </c>
      <c r="I30" s="218"/>
    </row>
    <row r="31" spans="1:9" ht="18" customHeight="1" x14ac:dyDescent="0.55000000000000004">
      <c r="A31" s="180" t="s">
        <v>130</v>
      </c>
      <c r="B31" s="185"/>
      <c r="D31" s="184"/>
      <c r="E31" s="216">
        <v>0</v>
      </c>
      <c r="F31" s="216"/>
      <c r="G31" s="184"/>
      <c r="H31" s="423">
        <f t="shared" si="0"/>
        <v>0</v>
      </c>
    </row>
    <row r="32" spans="1:9" ht="18" customHeight="1" x14ac:dyDescent="0.55000000000000004">
      <c r="A32" s="180" t="s">
        <v>131</v>
      </c>
      <c r="B32" s="185"/>
      <c r="D32" s="184"/>
      <c r="E32" s="216">
        <v>0</v>
      </c>
      <c r="F32" s="216"/>
      <c r="G32" s="184"/>
      <c r="H32" s="423">
        <f t="shared" si="0"/>
        <v>0</v>
      </c>
    </row>
    <row r="33" spans="1:8" ht="18" customHeight="1" x14ac:dyDescent="0.55000000000000004">
      <c r="A33" s="180" t="s">
        <v>132</v>
      </c>
      <c r="B33" s="185"/>
      <c r="D33" s="184"/>
      <c r="E33" s="216">
        <v>0</v>
      </c>
      <c r="F33" s="216"/>
      <c r="G33" s="184"/>
      <c r="H33" s="423">
        <f t="shared" si="0"/>
        <v>0</v>
      </c>
    </row>
    <row r="34" spans="1:8" ht="18" customHeight="1" x14ac:dyDescent="0.55000000000000004">
      <c r="A34" s="180" t="s">
        <v>133</v>
      </c>
      <c r="B34" s="185"/>
      <c r="D34" s="184"/>
      <c r="E34" s="216">
        <v>0</v>
      </c>
      <c r="F34" s="216"/>
      <c r="G34" s="184"/>
      <c r="H34" s="423">
        <f t="shared" si="0"/>
        <v>0</v>
      </c>
    </row>
    <row r="35" spans="1:8" ht="18" customHeight="1" x14ac:dyDescent="0.55000000000000004">
      <c r="H35" s="186"/>
    </row>
    <row r="36" spans="1:8" ht="18" customHeight="1" x14ac:dyDescent="0.55000000000000004">
      <c r="A36" s="183" t="s">
        <v>134</v>
      </c>
      <c r="B36" s="179" t="s">
        <v>135</v>
      </c>
      <c r="C36" s="179" t="s">
        <v>248</v>
      </c>
      <c r="D36" s="423">
        <f>SUM(D21:D34)</f>
        <v>1369879.236</v>
      </c>
      <c r="E36" s="423">
        <f>SUM(E21:E34)</f>
        <v>234755.60001646943</v>
      </c>
      <c r="F36" s="423">
        <f>SUM(F21:F34)</f>
        <v>0</v>
      </c>
      <c r="G36" s="423">
        <f>SUM(G21:G34)</f>
        <v>90858</v>
      </c>
      <c r="H36" s="423">
        <f>SUM(H21:H34)</f>
        <v>1513776.8360164696</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127014288.40030076</v>
      </c>
      <c r="E40" s="216">
        <v>68983083.229449704</v>
      </c>
      <c r="F40" s="216"/>
      <c r="G40" s="184"/>
      <c r="H40" s="217">
        <f>(D40+E40)-F40-G40</f>
        <v>195997371.62975046</v>
      </c>
    </row>
    <row r="41" spans="1:8" ht="18" customHeight="1" x14ac:dyDescent="0.55000000000000004">
      <c r="A41" s="180" t="s">
        <v>251</v>
      </c>
      <c r="B41" s="176" t="s">
        <v>141</v>
      </c>
      <c r="D41" s="184">
        <v>6305260</v>
      </c>
      <c r="E41" s="216">
        <v>3424467.2850703476</v>
      </c>
      <c r="F41" s="216"/>
      <c r="G41" s="184"/>
      <c r="H41" s="217">
        <f t="shared" ref="H41:H47" si="1">(D41+E41)-F41-G41</f>
        <v>9729727.2850703485</v>
      </c>
    </row>
    <row r="42" spans="1:8" ht="18" customHeight="1" x14ac:dyDescent="0.55000000000000004">
      <c r="A42" s="180" t="s">
        <v>252</v>
      </c>
      <c r="B42" s="176" t="s">
        <v>143</v>
      </c>
      <c r="D42" s="184"/>
      <c r="E42" s="216">
        <v>0</v>
      </c>
      <c r="F42" s="216"/>
      <c r="G42" s="184"/>
      <c r="H42" s="217">
        <f t="shared" si="1"/>
        <v>0</v>
      </c>
    </row>
    <row r="43" spans="1:8" ht="18" customHeight="1" x14ac:dyDescent="0.55000000000000004">
      <c r="A43" s="180" t="s">
        <v>253</v>
      </c>
      <c r="B43" s="176" t="s">
        <v>145</v>
      </c>
      <c r="D43" s="184"/>
      <c r="E43" s="216">
        <v>0</v>
      </c>
      <c r="F43" s="216"/>
      <c r="G43" s="184"/>
      <c r="H43" s="217">
        <f t="shared" si="1"/>
        <v>0</v>
      </c>
    </row>
    <row r="44" spans="1:8" ht="18" customHeight="1" x14ac:dyDescent="0.55000000000000004">
      <c r="A44" s="180" t="s">
        <v>146</v>
      </c>
      <c r="B44" s="185"/>
      <c r="D44" s="219"/>
      <c r="E44" s="220">
        <v>0</v>
      </c>
      <c r="F44" s="220"/>
      <c r="G44" s="219"/>
      <c r="H44" s="217">
        <f t="shared" si="1"/>
        <v>0</v>
      </c>
    </row>
    <row r="45" spans="1:8" ht="18" customHeight="1" x14ac:dyDescent="0.55000000000000004">
      <c r="A45" s="180" t="s">
        <v>147</v>
      </c>
      <c r="B45" s="185"/>
      <c r="D45" s="184"/>
      <c r="E45" s="216">
        <v>0</v>
      </c>
      <c r="F45" s="216"/>
      <c r="G45" s="184"/>
      <c r="H45" s="217">
        <f t="shared" si="1"/>
        <v>0</v>
      </c>
    </row>
    <row r="46" spans="1:8" ht="18" customHeight="1" x14ac:dyDescent="0.55000000000000004">
      <c r="A46" s="180" t="s">
        <v>148</v>
      </c>
      <c r="B46" s="185"/>
      <c r="D46" s="184"/>
      <c r="E46" s="216">
        <v>0</v>
      </c>
      <c r="F46" s="216"/>
      <c r="G46" s="184"/>
      <c r="H46" s="217">
        <f t="shared" si="1"/>
        <v>0</v>
      </c>
    </row>
    <row r="47" spans="1:8" ht="18" customHeight="1" x14ac:dyDescent="0.55000000000000004">
      <c r="A47" s="180" t="s">
        <v>149</v>
      </c>
      <c r="B47" s="185"/>
      <c r="D47" s="184"/>
      <c r="E47" s="216">
        <v>0</v>
      </c>
      <c r="F47" s="216"/>
      <c r="G47" s="184"/>
      <c r="H47" s="217">
        <f t="shared" si="1"/>
        <v>0</v>
      </c>
    </row>
    <row r="49" spans="1:9" ht="18" customHeight="1" x14ac:dyDescent="0.55000000000000004">
      <c r="A49" s="183" t="s">
        <v>150</v>
      </c>
      <c r="B49" s="179" t="s">
        <v>254</v>
      </c>
      <c r="C49" s="179" t="s">
        <v>248</v>
      </c>
      <c r="D49" s="423">
        <f>SUM(D40:D47)</f>
        <v>133319548.40030076</v>
      </c>
      <c r="E49" s="423">
        <f>SUM(E40:E47)</f>
        <v>72407550.514520049</v>
      </c>
      <c r="F49" s="423">
        <f>SUM(F40:F47)</f>
        <v>0</v>
      </c>
      <c r="G49" s="423">
        <f>SUM(G40:G47)</f>
        <v>0</v>
      </c>
      <c r="H49" s="423">
        <f>SUM(H40:H47)</f>
        <v>205727098.91482082</v>
      </c>
    </row>
    <row r="50" spans="1:9" ht="18" customHeight="1" thickBot="1" x14ac:dyDescent="0.6">
      <c r="D50" s="189"/>
      <c r="E50" s="189"/>
      <c r="F50" s="189"/>
      <c r="G50" s="189"/>
      <c r="H50" s="189"/>
    </row>
    <row r="51" spans="1:9" ht="42.75" customHeight="1" x14ac:dyDescent="0.55000000000000004">
      <c r="D51" s="182" t="s">
        <v>99</v>
      </c>
      <c r="E51" s="182" t="s">
        <v>100</v>
      </c>
      <c r="F51" s="182" t="s">
        <v>431</v>
      </c>
      <c r="G51" s="182" t="s">
        <v>432</v>
      </c>
      <c r="H51" s="182" t="s">
        <v>244</v>
      </c>
    </row>
    <row r="52" spans="1:9" ht="18" customHeight="1" x14ac:dyDescent="0.55000000000000004">
      <c r="A52" s="183" t="s">
        <v>255</v>
      </c>
      <c r="B52" s="221" t="s">
        <v>256</v>
      </c>
    </row>
    <row r="53" spans="1:9" ht="18" customHeight="1" x14ac:dyDescent="0.55000000000000004">
      <c r="A53" s="180" t="s">
        <v>257</v>
      </c>
      <c r="B53" s="176" t="s">
        <v>433</v>
      </c>
      <c r="D53" s="184"/>
      <c r="E53" s="184"/>
      <c r="F53" s="222"/>
      <c r="G53" s="184"/>
      <c r="H53" s="217"/>
    </row>
    <row r="54" spans="1:9" ht="18" customHeight="1" x14ac:dyDescent="0.55000000000000004">
      <c r="A54" s="180" t="s">
        <v>259</v>
      </c>
      <c r="B54" s="174" t="s">
        <v>345</v>
      </c>
      <c r="C54"/>
      <c r="D54" s="173">
        <v>3572.57</v>
      </c>
      <c r="E54" s="216">
        <v>1940.3084232250173</v>
      </c>
      <c r="F54" s="216"/>
      <c r="G54" s="184">
        <v>0</v>
      </c>
      <c r="H54" s="217">
        <f t="shared" ref="H54:H62" si="2">(D54+E54)-F54-G54</f>
        <v>5512.8784232250173</v>
      </c>
    </row>
    <row r="55" spans="1:9" ht="18" customHeight="1" x14ac:dyDescent="0.55000000000000004">
      <c r="A55" s="180" t="s">
        <v>260</v>
      </c>
      <c r="B55" s="172" t="s">
        <v>346</v>
      </c>
      <c r="C55"/>
      <c r="D55" s="173">
        <v>14107711.337499999</v>
      </c>
      <c r="E55" s="216">
        <v>7662078.3191311359</v>
      </c>
      <c r="F55" s="216"/>
      <c r="G55" s="184">
        <v>8669406.8800000008</v>
      </c>
      <c r="H55" s="217">
        <f t="shared" si="2"/>
        <v>13100382.776631134</v>
      </c>
      <c r="I55" s="218"/>
    </row>
    <row r="56" spans="1:9" ht="18" customHeight="1" x14ac:dyDescent="0.55000000000000004">
      <c r="A56" s="180" t="s">
        <v>261</v>
      </c>
      <c r="B56" s="204" t="s">
        <v>347</v>
      </c>
      <c r="C56"/>
      <c r="D56" s="205">
        <v>2039996.9900000002</v>
      </c>
      <c r="E56" s="216">
        <v>1107948.4357341302</v>
      </c>
      <c r="F56" s="216"/>
      <c r="G56" s="184">
        <v>1318111.74</v>
      </c>
      <c r="H56" s="217">
        <f t="shared" si="2"/>
        <v>1829833.6857341307</v>
      </c>
    </row>
    <row r="57" spans="1:9" ht="18" customHeight="1" x14ac:dyDescent="0.55000000000000004">
      <c r="A57" s="180" t="s">
        <v>263</v>
      </c>
      <c r="B57" s="193"/>
      <c r="D57" s="184"/>
      <c r="E57" s="216"/>
      <c r="F57" s="216"/>
      <c r="G57" s="184"/>
      <c r="H57" s="217">
        <f t="shared" si="2"/>
        <v>0</v>
      </c>
    </row>
    <row r="58" spans="1:9" ht="18" customHeight="1" x14ac:dyDescent="0.55000000000000004">
      <c r="A58" s="180" t="s">
        <v>264</v>
      </c>
      <c r="B58" s="193"/>
      <c r="D58" s="184"/>
      <c r="E58" s="216"/>
      <c r="F58" s="216"/>
      <c r="G58" s="184"/>
      <c r="H58" s="217">
        <f>(D58+E58)-F58-G58</f>
        <v>0</v>
      </c>
    </row>
    <row r="59" spans="1:9" ht="18" customHeight="1" x14ac:dyDescent="0.55000000000000004">
      <c r="A59" s="180" t="s">
        <v>265</v>
      </c>
      <c r="B59" s="223"/>
      <c r="D59" s="224"/>
      <c r="E59" s="225"/>
      <c r="F59" s="225"/>
      <c r="G59" s="224"/>
      <c r="H59" s="217">
        <f t="shared" si="2"/>
        <v>0</v>
      </c>
    </row>
    <row r="60" spans="1:9" ht="18" customHeight="1" x14ac:dyDescent="0.55000000000000004">
      <c r="A60" s="180" t="s">
        <v>266</v>
      </c>
      <c r="B60" s="226"/>
      <c r="C60" s="212"/>
      <c r="D60" s="222"/>
      <c r="E60" s="222"/>
      <c r="F60" s="222"/>
      <c r="G60" s="222"/>
      <c r="H60" s="217">
        <f t="shared" si="2"/>
        <v>0</v>
      </c>
    </row>
    <row r="61" spans="1:9" ht="18" customHeight="1" x14ac:dyDescent="0.55000000000000004">
      <c r="A61" s="180" t="s">
        <v>267</v>
      </c>
      <c r="B61" s="226"/>
      <c r="C61" s="212"/>
      <c r="D61" s="222"/>
      <c r="E61" s="222"/>
      <c r="F61" s="222"/>
      <c r="G61" s="222"/>
      <c r="H61" s="217">
        <f t="shared" si="2"/>
        <v>0</v>
      </c>
    </row>
    <row r="62" spans="1:9" ht="18" customHeight="1" x14ac:dyDescent="0.55000000000000004">
      <c r="A62" s="180" t="s">
        <v>268</v>
      </c>
      <c r="B62" s="226"/>
      <c r="C62" s="212"/>
      <c r="D62" s="222"/>
      <c r="E62" s="222"/>
      <c r="F62" s="222"/>
      <c r="G62" s="222"/>
      <c r="H62" s="217">
        <f t="shared" si="2"/>
        <v>0</v>
      </c>
    </row>
    <row r="63" spans="1:9" ht="18" customHeight="1" x14ac:dyDescent="0.55000000000000004">
      <c r="A63" s="180"/>
      <c r="E63" s="227"/>
      <c r="F63" s="192"/>
    </row>
    <row r="64" spans="1:9" ht="18" customHeight="1" x14ac:dyDescent="0.55000000000000004">
      <c r="A64" s="180" t="s">
        <v>269</v>
      </c>
      <c r="B64" s="179" t="s">
        <v>270</v>
      </c>
      <c r="C64" s="179" t="s">
        <v>248</v>
      </c>
      <c r="D64" s="217">
        <f>SUM(D53:D62)</f>
        <v>16151280.897499999</v>
      </c>
      <c r="E64" s="217">
        <f>SUM(E53:E62)</f>
        <v>8771967.0632884912</v>
      </c>
      <c r="F64" s="217">
        <f>SUM(F53:F62)</f>
        <v>0</v>
      </c>
      <c r="G64" s="217">
        <f>SUM(G53:G62)</f>
        <v>9987518.620000001</v>
      </c>
      <c r="H64" s="217">
        <f>SUM(H53:H62)</f>
        <v>14935729.340788489</v>
      </c>
    </row>
    <row r="65" spans="1:9" ht="18" customHeight="1" x14ac:dyDescent="0.55000000000000004">
      <c r="D65" s="190"/>
      <c r="E65" s="190"/>
      <c r="F65" s="190"/>
      <c r="G65" s="190"/>
      <c r="H65" s="190"/>
    </row>
    <row r="66" spans="1:9" ht="42.75" customHeight="1" x14ac:dyDescent="0.55000000000000004">
      <c r="D66" s="182" t="s">
        <v>99</v>
      </c>
      <c r="E66" s="182" t="s">
        <v>100</v>
      </c>
      <c r="F66" s="182" t="s">
        <v>431</v>
      </c>
      <c r="G66" s="182" t="s">
        <v>432</v>
      </c>
      <c r="H66" s="182" t="s">
        <v>244</v>
      </c>
    </row>
    <row r="67" spans="1:9" ht="18" customHeight="1" x14ac:dyDescent="0.55000000000000004">
      <c r="A67" s="183" t="s">
        <v>271</v>
      </c>
      <c r="B67" s="179" t="s">
        <v>155</v>
      </c>
      <c r="D67" s="191"/>
      <c r="E67" s="192"/>
      <c r="F67" s="192"/>
      <c r="G67" s="191"/>
      <c r="H67" s="192"/>
    </row>
    <row r="68" spans="1:9" ht="18" customHeight="1" x14ac:dyDescent="0.55000000000000004">
      <c r="A68" s="180" t="s">
        <v>272</v>
      </c>
      <c r="B68" s="176" t="s">
        <v>157</v>
      </c>
      <c r="D68" s="184"/>
      <c r="E68" s="216"/>
      <c r="F68" s="216"/>
      <c r="G68" s="184"/>
      <c r="H68" s="217">
        <f>(D68+E68)-F68-G68</f>
        <v>0</v>
      </c>
      <c r="I68" s="218"/>
    </row>
    <row r="69" spans="1:9" ht="18" customHeight="1" x14ac:dyDescent="0.55000000000000004">
      <c r="A69" s="180" t="s">
        <v>273</v>
      </c>
      <c r="B69" s="176" t="s">
        <v>159</v>
      </c>
      <c r="D69" s="228"/>
      <c r="E69" s="216"/>
      <c r="F69" s="216"/>
      <c r="G69" s="228"/>
      <c r="H69" s="217">
        <f>(D69+E69)-F69-G69</f>
        <v>0</v>
      </c>
    </row>
    <row r="70" spans="1:9" ht="18" customHeight="1" x14ac:dyDescent="0.55000000000000004">
      <c r="A70" s="180" t="s">
        <v>274</v>
      </c>
      <c r="B70" s="193"/>
      <c r="C70" s="179"/>
      <c r="D70" s="224"/>
      <c r="E70" s="216"/>
      <c r="F70" s="225"/>
      <c r="G70" s="224"/>
      <c r="H70" s="217">
        <f>(D70+E70)-F70-G70</f>
        <v>0</v>
      </c>
    </row>
    <row r="71" spans="1:9" ht="18" customHeight="1" x14ac:dyDescent="0.55000000000000004">
      <c r="A71" s="180" t="s">
        <v>275</v>
      </c>
      <c r="B71" s="193"/>
      <c r="C71" s="179"/>
      <c r="D71" s="224"/>
      <c r="E71" s="216"/>
      <c r="F71" s="225"/>
      <c r="G71" s="224"/>
      <c r="H71" s="217">
        <f>(D71+E71)-F71-G71</f>
        <v>0</v>
      </c>
    </row>
    <row r="72" spans="1:9" ht="18" customHeight="1" x14ac:dyDescent="0.55000000000000004">
      <c r="A72" s="180" t="s">
        <v>276</v>
      </c>
      <c r="B72" s="194"/>
      <c r="C72" s="179"/>
      <c r="D72" s="184"/>
      <c r="E72" s="216"/>
      <c r="F72" s="216"/>
      <c r="G72" s="184"/>
      <c r="H72" s="217">
        <f>(D72+E72)-F72-G72</f>
        <v>0</v>
      </c>
    </row>
    <row r="73" spans="1:9" ht="18" customHeight="1" x14ac:dyDescent="0.55000000000000004">
      <c r="A73" s="180"/>
      <c r="C73" s="179"/>
      <c r="D73" s="195"/>
      <c r="E73" s="192"/>
      <c r="F73" s="192"/>
      <c r="G73" s="195"/>
      <c r="H73" s="192"/>
    </row>
    <row r="74" spans="1:9"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9" ht="42.75" customHeight="1" x14ac:dyDescent="0.55000000000000004">
      <c r="D75" s="182" t="s">
        <v>99</v>
      </c>
      <c r="E75" s="182" t="s">
        <v>100</v>
      </c>
      <c r="F75" s="182" t="s">
        <v>431</v>
      </c>
      <c r="G75" s="182" t="s">
        <v>432</v>
      </c>
      <c r="H75" s="182" t="s">
        <v>244</v>
      </c>
    </row>
    <row r="76" spans="1:9" ht="18" customHeight="1" x14ac:dyDescent="0.55000000000000004">
      <c r="A76" s="183" t="s">
        <v>278</v>
      </c>
      <c r="B76" s="179" t="s">
        <v>279</v>
      </c>
    </row>
    <row r="77" spans="1:9" ht="18" customHeight="1" x14ac:dyDescent="0.55000000000000004">
      <c r="A77" s="180" t="s">
        <v>280</v>
      </c>
      <c r="B77" s="176" t="s">
        <v>164</v>
      </c>
      <c r="D77" s="184">
        <v>314155.93</v>
      </c>
      <c r="E77" s="230"/>
      <c r="F77" s="220"/>
      <c r="G77" s="184"/>
      <c r="H77" s="217">
        <f>(D77-F77-G77)</f>
        <v>314155.93</v>
      </c>
    </row>
    <row r="78" spans="1:9" ht="18" customHeight="1" x14ac:dyDescent="0.55000000000000004">
      <c r="A78" s="180" t="s">
        <v>281</v>
      </c>
      <c r="B78" s="176" t="s">
        <v>166</v>
      </c>
      <c r="D78" s="184">
        <v>0</v>
      </c>
      <c r="E78" s="230"/>
      <c r="F78" s="220"/>
      <c r="G78" s="184"/>
      <c r="H78" s="217">
        <f>(D78-F78-G78)</f>
        <v>0</v>
      </c>
    </row>
    <row r="79" spans="1:9" ht="18" customHeight="1" x14ac:dyDescent="0.55000000000000004">
      <c r="A79" s="180" t="s">
        <v>282</v>
      </c>
      <c r="B79" s="176" t="s">
        <v>168</v>
      </c>
      <c r="D79" s="184">
        <v>35000</v>
      </c>
      <c r="E79" s="230"/>
      <c r="F79" s="220"/>
      <c r="G79" s="184"/>
      <c r="H79" s="217">
        <f>(D79-F79-G79)</f>
        <v>35000</v>
      </c>
    </row>
    <row r="80" spans="1:9" ht="18" customHeight="1" x14ac:dyDescent="0.55000000000000004">
      <c r="A80" s="180" t="s">
        <v>283</v>
      </c>
      <c r="B80" s="176" t="s">
        <v>170</v>
      </c>
      <c r="D80" s="184">
        <v>0</v>
      </c>
      <c r="E80" s="230"/>
      <c r="F80" s="220"/>
      <c r="G80" s="184"/>
      <c r="H80" s="217">
        <f>(D80-F80-G80)</f>
        <v>0</v>
      </c>
    </row>
    <row r="81" spans="1:9" ht="18" customHeight="1" x14ac:dyDescent="0.55000000000000004">
      <c r="A81" s="180"/>
      <c r="H81" s="196"/>
    </row>
    <row r="82" spans="1:9" ht="18" customHeight="1" x14ac:dyDescent="0.55000000000000004">
      <c r="A82" s="180" t="s">
        <v>171</v>
      </c>
      <c r="B82" s="179" t="s">
        <v>284</v>
      </c>
      <c r="C82" s="179" t="s">
        <v>248</v>
      </c>
      <c r="D82" s="217">
        <f>SUM(D77:D80)</f>
        <v>349155.93</v>
      </c>
      <c r="E82" s="231"/>
      <c r="F82" s="217">
        <f>SUM(F77:F80)</f>
        <v>0</v>
      </c>
      <c r="G82" s="217">
        <f>SUM(G77:G80)</f>
        <v>0</v>
      </c>
      <c r="H82" s="217">
        <f>SUM(H77:H80)</f>
        <v>349155.93</v>
      </c>
    </row>
    <row r="83" spans="1:9" ht="18" customHeight="1" thickBot="1" x14ac:dyDescent="0.6">
      <c r="A83" s="180"/>
      <c r="D83" s="189"/>
      <c r="E83" s="189"/>
      <c r="F83" s="189"/>
      <c r="G83" s="189"/>
      <c r="H83" s="189"/>
    </row>
    <row r="84" spans="1:9" ht="42.75" customHeight="1" x14ac:dyDescent="0.55000000000000004">
      <c r="D84" s="182" t="s">
        <v>99</v>
      </c>
      <c r="E84" s="182" t="s">
        <v>100</v>
      </c>
      <c r="F84" s="182" t="s">
        <v>431</v>
      </c>
      <c r="G84" s="182" t="s">
        <v>432</v>
      </c>
      <c r="H84" s="182" t="s">
        <v>244</v>
      </c>
    </row>
    <row r="85" spans="1:9" ht="18" customHeight="1" x14ac:dyDescent="0.55000000000000004">
      <c r="A85" s="183" t="s">
        <v>285</v>
      </c>
      <c r="B85" s="179" t="s">
        <v>173</v>
      </c>
    </row>
    <row r="86" spans="1:9" ht="18" customHeight="1" x14ac:dyDescent="0.55000000000000004">
      <c r="A86" s="180" t="s">
        <v>191</v>
      </c>
      <c r="B86" s="176" t="s">
        <v>286</v>
      </c>
      <c r="D86" s="184">
        <v>0</v>
      </c>
      <c r="E86" s="216">
        <v>0</v>
      </c>
      <c r="F86" s="216"/>
      <c r="G86" s="184"/>
      <c r="H86" s="217">
        <f>(D86+E86)-F86-G86</f>
        <v>0</v>
      </c>
    </row>
    <row r="87" spans="1:9" ht="18" customHeight="1" x14ac:dyDescent="0.55000000000000004">
      <c r="A87" s="180" t="s">
        <v>287</v>
      </c>
      <c r="B87" s="176" t="s">
        <v>177</v>
      </c>
      <c r="D87" s="184">
        <v>0</v>
      </c>
      <c r="E87" s="216">
        <v>0</v>
      </c>
      <c r="F87" s="216"/>
      <c r="G87" s="184"/>
      <c r="H87" s="217">
        <f t="shared" ref="H87:H96" si="3">(D87+E87)-F87-G87</f>
        <v>0</v>
      </c>
    </row>
    <row r="88" spans="1:9" ht="18" customHeight="1" x14ac:dyDescent="0.55000000000000004">
      <c r="A88" s="180" t="s">
        <v>288</v>
      </c>
      <c r="B88" s="176" t="s">
        <v>289</v>
      </c>
      <c r="D88" s="184">
        <v>48484.800000000003</v>
      </c>
      <c r="E88" s="216">
        <v>4363.6320000000005</v>
      </c>
      <c r="F88" s="216"/>
      <c r="G88" s="184"/>
      <c r="H88" s="217">
        <f t="shared" si="3"/>
        <v>52848.432000000001</v>
      </c>
      <c r="I88" s="232"/>
    </row>
    <row r="89" spans="1:9" ht="18" customHeight="1" x14ac:dyDescent="0.55000000000000004">
      <c r="A89" s="180" t="s">
        <v>290</v>
      </c>
      <c r="B89" s="176" t="s">
        <v>181</v>
      </c>
      <c r="D89" s="184">
        <v>116741.04000000001</v>
      </c>
      <c r="E89" s="216">
        <v>63403.55073463884</v>
      </c>
      <c r="F89" s="216"/>
      <c r="G89" s="184"/>
      <c r="H89" s="217">
        <f t="shared" si="3"/>
        <v>180144.59073463886</v>
      </c>
    </row>
    <row r="90" spans="1:9" ht="18" customHeight="1" x14ac:dyDescent="0.55000000000000004">
      <c r="A90" s="180" t="s">
        <v>291</v>
      </c>
      <c r="B90" s="176" t="s">
        <v>183</v>
      </c>
      <c r="D90" s="184">
        <v>0</v>
      </c>
      <c r="E90" s="216">
        <v>0</v>
      </c>
      <c r="F90" s="216"/>
      <c r="G90" s="184"/>
      <c r="H90" s="217">
        <f t="shared" si="3"/>
        <v>0</v>
      </c>
      <c r="I90" s="232"/>
    </row>
    <row r="91" spans="1:9" ht="18" customHeight="1" x14ac:dyDescent="0.55000000000000004">
      <c r="A91" s="180" t="s">
        <v>292</v>
      </c>
      <c r="B91" s="176" t="s">
        <v>185</v>
      </c>
      <c r="D91" s="184">
        <v>0</v>
      </c>
      <c r="E91" s="216">
        <v>0</v>
      </c>
      <c r="F91" s="216"/>
      <c r="G91" s="184"/>
      <c r="H91" s="217">
        <f t="shared" si="3"/>
        <v>0</v>
      </c>
    </row>
    <row r="92" spans="1:9" ht="18" customHeight="1" x14ac:dyDescent="0.55000000000000004">
      <c r="A92" s="180" t="s">
        <v>293</v>
      </c>
      <c r="B92" s="176" t="s">
        <v>294</v>
      </c>
      <c r="D92" s="233">
        <v>0</v>
      </c>
      <c r="E92" s="216">
        <v>0</v>
      </c>
      <c r="F92" s="234"/>
      <c r="G92" s="233"/>
      <c r="H92" s="217">
        <f t="shared" si="3"/>
        <v>0</v>
      </c>
    </row>
    <row r="93" spans="1:9" ht="18" customHeight="1" x14ac:dyDescent="0.55000000000000004">
      <c r="A93" s="180" t="s">
        <v>295</v>
      </c>
      <c r="B93" s="176" t="s">
        <v>296</v>
      </c>
      <c r="D93" s="184">
        <v>394785.68832397461</v>
      </c>
      <c r="E93" s="216">
        <v>214413.1525550778</v>
      </c>
      <c r="F93" s="216"/>
      <c r="G93" s="184"/>
      <c r="H93" s="217">
        <f t="shared" si="3"/>
        <v>609198.84087905241</v>
      </c>
    </row>
    <row r="94" spans="1:9" ht="18" customHeight="1" x14ac:dyDescent="0.55000000000000004">
      <c r="A94" s="180" t="s">
        <v>297</v>
      </c>
      <c r="B94" s="193"/>
      <c r="D94" s="184">
        <v>0</v>
      </c>
      <c r="E94" s="216">
        <v>0</v>
      </c>
      <c r="F94" s="216"/>
      <c r="G94" s="184"/>
      <c r="H94" s="217">
        <f t="shared" si="3"/>
        <v>0</v>
      </c>
    </row>
    <row r="95" spans="1:9" ht="18" customHeight="1" x14ac:dyDescent="0.55000000000000004">
      <c r="A95" s="180" t="s">
        <v>298</v>
      </c>
      <c r="B95" s="193"/>
      <c r="D95" s="184">
        <v>0</v>
      </c>
      <c r="E95" s="216">
        <v>0</v>
      </c>
      <c r="F95" s="216"/>
      <c r="G95" s="184"/>
      <c r="H95" s="217">
        <f t="shared" si="3"/>
        <v>0</v>
      </c>
    </row>
    <row r="96" spans="1:9" ht="18" customHeight="1" x14ac:dyDescent="0.55000000000000004">
      <c r="A96" s="180" t="s">
        <v>299</v>
      </c>
      <c r="B96" s="193"/>
      <c r="D96" s="184"/>
      <c r="E96" s="216">
        <v>0</v>
      </c>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560011.52832397469</v>
      </c>
      <c r="E98" s="217">
        <f>SUM(E86:E96)</f>
        <v>282180.33528971666</v>
      </c>
      <c r="F98" s="217">
        <f>SUM(F86:F96)</f>
        <v>0</v>
      </c>
      <c r="G98" s="217">
        <f>SUM(G86:G96)</f>
        <v>0</v>
      </c>
      <c r="H98" s="217">
        <f>SUM(H86:H96)</f>
        <v>842191.8636136913</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158855.18400000001</v>
      </c>
      <c r="E102" s="216">
        <v>86276.280545422487</v>
      </c>
      <c r="F102" s="216"/>
      <c r="G102" s="184"/>
      <c r="H102" s="217">
        <f>(D102+E102)-F102-G102</f>
        <v>245131.4645454225</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158855.18400000001</v>
      </c>
      <c r="E108" s="217">
        <f>SUM(E102:E106)</f>
        <v>86276.280545422487</v>
      </c>
      <c r="F108" s="217">
        <f>SUM(F102:F106)</f>
        <v>0</v>
      </c>
      <c r="G108" s="217">
        <f>SUM(G102:G106)</f>
        <v>0</v>
      </c>
      <c r="H108" s="217">
        <f>SUM(H102:H106)</f>
        <v>245131.4645454225</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20877000</v>
      </c>
      <c r="G111" s="184"/>
      <c r="H111" s="217">
        <f>F111-G111</f>
        <v>20877000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0.54311277965862592</v>
      </c>
      <c r="F114" s="235" t="s">
        <v>429</v>
      </c>
      <c r="G114" s="236">
        <v>0.09</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1754896000</v>
      </c>
      <c r="F117" s="237"/>
    </row>
    <row r="118" spans="1:7" ht="18" customHeight="1" x14ac:dyDescent="0.55000000000000004">
      <c r="A118" s="180" t="s">
        <v>319</v>
      </c>
      <c r="B118" s="176" t="s">
        <v>320</v>
      </c>
      <c r="E118" s="184">
        <v>204428000</v>
      </c>
      <c r="F118" s="237"/>
    </row>
    <row r="119" spans="1:7" ht="18" customHeight="1" x14ac:dyDescent="0.55000000000000004">
      <c r="A119" s="180" t="s">
        <v>321</v>
      </c>
      <c r="B119" s="179" t="s">
        <v>322</v>
      </c>
      <c r="E119" s="217">
        <f>SUM(E117:E118)</f>
        <v>1959324000</v>
      </c>
      <c r="F119" s="238"/>
    </row>
    <row r="120" spans="1:7" ht="18" customHeight="1" x14ac:dyDescent="0.55000000000000004">
      <c r="A120" s="180"/>
      <c r="B120" s="179"/>
      <c r="F120" s="212"/>
    </row>
    <row r="121" spans="1:7" ht="18" customHeight="1" x14ac:dyDescent="0.55000000000000004">
      <c r="A121" s="180" t="s">
        <v>323</v>
      </c>
      <c r="B121" s="179" t="s">
        <v>324</v>
      </c>
      <c r="E121" s="184">
        <v>1867360000</v>
      </c>
      <c r="F121" s="237"/>
    </row>
    <row r="122" spans="1:7" ht="18" customHeight="1" x14ac:dyDescent="0.55000000000000004">
      <c r="A122" s="180"/>
      <c r="F122" s="212"/>
    </row>
    <row r="123" spans="1:7" ht="18" customHeight="1" x14ac:dyDescent="0.55000000000000004">
      <c r="A123" s="180" t="s">
        <v>325</v>
      </c>
      <c r="B123" s="179" t="s">
        <v>326</v>
      </c>
      <c r="E123" s="184">
        <f>E119-E121</f>
        <v>91964000</v>
      </c>
      <c r="F123" s="237"/>
    </row>
    <row r="124" spans="1:7" ht="18" customHeight="1" x14ac:dyDescent="0.55000000000000004">
      <c r="A124" s="180"/>
      <c r="F124" s="212"/>
    </row>
    <row r="125" spans="1:7" ht="18" customHeight="1" x14ac:dyDescent="0.55000000000000004">
      <c r="A125" s="180" t="s">
        <v>327</v>
      </c>
      <c r="B125" s="179" t="s">
        <v>328</v>
      </c>
      <c r="E125" s="184">
        <v>48828000</v>
      </c>
      <c r="F125" s="237"/>
    </row>
    <row r="126" spans="1:7" ht="18" customHeight="1" x14ac:dyDescent="0.55000000000000004">
      <c r="A126" s="180"/>
      <c r="F126" s="212"/>
    </row>
    <row r="127" spans="1:7" ht="18" customHeight="1" x14ac:dyDescent="0.55000000000000004">
      <c r="A127" s="180" t="s">
        <v>329</v>
      </c>
      <c r="B127" s="179" t="s">
        <v>330</v>
      </c>
      <c r="E127" s="184">
        <f>E123+E125</f>
        <v>140792000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v>5337.99</v>
      </c>
      <c r="E131" s="216">
        <v>2899.1305866899484</v>
      </c>
      <c r="F131" s="216"/>
      <c r="G131" s="184"/>
      <c r="H131" s="217">
        <f>(D131+E131)-F131-G131</f>
        <v>8237.1205866899472</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5337.99</v>
      </c>
      <c r="E137" s="217">
        <f>SUM(E131:E135)</f>
        <v>2899.1305866899484</v>
      </c>
      <c r="F137" s="217">
        <f>SUM(F131:F135)</f>
        <v>0</v>
      </c>
      <c r="G137" s="217">
        <f>SUM(G131:G135)</f>
        <v>0</v>
      </c>
      <c r="H137" s="217">
        <f>SUM(H131:H135)</f>
        <v>8237.1205866899472</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1369879.236</v>
      </c>
      <c r="E141" s="239">
        <f>E36</f>
        <v>234755.60001646943</v>
      </c>
      <c r="F141" s="239">
        <f>F36</f>
        <v>0</v>
      </c>
      <c r="G141" s="239">
        <f>G36</f>
        <v>90858</v>
      </c>
      <c r="H141" s="239">
        <f>H36</f>
        <v>1513776.8360164696</v>
      </c>
    </row>
    <row r="142" spans="1:8" ht="18" customHeight="1" x14ac:dyDescent="0.55000000000000004">
      <c r="A142" s="180" t="s">
        <v>150</v>
      </c>
      <c r="B142" s="179" t="s">
        <v>220</v>
      </c>
      <c r="D142" s="239">
        <f>D49</f>
        <v>133319548.40030076</v>
      </c>
      <c r="E142" s="239">
        <f>E49</f>
        <v>72407550.514520049</v>
      </c>
      <c r="F142" s="239">
        <f>F49</f>
        <v>0</v>
      </c>
      <c r="G142" s="239">
        <f>G49</f>
        <v>0</v>
      </c>
      <c r="H142" s="239">
        <f>H49</f>
        <v>205727098.91482082</v>
      </c>
    </row>
    <row r="143" spans="1:8" ht="18" customHeight="1" x14ac:dyDescent="0.55000000000000004">
      <c r="A143" s="180" t="s">
        <v>269</v>
      </c>
      <c r="B143" s="179" t="s">
        <v>222</v>
      </c>
      <c r="D143" s="239">
        <f>D64</f>
        <v>16151280.897499999</v>
      </c>
      <c r="E143" s="239">
        <f>E64</f>
        <v>8771967.0632884912</v>
      </c>
      <c r="F143" s="239">
        <f>F64</f>
        <v>0</v>
      </c>
      <c r="G143" s="239">
        <f>G64</f>
        <v>9987518.620000001</v>
      </c>
      <c r="H143" s="239">
        <f>H64</f>
        <v>14935729.340788489</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349155.93</v>
      </c>
      <c r="E145" s="239">
        <f>E82</f>
        <v>0</v>
      </c>
      <c r="F145" s="239">
        <f>F82</f>
        <v>0</v>
      </c>
      <c r="G145" s="239">
        <f>G82</f>
        <v>0</v>
      </c>
      <c r="H145" s="239">
        <f>H82</f>
        <v>349155.93</v>
      </c>
    </row>
    <row r="146" spans="1:8" ht="18" customHeight="1" x14ac:dyDescent="0.55000000000000004">
      <c r="A146" s="180" t="s">
        <v>193</v>
      </c>
      <c r="B146" s="179" t="s">
        <v>226</v>
      </c>
      <c r="D146" s="239">
        <f>D98</f>
        <v>560011.52832397469</v>
      </c>
      <c r="E146" s="239">
        <f>E98</f>
        <v>282180.33528971666</v>
      </c>
      <c r="F146" s="239">
        <f>F98</f>
        <v>0</v>
      </c>
      <c r="G146" s="239">
        <f>G98</f>
        <v>0</v>
      </c>
      <c r="H146" s="239">
        <f>H98</f>
        <v>842191.8636136913</v>
      </c>
    </row>
    <row r="147" spans="1:8" ht="18" customHeight="1" x14ac:dyDescent="0.55000000000000004">
      <c r="A147" s="180" t="s">
        <v>204</v>
      </c>
      <c r="B147" s="179" t="s">
        <v>71</v>
      </c>
      <c r="D147" s="217">
        <f>D108</f>
        <v>158855.18400000001</v>
      </c>
      <c r="E147" s="217">
        <f>E108</f>
        <v>86276.280545422487</v>
      </c>
      <c r="F147" s="217">
        <f>F108</f>
        <v>0</v>
      </c>
      <c r="G147" s="217">
        <f>G108</f>
        <v>0</v>
      </c>
      <c r="H147" s="217">
        <f>H108</f>
        <v>245131.4645454225</v>
      </c>
    </row>
    <row r="148" spans="1:8" ht="18" customHeight="1" x14ac:dyDescent="0.55000000000000004">
      <c r="A148" s="180" t="s">
        <v>310</v>
      </c>
      <c r="B148" s="179" t="s">
        <v>58</v>
      </c>
      <c r="D148" s="240" t="s">
        <v>245</v>
      </c>
      <c r="E148" s="240" t="s">
        <v>245</v>
      </c>
      <c r="F148" s="240"/>
      <c r="G148" s="240" t="s">
        <v>245</v>
      </c>
      <c r="H148" s="239">
        <f>H111</f>
        <v>20877000</v>
      </c>
    </row>
    <row r="149" spans="1:8" ht="18" customHeight="1" x14ac:dyDescent="0.55000000000000004">
      <c r="A149" s="180" t="s">
        <v>215</v>
      </c>
      <c r="B149" s="179" t="s">
        <v>230</v>
      </c>
      <c r="D149" s="217">
        <f>D137</f>
        <v>5337.99</v>
      </c>
      <c r="E149" s="217">
        <f>E137</f>
        <v>2899.1305866899484</v>
      </c>
      <c r="F149" s="217">
        <f>F137</f>
        <v>0</v>
      </c>
      <c r="G149" s="217">
        <f>G137</f>
        <v>0</v>
      </c>
      <c r="H149" s="217">
        <f>H137</f>
        <v>8237.1205866899472</v>
      </c>
    </row>
    <row r="150" spans="1:8" ht="18" customHeight="1" x14ac:dyDescent="0.55000000000000004">
      <c r="A150" s="180" t="s">
        <v>103</v>
      </c>
      <c r="B150" s="179" t="s">
        <v>104</v>
      </c>
      <c r="D150" s="217">
        <f>D18</f>
        <v>30530101.90122053</v>
      </c>
      <c r="E150" s="217">
        <f>E18</f>
        <v>0</v>
      </c>
      <c r="F150" s="217">
        <f>F18</f>
        <v>0</v>
      </c>
      <c r="G150" s="217">
        <f>G18</f>
        <v>25302437.25032533</v>
      </c>
      <c r="H150" s="217">
        <f>H18</f>
        <v>5227664.6508952007</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182444171.06734526</v>
      </c>
      <c r="E152" s="241">
        <f>SUM(E141:E150)</f>
        <v>81785628.924246848</v>
      </c>
      <c r="F152" s="241">
        <f>SUM(F141:F150)</f>
        <v>0</v>
      </c>
      <c r="G152" s="241">
        <f>SUM(G141:G150)</f>
        <v>35380813.870325327</v>
      </c>
      <c r="H152" s="241">
        <f>SUM(H141:H150)</f>
        <v>249725986.12126681</v>
      </c>
    </row>
    <row r="154" spans="1:8" ht="18" customHeight="1" x14ac:dyDescent="0.55000000000000004">
      <c r="A154" s="183" t="s">
        <v>339</v>
      </c>
      <c r="B154" s="179" t="s">
        <v>340</v>
      </c>
      <c r="D154" s="242">
        <f>H152/E121</f>
        <v>0.13373210635403288</v>
      </c>
    </row>
    <row r="155" spans="1:8" ht="18" customHeight="1" x14ac:dyDescent="0.55000000000000004">
      <c r="A155" s="183" t="s">
        <v>341</v>
      </c>
      <c r="B155" s="179" t="s">
        <v>342</v>
      </c>
      <c r="D155" s="242">
        <f>H152/E127</f>
        <v>1.7737228402271921</v>
      </c>
    </row>
  </sheetData>
  <mergeCells count="8">
    <mergeCell ref="C10:E10"/>
    <mergeCell ref="C11:E11"/>
    <mergeCell ref="B13:D13"/>
    <mergeCell ref="C2:D2"/>
    <mergeCell ref="C5:E5"/>
    <mergeCell ref="C6:E6"/>
    <mergeCell ref="C7:E7"/>
    <mergeCell ref="C9:E9"/>
  </mergeCells>
  <hyperlinks>
    <hyperlink ref="C11" r:id="rId1" xr:uid="{A17EB663-6E78-4140-BE31-FB126CDBEA96}"/>
  </hyperlinks>
  <printOptions headings="1" gridLines="1"/>
  <pageMargins left="0.17" right="0.16" top="0.35" bottom="0.32" header="0.17" footer="0.17"/>
  <pageSetup scale="59" fitToHeight="3" orientation="landscape" horizontalDpi="4294967294" r:id="rId2"/>
  <headerFooter alignWithMargins="0"/>
  <rowBreaks count="4" manualBreakCount="4">
    <brk id="37" max="16383" man="1"/>
    <brk id="74" max="16383" man="1"/>
    <brk id="109" max="16383" man="1"/>
    <brk id="13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D3018-6D69-4A69-87C6-A544372C5957}">
  <sheetPr codeName="Sheet12"/>
  <dimension ref="A1:J155"/>
  <sheetViews>
    <sheetView zoomScaleNormal="100" workbookViewId="0"/>
  </sheetViews>
  <sheetFormatPr defaultColWidth="9" defaultRowHeight="18" customHeight="1"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35.261718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01" t="s">
        <v>437</v>
      </c>
      <c r="D5" s="501"/>
      <c r="E5" s="501"/>
      <c r="F5" s="208"/>
    </row>
    <row r="6" spans="1:8" ht="18" customHeight="1" x14ac:dyDescent="0.55000000000000004">
      <c r="B6" s="180" t="s">
        <v>237</v>
      </c>
      <c r="C6" s="243">
        <v>21003</v>
      </c>
      <c r="D6" s="244"/>
      <c r="E6" s="244"/>
      <c r="F6" s="209"/>
    </row>
    <row r="7" spans="1:8" ht="18" customHeight="1" x14ac:dyDescent="0.55000000000000004">
      <c r="B7" s="180" t="s">
        <v>238</v>
      </c>
      <c r="C7" s="245">
        <v>2500</v>
      </c>
      <c r="D7" s="246"/>
      <c r="E7" s="246"/>
      <c r="F7" s="210"/>
    </row>
    <row r="8" spans="1:8" ht="18" customHeight="1" x14ac:dyDescent="0.55000000000000004">
      <c r="C8" s="211"/>
      <c r="D8" s="211"/>
      <c r="E8" s="211"/>
      <c r="F8" s="212"/>
    </row>
    <row r="9" spans="1:8" ht="18" customHeight="1" x14ac:dyDescent="0.55000000000000004">
      <c r="B9" s="180" t="s">
        <v>239</v>
      </c>
      <c r="C9" s="247" t="s">
        <v>348</v>
      </c>
      <c r="D9" s="247"/>
      <c r="E9" s="247"/>
      <c r="F9" s="208"/>
    </row>
    <row r="10" spans="1:8" ht="18" customHeight="1" x14ac:dyDescent="0.55000000000000004">
      <c r="B10" s="180" t="s">
        <v>241</v>
      </c>
      <c r="C10" s="248" t="s">
        <v>438</v>
      </c>
      <c r="D10" s="248"/>
      <c r="E10" s="248"/>
      <c r="F10" s="213"/>
    </row>
    <row r="11" spans="1:8" ht="18" customHeight="1" x14ac:dyDescent="0.55000000000000004">
      <c r="B11" s="180" t="s">
        <v>243</v>
      </c>
      <c r="C11" s="502" t="s">
        <v>439</v>
      </c>
      <c r="D11" s="502"/>
      <c r="E11" s="502"/>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6194567.3902694099</v>
      </c>
      <c r="E18" s="214"/>
      <c r="F18" s="214"/>
      <c r="G18" s="214">
        <v>5133872.5691884188</v>
      </c>
      <c r="H18" s="249">
        <f>(D18+E18)-G18</f>
        <v>1060694.8210809911</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c r="G20" s="250"/>
    </row>
    <row r="21" spans="1:8" ht="18" customHeight="1" x14ac:dyDescent="0.55000000000000004">
      <c r="A21" s="180" t="s">
        <v>110</v>
      </c>
      <c r="B21" s="176" t="s">
        <v>111</v>
      </c>
      <c r="D21" s="184">
        <v>100532.5</v>
      </c>
      <c r="E21" s="216">
        <f>D21*G114</f>
        <v>14074.550000000001</v>
      </c>
      <c r="F21" s="216"/>
      <c r="G21" s="184">
        <v>4000</v>
      </c>
      <c r="H21" s="217">
        <f>(D21+E21)-F21-G21</f>
        <v>110607.05</v>
      </c>
    </row>
    <row r="22" spans="1:8" ht="18" customHeight="1" x14ac:dyDescent="0.55000000000000004">
      <c r="A22" s="180" t="s">
        <v>112</v>
      </c>
      <c r="B22" s="176" t="s">
        <v>113</v>
      </c>
      <c r="D22" s="184"/>
      <c r="E22" s="216"/>
      <c r="F22" s="216"/>
      <c r="G22" s="184"/>
      <c r="H22" s="217">
        <f t="shared" ref="H22:H34" si="0">(D22+E22)-F22-G22</f>
        <v>0</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v>1106927.6100000001</v>
      </c>
      <c r="E24" s="216">
        <f>D24*G114</f>
        <v>154969.86540000004</v>
      </c>
      <c r="F24" s="216"/>
      <c r="G24" s="184">
        <v>1106927.6100000001</v>
      </c>
      <c r="H24" s="217">
        <f t="shared" si="0"/>
        <v>154969.86540000001</v>
      </c>
    </row>
    <row r="25" spans="1:8" ht="18" customHeight="1" x14ac:dyDescent="0.55000000000000004">
      <c r="A25" s="180" t="s">
        <v>118</v>
      </c>
      <c r="B25" s="176" t="s">
        <v>119</v>
      </c>
      <c r="D25" s="184">
        <v>1930.24</v>
      </c>
      <c r="E25" s="216">
        <f>D25*G114</f>
        <v>270.23360000000002</v>
      </c>
      <c r="F25" s="216"/>
      <c r="G25" s="184"/>
      <c r="H25" s="217">
        <f t="shared" si="0"/>
        <v>2200.4736000000003</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v>137830</v>
      </c>
      <c r="E28" s="216">
        <f>D28*G114</f>
        <v>19296.2</v>
      </c>
      <c r="F28" s="216"/>
      <c r="G28" s="184"/>
      <c r="H28" s="217">
        <f t="shared" si="0"/>
        <v>157126.20000000001</v>
      </c>
    </row>
    <row r="29" spans="1:8" ht="18" customHeight="1" x14ac:dyDescent="0.55000000000000004">
      <c r="A29" s="180" t="s">
        <v>126</v>
      </c>
      <c r="B29" s="176" t="s">
        <v>440</v>
      </c>
      <c r="D29" s="184">
        <v>978337.31</v>
      </c>
      <c r="E29" s="216">
        <f>D29*E114</f>
        <v>655485.99770000007</v>
      </c>
      <c r="F29" s="216"/>
      <c r="G29" s="184"/>
      <c r="H29" s="217">
        <f t="shared" si="0"/>
        <v>1633823.3077000002</v>
      </c>
    </row>
    <row r="30" spans="1:8" ht="18" customHeight="1" x14ac:dyDescent="0.55000000000000004">
      <c r="A30" s="180" t="s">
        <v>128</v>
      </c>
      <c r="B30" s="185"/>
      <c r="D30" s="184"/>
      <c r="E30" s="216"/>
      <c r="F30" s="216"/>
      <c r="G30" s="184"/>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2325557.66</v>
      </c>
      <c r="E36" s="217">
        <f>SUM(E21:E34)</f>
        <v>844096.84670000011</v>
      </c>
      <c r="F36" s="217">
        <f>SUM(F21:F34)</f>
        <v>0</v>
      </c>
      <c r="G36" s="217">
        <f>SUM(G21:G34)</f>
        <v>1110927.6100000001</v>
      </c>
      <c r="H36" s="217">
        <f>SUM(H21:H34)</f>
        <v>2058726.8967000004</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441</v>
      </c>
      <c r="D40" s="251">
        <v>4202827.37</v>
      </c>
      <c r="E40" s="252"/>
      <c r="F40" s="252"/>
      <c r="G40" s="251">
        <v>1470407.16</v>
      </c>
      <c r="H40" s="217">
        <f>(D40+E40)-F40-G40</f>
        <v>2732420.21</v>
      </c>
    </row>
    <row r="41" spans="1:8" ht="18" customHeight="1" x14ac:dyDescent="0.55000000000000004">
      <c r="A41" s="180" t="s">
        <v>251</v>
      </c>
      <c r="B41" s="176" t="s">
        <v>442</v>
      </c>
      <c r="D41" s="184">
        <v>428400</v>
      </c>
      <c r="E41" s="216"/>
      <c r="F41" s="216"/>
      <c r="G41" s="184"/>
      <c r="H41" s="217">
        <f t="shared" ref="H41:H47" si="1">(D41+E41)-F41-G41</f>
        <v>428400</v>
      </c>
    </row>
    <row r="42" spans="1:8" ht="18" customHeight="1" x14ac:dyDescent="0.55000000000000004">
      <c r="A42" s="180" t="s">
        <v>252</v>
      </c>
      <c r="B42" s="176" t="s">
        <v>443</v>
      </c>
      <c r="D42" s="184">
        <v>512750</v>
      </c>
      <c r="E42" s="216"/>
      <c r="F42" s="216"/>
      <c r="G42" s="184"/>
      <c r="H42" s="217">
        <f t="shared" si="1"/>
        <v>512750</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5143977.37</v>
      </c>
      <c r="E49" s="217">
        <f>SUM(E40:E47)</f>
        <v>0</v>
      </c>
      <c r="F49" s="217">
        <f>SUM(F40:F47)</f>
        <v>0</v>
      </c>
      <c r="G49" s="217">
        <f>SUM(G40:G47)</f>
        <v>1470407.16</v>
      </c>
      <c r="H49" s="217">
        <f>SUM(H40:H47)</f>
        <v>3673570.21</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22">
        <v>54720767.578576826</v>
      </c>
      <c r="E53" s="222">
        <v>0</v>
      </c>
      <c r="F53" s="222">
        <v>0</v>
      </c>
      <c r="G53" s="253">
        <v>12811723.82</v>
      </c>
      <c r="H53" s="217">
        <f>(D53+E53)-F53-G53</f>
        <v>41909043.758576825</v>
      </c>
    </row>
    <row r="54" spans="1:8" ht="18" customHeight="1" x14ac:dyDescent="0.55000000000000004">
      <c r="A54" s="180" t="s">
        <v>259</v>
      </c>
      <c r="B54" s="193"/>
      <c r="D54" s="184"/>
      <c r="E54" s="216"/>
      <c r="F54" s="216"/>
      <c r="G54" s="184"/>
      <c r="H54" s="217">
        <f t="shared" ref="H54:H62" si="2">(D54+E54)-F54-G54</f>
        <v>0</v>
      </c>
    </row>
    <row r="55" spans="1:8" ht="18" customHeight="1" x14ac:dyDescent="0.55000000000000004">
      <c r="A55" s="180" t="s">
        <v>260</v>
      </c>
      <c r="B55" s="194"/>
      <c r="D55" s="184"/>
      <c r="E55" s="216"/>
      <c r="F55" s="216"/>
      <c r="G55" s="184"/>
      <c r="H55" s="217">
        <f t="shared" si="2"/>
        <v>0</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54720767.578576826</v>
      </c>
      <c r="E64" s="217">
        <f>SUM(E53:E62)</f>
        <v>0</v>
      </c>
      <c r="F64" s="217">
        <f>SUM(F53:F62)</f>
        <v>0</v>
      </c>
      <c r="G64" s="217">
        <f>SUM(G53:G62)</f>
        <v>12811723.82</v>
      </c>
      <c r="H64" s="217">
        <f>SUM(H53:H62)</f>
        <v>41909043.758576825</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184">
        <f>110000+1062087.96+213000+50000+919965</f>
        <v>2355052.96</v>
      </c>
      <c r="E78" s="230"/>
      <c r="F78" s="220"/>
      <c r="G78" s="184">
        <f>1062087.96+30154+7156+179408+39573</f>
        <v>1318378.96</v>
      </c>
      <c r="H78" s="217">
        <f>(D78-F78-G78)</f>
        <v>1036674</v>
      </c>
    </row>
    <row r="79" spans="1:10" ht="18" customHeight="1" x14ac:dyDescent="0.55000000000000004">
      <c r="A79" s="180" t="s">
        <v>282</v>
      </c>
      <c r="B79" s="176" t="s">
        <v>168</v>
      </c>
      <c r="D79" s="184">
        <v>5000</v>
      </c>
      <c r="E79" s="230"/>
      <c r="F79" s="220"/>
      <c r="G79" s="184"/>
      <c r="H79" s="217">
        <f>(D79-F79-G79)</f>
        <v>5000</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2360052.96</v>
      </c>
      <c r="E82" s="231"/>
      <c r="F82" s="217">
        <f>SUM(F77:F80)</f>
        <v>0</v>
      </c>
      <c r="G82" s="217">
        <f>SUM(G77:G80)</f>
        <v>1318378.96</v>
      </c>
      <c r="H82" s="217">
        <f>SUM(H77:H80)</f>
        <v>1041674</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c r="E88" s="216"/>
      <c r="F88" s="216"/>
      <c r="G88" s="184"/>
      <c r="H88" s="217">
        <f t="shared" si="3"/>
        <v>0</v>
      </c>
    </row>
    <row r="89" spans="1:8" ht="18" customHeight="1" x14ac:dyDescent="0.55000000000000004">
      <c r="A89" s="180" t="s">
        <v>290</v>
      </c>
      <c r="B89" s="176" t="s">
        <v>181</v>
      </c>
      <c r="D89" s="184">
        <v>63360</v>
      </c>
      <c r="E89" s="216">
        <f>D89*E114</f>
        <v>42451.200000000004</v>
      </c>
      <c r="F89" s="216"/>
      <c r="G89" s="184"/>
      <c r="H89" s="217">
        <f t="shared" si="3"/>
        <v>105811.20000000001</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v>14892</v>
      </c>
      <c r="E91" s="216">
        <f>D91*G114</f>
        <v>2084.88</v>
      </c>
      <c r="F91" s="216"/>
      <c r="G91" s="184"/>
      <c r="H91" s="217">
        <f t="shared" si="3"/>
        <v>16976.88</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78252</v>
      </c>
      <c r="E98" s="217">
        <f>SUM(E86:E96)</f>
        <v>44536.08</v>
      </c>
      <c r="F98" s="217">
        <f>SUM(F86:F96)</f>
        <v>0</v>
      </c>
      <c r="G98" s="217">
        <f>SUM(G86:G96)</f>
        <v>0</v>
      </c>
      <c r="H98" s="217">
        <f>SUM(H86:H96)</f>
        <v>122788.08000000002</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468757</v>
      </c>
      <c r="E102" s="216">
        <f>D102*E114</f>
        <v>314067.19</v>
      </c>
      <c r="F102" s="216"/>
      <c r="G102" s="184"/>
      <c r="H102" s="217">
        <f>(D102+E102)-F102-G102</f>
        <v>782824.19</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468757</v>
      </c>
      <c r="E108" s="217">
        <f>SUM(E102:E106)</f>
        <v>314067.19</v>
      </c>
      <c r="F108" s="217">
        <f>SUM(F102:F106)</f>
        <v>0</v>
      </c>
      <c r="G108" s="217">
        <f>SUM(G102:G106)</f>
        <v>0</v>
      </c>
      <c r="H108" s="217">
        <f>SUM(H102:H106)</f>
        <v>782824.19</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251">
        <v>9544000</v>
      </c>
      <c r="G111" s="184"/>
      <c r="H111" s="217">
        <f>F111-G111</f>
        <v>9544000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0.67</v>
      </c>
      <c r="F114" s="235" t="s">
        <v>429</v>
      </c>
      <c r="G114" s="236">
        <v>0.14000000000000001</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251">
        <f>269753*1000</f>
        <v>269753000</v>
      </c>
      <c r="F117" s="237"/>
    </row>
    <row r="118" spans="1:7" ht="18" customHeight="1" x14ac:dyDescent="0.55000000000000004">
      <c r="A118" s="180" t="s">
        <v>319</v>
      </c>
      <c r="B118" s="176" t="s">
        <v>320</v>
      </c>
      <c r="E118" s="251">
        <f>65703*1000</f>
        <v>65703000</v>
      </c>
      <c r="F118" s="237"/>
    </row>
    <row r="119" spans="1:7" ht="18" customHeight="1" x14ac:dyDescent="0.55000000000000004">
      <c r="A119" s="180" t="s">
        <v>321</v>
      </c>
      <c r="B119" s="179" t="s">
        <v>322</v>
      </c>
      <c r="E119" s="217">
        <f>SUM(E117:E118)</f>
        <v>335456000</v>
      </c>
      <c r="F119" s="238"/>
    </row>
    <row r="120" spans="1:7" ht="18" customHeight="1" x14ac:dyDescent="0.55000000000000004">
      <c r="A120" s="180"/>
      <c r="B120" s="179"/>
      <c r="F120" s="212"/>
    </row>
    <row r="121" spans="1:7" ht="18" customHeight="1" x14ac:dyDescent="0.55000000000000004">
      <c r="A121" s="180" t="s">
        <v>323</v>
      </c>
      <c r="B121" s="179" t="s">
        <v>324</v>
      </c>
      <c r="E121" s="251">
        <f>348047*1000</f>
        <v>348047000</v>
      </c>
      <c r="F121" s="237"/>
    </row>
    <row r="122" spans="1:7" ht="18" customHeight="1" x14ac:dyDescent="0.55000000000000004">
      <c r="A122" s="180"/>
      <c r="F122" s="212"/>
    </row>
    <row r="123" spans="1:7" ht="18" customHeight="1" x14ac:dyDescent="0.55000000000000004">
      <c r="A123" s="180" t="s">
        <v>325</v>
      </c>
      <c r="B123" s="179" t="s">
        <v>326</v>
      </c>
      <c r="E123" s="251">
        <f>+E119-E121</f>
        <v>-12591000</v>
      </c>
      <c r="F123" s="237"/>
    </row>
    <row r="124" spans="1:7" ht="18" customHeight="1" x14ac:dyDescent="0.55000000000000004">
      <c r="A124" s="180"/>
      <c r="F124" s="212"/>
    </row>
    <row r="125" spans="1:7" ht="18" customHeight="1" x14ac:dyDescent="0.55000000000000004">
      <c r="A125" s="180" t="s">
        <v>327</v>
      </c>
      <c r="B125" s="179" t="s">
        <v>328</v>
      </c>
      <c r="E125" s="184">
        <f>-615*1000</f>
        <v>-615000</v>
      </c>
      <c r="F125" s="237"/>
    </row>
    <row r="126" spans="1:7" ht="18" customHeight="1" x14ac:dyDescent="0.55000000000000004">
      <c r="A126" s="180"/>
      <c r="F126" s="212"/>
    </row>
    <row r="127" spans="1:7" ht="18" customHeight="1" x14ac:dyDescent="0.55000000000000004">
      <c r="A127" s="180" t="s">
        <v>329</v>
      </c>
      <c r="B127" s="179" t="s">
        <v>330</v>
      </c>
      <c r="E127" s="251">
        <f>+E123+E125</f>
        <v>-13206000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v>60000</v>
      </c>
      <c r="E132" s="216"/>
      <c r="F132" s="216"/>
      <c r="G132" s="184"/>
      <c r="H132" s="217">
        <f>(D132+E132)-F132-G132</f>
        <v>60000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60000</v>
      </c>
      <c r="E137" s="217">
        <f>SUM(E131:E135)</f>
        <v>0</v>
      </c>
      <c r="F137" s="217">
        <f>SUM(F131:F135)</f>
        <v>0</v>
      </c>
      <c r="G137" s="217">
        <f>SUM(G131:G135)</f>
        <v>0</v>
      </c>
      <c r="H137" s="217">
        <f>SUM(H131:H135)</f>
        <v>60000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2325557.66</v>
      </c>
      <c r="E141" s="239">
        <f>E36</f>
        <v>844096.84670000011</v>
      </c>
      <c r="F141" s="239">
        <f>F36</f>
        <v>0</v>
      </c>
      <c r="G141" s="239">
        <f>G36</f>
        <v>1110927.6100000001</v>
      </c>
      <c r="H141" s="239">
        <f>H36</f>
        <v>2058726.8967000004</v>
      </c>
    </row>
    <row r="142" spans="1:8" ht="18" customHeight="1" x14ac:dyDescent="0.55000000000000004">
      <c r="A142" s="180" t="s">
        <v>150</v>
      </c>
      <c r="B142" s="179" t="s">
        <v>220</v>
      </c>
      <c r="D142" s="239">
        <f>D49</f>
        <v>5143977.37</v>
      </c>
      <c r="E142" s="239">
        <f>E49</f>
        <v>0</v>
      </c>
      <c r="F142" s="239">
        <f>F49</f>
        <v>0</v>
      </c>
      <c r="G142" s="239">
        <f>G49</f>
        <v>1470407.16</v>
      </c>
      <c r="H142" s="239">
        <f>H49</f>
        <v>3673570.21</v>
      </c>
    </row>
    <row r="143" spans="1:8" ht="18" customHeight="1" x14ac:dyDescent="0.55000000000000004">
      <c r="A143" s="180" t="s">
        <v>269</v>
      </c>
      <c r="B143" s="179" t="s">
        <v>222</v>
      </c>
      <c r="D143" s="239">
        <f>D64</f>
        <v>54720767.578576826</v>
      </c>
      <c r="E143" s="239">
        <f>E64</f>
        <v>0</v>
      </c>
      <c r="F143" s="239">
        <f>F64</f>
        <v>0</v>
      </c>
      <c r="G143" s="239">
        <f>G64</f>
        <v>12811723.82</v>
      </c>
      <c r="H143" s="239">
        <f>H64</f>
        <v>41909043.758576825</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2360052.96</v>
      </c>
      <c r="E145" s="239">
        <f>E82</f>
        <v>0</v>
      </c>
      <c r="F145" s="239">
        <f>F82</f>
        <v>0</v>
      </c>
      <c r="G145" s="239">
        <f>G82</f>
        <v>1318378.96</v>
      </c>
      <c r="H145" s="239">
        <f>H82</f>
        <v>1041674</v>
      </c>
    </row>
    <row r="146" spans="1:8" ht="18" customHeight="1" x14ac:dyDescent="0.55000000000000004">
      <c r="A146" s="180" t="s">
        <v>193</v>
      </c>
      <c r="B146" s="179" t="s">
        <v>226</v>
      </c>
      <c r="D146" s="239">
        <f>D98</f>
        <v>78252</v>
      </c>
      <c r="E146" s="239">
        <f>E98</f>
        <v>44536.08</v>
      </c>
      <c r="F146" s="239">
        <f>F98</f>
        <v>0</v>
      </c>
      <c r="G146" s="239">
        <f>G98</f>
        <v>0</v>
      </c>
      <c r="H146" s="239">
        <f>H98</f>
        <v>122788.08000000002</v>
      </c>
    </row>
    <row r="147" spans="1:8" ht="18" customHeight="1" x14ac:dyDescent="0.55000000000000004">
      <c r="A147" s="180" t="s">
        <v>204</v>
      </c>
      <c r="B147" s="179" t="s">
        <v>71</v>
      </c>
      <c r="D147" s="217">
        <f>D108</f>
        <v>468757</v>
      </c>
      <c r="E147" s="217">
        <f>E108</f>
        <v>314067.19</v>
      </c>
      <c r="F147" s="217">
        <f>F108</f>
        <v>0</v>
      </c>
      <c r="G147" s="217">
        <f>G108</f>
        <v>0</v>
      </c>
      <c r="H147" s="217">
        <f>H108</f>
        <v>782824.19</v>
      </c>
    </row>
    <row r="148" spans="1:8" ht="18" customHeight="1" x14ac:dyDescent="0.55000000000000004">
      <c r="A148" s="180" t="s">
        <v>310</v>
      </c>
      <c r="B148" s="179" t="s">
        <v>58</v>
      </c>
      <c r="D148" s="240" t="s">
        <v>245</v>
      </c>
      <c r="E148" s="240" t="s">
        <v>245</v>
      </c>
      <c r="F148" s="240"/>
      <c r="G148" s="240" t="s">
        <v>245</v>
      </c>
      <c r="H148" s="239">
        <f>H111</f>
        <v>9544000</v>
      </c>
    </row>
    <row r="149" spans="1:8" ht="18" customHeight="1" x14ac:dyDescent="0.55000000000000004">
      <c r="A149" s="180" t="s">
        <v>215</v>
      </c>
      <c r="B149" s="179" t="s">
        <v>230</v>
      </c>
      <c r="D149" s="217">
        <f>D137</f>
        <v>60000</v>
      </c>
      <c r="E149" s="217">
        <f>E137</f>
        <v>0</v>
      </c>
      <c r="F149" s="217">
        <f>F137</f>
        <v>0</v>
      </c>
      <c r="G149" s="217">
        <f>G137</f>
        <v>0</v>
      </c>
      <c r="H149" s="217">
        <f>H137</f>
        <v>60000</v>
      </c>
    </row>
    <row r="150" spans="1:8" ht="18" customHeight="1" x14ac:dyDescent="0.55000000000000004">
      <c r="A150" s="180" t="s">
        <v>103</v>
      </c>
      <c r="B150" s="179" t="s">
        <v>104</v>
      </c>
      <c r="D150" s="217">
        <f>D18</f>
        <v>6194567.3902694099</v>
      </c>
      <c r="E150" s="217">
        <f>E18</f>
        <v>0</v>
      </c>
      <c r="F150" s="217">
        <f>F18</f>
        <v>0</v>
      </c>
      <c r="G150" s="217">
        <f>G18</f>
        <v>5133872.5691884188</v>
      </c>
      <c r="H150" s="217">
        <f>H18</f>
        <v>1060694.8210809911</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71351931.958846241</v>
      </c>
      <c r="E152" s="241">
        <f>SUM(E141:E150)</f>
        <v>1202700.1167000001</v>
      </c>
      <c r="F152" s="241">
        <f>SUM(F141:F150)</f>
        <v>0</v>
      </c>
      <c r="G152" s="241">
        <f>SUM(G141:G150)</f>
        <v>21845310.11918842</v>
      </c>
      <c r="H152" s="241">
        <f>SUM(H141:H150)</f>
        <v>60253321.956357814</v>
      </c>
    </row>
    <row r="154" spans="1:8" ht="18" customHeight="1" x14ac:dyDescent="0.55000000000000004">
      <c r="A154" s="183" t="s">
        <v>339</v>
      </c>
      <c r="B154" s="179" t="s">
        <v>340</v>
      </c>
      <c r="D154" s="242">
        <f>H152/E121</f>
        <v>0.17311834883322602</v>
      </c>
    </row>
    <row r="155" spans="1:8" ht="18" customHeight="1" x14ac:dyDescent="0.55000000000000004">
      <c r="A155" s="183" t="s">
        <v>341</v>
      </c>
      <c r="B155" s="179" t="s">
        <v>342</v>
      </c>
      <c r="D155" s="242">
        <f>H152/E127</f>
        <v>-4.5625717065241416</v>
      </c>
    </row>
  </sheetData>
  <mergeCells count="4">
    <mergeCell ref="C2:D2"/>
    <mergeCell ref="C5:E5"/>
    <mergeCell ref="C11:E11"/>
    <mergeCell ref="B13:D13"/>
  </mergeCells>
  <hyperlinks>
    <hyperlink ref="C11" r:id="rId1" xr:uid="{0DB39EAB-0C72-41CB-89DE-6D4F5D4BB86F}"/>
  </hyperlinks>
  <printOptions headings="1" gridLines="1"/>
  <pageMargins left="0.17" right="0.16" top="0.35" bottom="0.32" header="0.17" footer="0.17"/>
  <pageSetup scale="59" fitToHeight="3" orientation="landscape" horizontalDpi="4294967294" r:id="rId2"/>
  <headerFooter alignWithMargins="0"/>
  <rowBreaks count="4" manualBreakCount="4">
    <brk id="37" max="16383" man="1"/>
    <brk id="74" max="16383" man="1"/>
    <brk id="109" max="16383" man="1"/>
    <brk id="13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3C6C8-5B8F-4361-B117-715AABC7137F}">
  <sheetPr codeName="Sheet13"/>
  <dimension ref="A1:J155"/>
  <sheetViews>
    <sheetView zoomScaleNormal="100" workbookViewId="0"/>
  </sheetViews>
  <sheetFormatPr defaultColWidth="9" defaultRowHeight="18" customHeight="1"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01" t="s">
        <v>349</v>
      </c>
      <c r="D5" s="501"/>
      <c r="E5" s="501"/>
      <c r="F5" s="208"/>
    </row>
    <row r="6" spans="1:8" ht="18" customHeight="1" x14ac:dyDescent="0.55000000000000004">
      <c r="B6" s="180" t="s">
        <v>237</v>
      </c>
      <c r="C6" s="243">
        <v>4</v>
      </c>
      <c r="D6" s="243"/>
      <c r="E6" s="243"/>
      <c r="F6" s="209"/>
    </row>
    <row r="7" spans="1:8" ht="18" customHeight="1" x14ac:dyDescent="0.55000000000000004">
      <c r="B7" s="180" t="s">
        <v>238</v>
      </c>
      <c r="C7" s="245">
        <v>3381</v>
      </c>
      <c r="D7" s="245"/>
      <c r="E7" s="245"/>
      <c r="F7" s="210"/>
    </row>
    <row r="8" spans="1:8" ht="18" customHeight="1" x14ac:dyDescent="0.55000000000000004">
      <c r="C8" s="255"/>
      <c r="D8" s="255"/>
      <c r="E8" s="255"/>
      <c r="F8" s="212"/>
    </row>
    <row r="9" spans="1:8" ht="18" customHeight="1" x14ac:dyDescent="0.55000000000000004">
      <c r="B9" s="180" t="s">
        <v>239</v>
      </c>
      <c r="C9" s="501" t="s">
        <v>350</v>
      </c>
      <c r="D9" s="501"/>
      <c r="E9" s="501"/>
      <c r="F9" s="208"/>
    </row>
    <row r="10" spans="1:8" ht="18" customHeight="1" x14ac:dyDescent="0.55000000000000004">
      <c r="B10" s="180" t="s">
        <v>241</v>
      </c>
      <c r="C10" s="256" t="s">
        <v>351</v>
      </c>
      <c r="D10" s="256"/>
      <c r="E10" s="256"/>
      <c r="F10" s="213"/>
    </row>
    <row r="11" spans="1:8" ht="18" customHeight="1" x14ac:dyDescent="0.55000000000000004">
      <c r="B11" s="180" t="s">
        <v>243</v>
      </c>
      <c r="C11" s="503" t="s">
        <v>352</v>
      </c>
      <c r="D11" s="503"/>
      <c r="E11" s="503"/>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9675091.3783788085</v>
      </c>
      <c r="E18" s="214"/>
      <c r="F18" s="214"/>
      <c r="G18" s="214">
        <v>8018426.9703602483</v>
      </c>
      <c r="H18" s="249">
        <f>(D18+E18)-G18</f>
        <v>1656664.4080185601</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1714980</v>
      </c>
      <c r="E21" s="216">
        <v>430770</v>
      </c>
      <c r="F21" s="216"/>
      <c r="G21" s="184">
        <v>318810</v>
      </c>
      <c r="H21" s="217">
        <f>(D21+E21)-F21-G21</f>
        <v>1826940</v>
      </c>
    </row>
    <row r="22" spans="1:8" ht="18" customHeight="1" x14ac:dyDescent="0.55000000000000004">
      <c r="A22" s="180" t="s">
        <v>112</v>
      </c>
      <c r="B22" s="176" t="s">
        <v>113</v>
      </c>
      <c r="D22" s="184">
        <v>4699</v>
      </c>
      <c r="E22" s="216">
        <v>1357</v>
      </c>
      <c r="F22" s="216"/>
      <c r="G22" s="184">
        <v>540</v>
      </c>
      <c r="H22" s="217">
        <f t="shared" ref="H22:H34" si="0">(D22+E22)-F22-G22</f>
        <v>5516</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v>692</v>
      </c>
      <c r="E24" s="216">
        <v>199</v>
      </c>
      <c r="F24" s="216"/>
      <c r="G24" s="184">
        <v>0</v>
      </c>
      <c r="H24" s="217">
        <f t="shared" si="0"/>
        <v>891</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v>1153580</v>
      </c>
      <c r="E29" s="216">
        <v>112345</v>
      </c>
      <c r="F29" s="216"/>
      <c r="G29" s="184">
        <v>0</v>
      </c>
      <c r="H29" s="217">
        <f t="shared" si="0"/>
        <v>1265925</v>
      </c>
    </row>
    <row r="30" spans="1:8" ht="18" customHeight="1" x14ac:dyDescent="0.55000000000000004">
      <c r="A30" s="180" t="s">
        <v>128</v>
      </c>
      <c r="B30" s="185" t="s">
        <v>444</v>
      </c>
      <c r="D30" s="184">
        <v>267399</v>
      </c>
      <c r="E30" s="216">
        <v>77008</v>
      </c>
      <c r="F30" s="216"/>
      <c r="G30" s="184">
        <v>0</v>
      </c>
      <c r="H30" s="217">
        <f t="shared" si="0"/>
        <v>344407</v>
      </c>
    </row>
    <row r="31" spans="1:8" ht="18" customHeight="1" x14ac:dyDescent="0.55000000000000004">
      <c r="A31" s="180" t="s">
        <v>130</v>
      </c>
      <c r="B31" s="185" t="s">
        <v>353</v>
      </c>
      <c r="D31" s="184">
        <v>211671</v>
      </c>
      <c r="E31" s="216">
        <v>60966</v>
      </c>
      <c r="F31" s="216"/>
      <c r="G31" s="184">
        <v>0</v>
      </c>
      <c r="H31" s="217">
        <f t="shared" si="0"/>
        <v>272637</v>
      </c>
    </row>
    <row r="32" spans="1:8" ht="18" customHeight="1" x14ac:dyDescent="0.55000000000000004">
      <c r="A32" s="180" t="s">
        <v>131</v>
      </c>
      <c r="B32" s="185" t="s">
        <v>354</v>
      </c>
      <c r="D32" s="184">
        <v>107120</v>
      </c>
      <c r="E32" s="216">
        <v>28472</v>
      </c>
      <c r="F32" s="216"/>
      <c r="G32" s="184">
        <v>0</v>
      </c>
      <c r="H32" s="217">
        <f t="shared" si="0"/>
        <v>135592</v>
      </c>
    </row>
    <row r="33" spans="1:8" ht="18" customHeight="1" x14ac:dyDescent="0.55000000000000004">
      <c r="A33" s="180" t="s">
        <v>132</v>
      </c>
      <c r="B33" s="185" t="s">
        <v>445</v>
      </c>
      <c r="D33" s="184">
        <v>424314</v>
      </c>
      <c r="E33" s="216">
        <v>122203</v>
      </c>
      <c r="F33" s="216"/>
      <c r="G33" s="184">
        <v>0</v>
      </c>
      <c r="H33" s="217">
        <f t="shared" si="0"/>
        <v>546517</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3884455</v>
      </c>
      <c r="E36" s="217">
        <f>SUM(E21:E34)</f>
        <v>833320</v>
      </c>
      <c r="F36" s="217">
        <f>SUM(F21:F34)</f>
        <v>0</v>
      </c>
      <c r="G36" s="217">
        <f>SUM(G21:G34)</f>
        <v>319350</v>
      </c>
      <c r="H36" s="217">
        <f>SUM(H21:H34)</f>
        <v>4398425</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2658263</v>
      </c>
      <c r="E40" s="216">
        <v>765580</v>
      </c>
      <c r="F40" s="216"/>
      <c r="G40" s="184">
        <v>0</v>
      </c>
      <c r="H40" s="217">
        <f>(D40+E40)-F40-G40</f>
        <v>3423843</v>
      </c>
    </row>
    <row r="41" spans="1:8" ht="18" customHeight="1" x14ac:dyDescent="0.55000000000000004">
      <c r="A41" s="180" t="s">
        <v>251</v>
      </c>
      <c r="B41" s="176" t="s">
        <v>141</v>
      </c>
      <c r="D41" s="184">
        <v>39780</v>
      </c>
      <c r="E41" s="216">
        <v>0</v>
      </c>
      <c r="F41" s="216"/>
      <c r="G41" s="184">
        <v>0</v>
      </c>
      <c r="H41" s="217">
        <f t="shared" ref="H41:H47" si="1">(D41+E41)-F41-G41</f>
        <v>39780</v>
      </c>
    </row>
    <row r="42" spans="1:8" ht="18" customHeight="1" x14ac:dyDescent="0.55000000000000004">
      <c r="A42" s="180" t="s">
        <v>252</v>
      </c>
      <c r="B42" s="176" t="s">
        <v>143</v>
      </c>
      <c r="D42" s="184"/>
      <c r="E42" s="216"/>
      <c r="F42" s="216"/>
      <c r="G42" s="184"/>
      <c r="H42" s="217">
        <f t="shared" si="1"/>
        <v>0</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2698043</v>
      </c>
      <c r="E49" s="217">
        <f>SUM(E40:E47)</f>
        <v>765580</v>
      </c>
      <c r="F49" s="217">
        <f>SUM(F40:F47)</f>
        <v>0</v>
      </c>
      <c r="G49" s="217">
        <f>SUM(G40:G47)</f>
        <v>0</v>
      </c>
      <c r="H49" s="217">
        <f>SUM(H40:H47)</f>
        <v>3463623</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22"/>
      <c r="E53" s="222"/>
      <c r="F53" s="222"/>
      <c r="G53" s="222"/>
      <c r="H53" s="217">
        <f>(D53+E53)-F53-G53</f>
        <v>0</v>
      </c>
    </row>
    <row r="54" spans="1:8" ht="18" customHeight="1" x14ac:dyDescent="0.55000000000000004">
      <c r="A54" s="180" t="s">
        <v>259</v>
      </c>
      <c r="B54" s="193" t="s">
        <v>355</v>
      </c>
      <c r="D54" s="184">
        <v>3367925</v>
      </c>
      <c r="E54" s="216">
        <v>969962</v>
      </c>
      <c r="F54" s="216"/>
      <c r="G54" s="184">
        <v>0</v>
      </c>
      <c r="H54" s="217">
        <f t="shared" ref="H54:H62" si="2">(D54+E54)-F54-G54</f>
        <v>4337887</v>
      </c>
    </row>
    <row r="55" spans="1:8" ht="18" customHeight="1" x14ac:dyDescent="0.55000000000000004">
      <c r="A55" s="180" t="s">
        <v>260</v>
      </c>
      <c r="B55" s="194" t="s">
        <v>446</v>
      </c>
      <c r="D55" s="184">
        <v>0</v>
      </c>
      <c r="E55" s="216">
        <v>2144648</v>
      </c>
      <c r="F55" s="216"/>
      <c r="G55" s="184">
        <v>0</v>
      </c>
      <c r="H55" s="217">
        <f t="shared" si="2"/>
        <v>2144648</v>
      </c>
    </row>
    <row r="56" spans="1:8" ht="18" customHeight="1" x14ac:dyDescent="0.55000000000000004">
      <c r="A56" s="180" t="s">
        <v>261</v>
      </c>
      <c r="B56" s="193" t="s">
        <v>447</v>
      </c>
      <c r="D56" s="184">
        <v>2193821</v>
      </c>
      <c r="E56" s="216">
        <v>631822</v>
      </c>
      <c r="F56" s="216"/>
      <c r="G56" s="184">
        <v>1023924</v>
      </c>
      <c r="H56" s="217">
        <f t="shared" si="2"/>
        <v>1801719</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5561746</v>
      </c>
      <c r="E64" s="217">
        <f>SUM(E53:E62)</f>
        <v>3746432</v>
      </c>
      <c r="F64" s="217">
        <f>SUM(F53:F62)</f>
        <v>0</v>
      </c>
      <c r="G64" s="217">
        <f>SUM(G53:G62)</f>
        <v>1023924</v>
      </c>
      <c r="H64" s="217">
        <f>SUM(H53:H62)</f>
        <v>8284254</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v>205203</v>
      </c>
      <c r="E68" s="216">
        <v>59100</v>
      </c>
      <c r="F68" s="216"/>
      <c r="G68" s="228">
        <v>25475</v>
      </c>
      <c r="H68" s="217">
        <f>(D68+E68)-F68-G68</f>
        <v>238828</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205203</v>
      </c>
      <c r="E74" s="229">
        <f>SUM(E68:E72)</f>
        <v>59100</v>
      </c>
      <c r="F74" s="229">
        <f>SUM(F68:F72)</f>
        <v>0</v>
      </c>
      <c r="G74" s="217">
        <f>SUM(G68:G72)</f>
        <v>25475</v>
      </c>
      <c r="H74" s="217">
        <f>SUM(H68:H72)</f>
        <v>238828</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v>9321</v>
      </c>
      <c r="E79" s="230"/>
      <c r="F79" s="220"/>
      <c r="G79" s="184"/>
      <c r="H79" s="217">
        <f>(D79-F79-G79)</f>
        <v>9321</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9321</v>
      </c>
      <c r="E82" s="231"/>
      <c r="F82" s="217">
        <f>SUM(F77:F80)</f>
        <v>0</v>
      </c>
      <c r="G82" s="217">
        <f>SUM(G77:G80)</f>
        <v>0</v>
      </c>
      <c r="H82" s="217">
        <f>SUM(H77:H80)</f>
        <v>9321</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c r="E88" s="216"/>
      <c r="F88" s="216"/>
      <c r="G88" s="184"/>
      <c r="H88" s="217">
        <f t="shared" si="3"/>
        <v>0</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c r="E91" s="216"/>
      <c r="F91" s="216"/>
      <c r="G91" s="184"/>
      <c r="H91" s="217">
        <f t="shared" si="3"/>
        <v>0</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0</v>
      </c>
      <c r="E98" s="217">
        <f>SUM(E86:E96)</f>
        <v>0</v>
      </c>
      <c r="F98" s="217">
        <f>SUM(F86:F96)</f>
        <v>0</v>
      </c>
      <c r="G98" s="217">
        <f>SUM(G86:G96)</f>
        <v>0</v>
      </c>
      <c r="H98" s="217">
        <f>SUM(H86:H96)</f>
        <v>0</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702062</v>
      </c>
      <c r="E102" s="216">
        <v>202201</v>
      </c>
      <c r="F102" s="216"/>
      <c r="G102" s="184">
        <v>0</v>
      </c>
      <c r="H102" s="217">
        <f>(D102+E102)-F102-G102</f>
        <v>904263</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t="s">
        <v>201</v>
      </c>
      <c r="D104" s="184">
        <v>941048</v>
      </c>
      <c r="E104" s="216">
        <v>270639</v>
      </c>
      <c r="F104" s="216"/>
      <c r="G104" s="184">
        <v>0</v>
      </c>
      <c r="H104" s="217">
        <f>(D104+E104)-F104-G104</f>
        <v>1211687</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1643110</v>
      </c>
      <c r="E108" s="217">
        <f>SUM(E102:E106)</f>
        <v>472840</v>
      </c>
      <c r="F108" s="217">
        <f>SUM(F102:F106)</f>
        <v>0</v>
      </c>
      <c r="G108" s="217">
        <f>SUM(G102:G106)</f>
        <v>0</v>
      </c>
      <c r="H108" s="217">
        <f>SUM(H102:H106)</f>
        <v>2115950</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28661872</v>
      </c>
      <c r="G111" s="184"/>
      <c r="H111" s="217">
        <f>F111-G111</f>
        <v>28661872</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0.28799999999999998</v>
      </c>
      <c r="F114" s="235" t="s">
        <v>429</v>
      </c>
      <c r="G114" s="236">
        <v>0</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483526815</v>
      </c>
      <c r="F117" s="237"/>
    </row>
    <row r="118" spans="1:7" ht="18" customHeight="1" x14ac:dyDescent="0.55000000000000004">
      <c r="A118" s="180" t="s">
        <v>319</v>
      </c>
      <c r="B118" s="176" t="s">
        <v>320</v>
      </c>
      <c r="E118" s="184">
        <v>50205374</v>
      </c>
      <c r="F118" s="237"/>
    </row>
    <row r="119" spans="1:7" ht="18" customHeight="1" x14ac:dyDescent="0.55000000000000004">
      <c r="A119" s="180" t="s">
        <v>321</v>
      </c>
      <c r="B119" s="179" t="s">
        <v>322</v>
      </c>
      <c r="E119" s="217">
        <f>SUM(E117:E118)</f>
        <v>533732189</v>
      </c>
      <c r="F119" s="238"/>
    </row>
    <row r="120" spans="1:7" ht="18" customHeight="1" x14ac:dyDescent="0.55000000000000004">
      <c r="A120" s="180"/>
      <c r="B120" s="179"/>
      <c r="F120" s="212"/>
    </row>
    <row r="121" spans="1:7" ht="18" customHeight="1" x14ac:dyDescent="0.55000000000000004">
      <c r="A121" s="180" t="s">
        <v>323</v>
      </c>
      <c r="B121" s="179" t="s">
        <v>324</v>
      </c>
      <c r="E121" s="184">
        <v>482480260</v>
      </c>
      <c r="F121" s="237"/>
    </row>
    <row r="122" spans="1:7" ht="18" customHeight="1" x14ac:dyDescent="0.55000000000000004">
      <c r="A122" s="180"/>
      <c r="F122" s="212"/>
    </row>
    <row r="123" spans="1:7" ht="18" customHeight="1" x14ac:dyDescent="0.55000000000000004">
      <c r="A123" s="180" t="s">
        <v>325</v>
      </c>
      <c r="B123" s="179" t="s">
        <v>326</v>
      </c>
      <c r="E123" s="184">
        <v>51251930</v>
      </c>
      <c r="F123" s="237"/>
    </row>
    <row r="124" spans="1:7" ht="18" customHeight="1" x14ac:dyDescent="0.55000000000000004">
      <c r="A124" s="180"/>
      <c r="F124" s="212"/>
    </row>
    <row r="125" spans="1:7" ht="18" customHeight="1" x14ac:dyDescent="0.55000000000000004">
      <c r="A125" s="180" t="s">
        <v>327</v>
      </c>
      <c r="B125" s="179" t="s">
        <v>328</v>
      </c>
      <c r="E125" s="184">
        <v>94564989</v>
      </c>
      <c r="F125" s="237"/>
    </row>
    <row r="126" spans="1:7" ht="18" customHeight="1" x14ac:dyDescent="0.55000000000000004">
      <c r="A126" s="180"/>
      <c r="F126" s="212"/>
    </row>
    <row r="127" spans="1:7" ht="18" customHeight="1" x14ac:dyDescent="0.55000000000000004">
      <c r="A127" s="180" t="s">
        <v>329</v>
      </c>
      <c r="B127" s="179" t="s">
        <v>330</v>
      </c>
      <c r="E127" s="184">
        <v>145816919</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3884455</v>
      </c>
      <c r="E141" s="239">
        <f>E36</f>
        <v>833320</v>
      </c>
      <c r="F141" s="239">
        <f>F36</f>
        <v>0</v>
      </c>
      <c r="G141" s="239">
        <f>G36</f>
        <v>319350</v>
      </c>
      <c r="H141" s="239">
        <f>H36</f>
        <v>4398425</v>
      </c>
    </row>
    <row r="142" spans="1:8" ht="18" customHeight="1" x14ac:dyDescent="0.55000000000000004">
      <c r="A142" s="180" t="s">
        <v>150</v>
      </c>
      <c r="B142" s="179" t="s">
        <v>220</v>
      </c>
      <c r="D142" s="239">
        <f>D49</f>
        <v>2698043</v>
      </c>
      <c r="E142" s="239">
        <f>E49</f>
        <v>765580</v>
      </c>
      <c r="F142" s="239">
        <f>F49</f>
        <v>0</v>
      </c>
      <c r="G142" s="239">
        <f>G49</f>
        <v>0</v>
      </c>
      <c r="H142" s="239">
        <f>H49</f>
        <v>3463623</v>
      </c>
    </row>
    <row r="143" spans="1:8" ht="18" customHeight="1" x14ac:dyDescent="0.55000000000000004">
      <c r="A143" s="180" t="s">
        <v>269</v>
      </c>
      <c r="B143" s="179" t="s">
        <v>222</v>
      </c>
      <c r="D143" s="239">
        <f>D64</f>
        <v>5561746</v>
      </c>
      <c r="E143" s="239">
        <f>E64</f>
        <v>3746432</v>
      </c>
      <c r="F143" s="239">
        <f>F64</f>
        <v>0</v>
      </c>
      <c r="G143" s="239">
        <f>G64</f>
        <v>1023924</v>
      </c>
      <c r="H143" s="239">
        <f>H64</f>
        <v>8284254</v>
      </c>
    </row>
    <row r="144" spans="1:8" ht="18" customHeight="1" x14ac:dyDescent="0.55000000000000004">
      <c r="A144" s="180" t="s">
        <v>161</v>
      </c>
      <c r="B144" s="179" t="s">
        <v>70</v>
      </c>
      <c r="D144" s="239">
        <f>D74</f>
        <v>205203</v>
      </c>
      <c r="E144" s="239">
        <f>E74</f>
        <v>59100</v>
      </c>
      <c r="F144" s="239">
        <f>F74</f>
        <v>0</v>
      </c>
      <c r="G144" s="239">
        <f>G74</f>
        <v>25475</v>
      </c>
      <c r="H144" s="239">
        <f>H74</f>
        <v>238828</v>
      </c>
    </row>
    <row r="145" spans="1:8" ht="18" customHeight="1" x14ac:dyDescent="0.55000000000000004">
      <c r="A145" s="180" t="s">
        <v>171</v>
      </c>
      <c r="B145" s="179" t="s">
        <v>69</v>
      </c>
      <c r="D145" s="239">
        <f>D82</f>
        <v>9321</v>
      </c>
      <c r="E145" s="239">
        <f>E82</f>
        <v>0</v>
      </c>
      <c r="F145" s="239">
        <f>F82</f>
        <v>0</v>
      </c>
      <c r="G145" s="239">
        <f>G82</f>
        <v>0</v>
      </c>
      <c r="H145" s="239">
        <f>H82</f>
        <v>9321</v>
      </c>
    </row>
    <row r="146" spans="1:8" ht="18" customHeight="1" x14ac:dyDescent="0.55000000000000004">
      <c r="A146" s="180" t="s">
        <v>193</v>
      </c>
      <c r="B146" s="179" t="s">
        <v>226</v>
      </c>
      <c r="D146" s="239">
        <f>D98</f>
        <v>0</v>
      </c>
      <c r="E146" s="239">
        <f>E98</f>
        <v>0</v>
      </c>
      <c r="F146" s="239">
        <f>F98</f>
        <v>0</v>
      </c>
      <c r="G146" s="239">
        <f>G98</f>
        <v>0</v>
      </c>
      <c r="H146" s="239">
        <f>H98</f>
        <v>0</v>
      </c>
    </row>
    <row r="147" spans="1:8" ht="18" customHeight="1" x14ac:dyDescent="0.55000000000000004">
      <c r="A147" s="180" t="s">
        <v>204</v>
      </c>
      <c r="B147" s="179" t="s">
        <v>71</v>
      </c>
      <c r="D147" s="217">
        <f>D108</f>
        <v>1643110</v>
      </c>
      <c r="E147" s="217">
        <f>E108</f>
        <v>472840</v>
      </c>
      <c r="F147" s="217">
        <f>F108</f>
        <v>0</v>
      </c>
      <c r="G147" s="217">
        <f>G108</f>
        <v>0</v>
      </c>
      <c r="H147" s="217">
        <f>H108</f>
        <v>2115950</v>
      </c>
    </row>
    <row r="148" spans="1:8" ht="18" customHeight="1" x14ac:dyDescent="0.55000000000000004">
      <c r="A148" s="180" t="s">
        <v>310</v>
      </c>
      <c r="B148" s="179" t="s">
        <v>58</v>
      </c>
      <c r="D148" s="240" t="s">
        <v>245</v>
      </c>
      <c r="E148" s="240" t="s">
        <v>245</v>
      </c>
      <c r="F148" s="240"/>
      <c r="G148" s="240" t="s">
        <v>245</v>
      </c>
      <c r="H148" s="239">
        <f>H111</f>
        <v>28661872</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9675091.3783788085</v>
      </c>
      <c r="E150" s="217">
        <f>E18</f>
        <v>0</v>
      </c>
      <c r="F150" s="217">
        <f>F18</f>
        <v>0</v>
      </c>
      <c r="G150" s="217">
        <f>G18</f>
        <v>8018426.9703602483</v>
      </c>
      <c r="H150" s="217">
        <f>H18</f>
        <v>1656664.4080185601</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23676969.378378808</v>
      </c>
      <c r="E152" s="241">
        <f>SUM(E141:E150)</f>
        <v>5877272</v>
      </c>
      <c r="F152" s="241">
        <f>SUM(F141:F150)</f>
        <v>0</v>
      </c>
      <c r="G152" s="241">
        <f>SUM(G141:G150)</f>
        <v>9387175.9703602493</v>
      </c>
      <c r="H152" s="241">
        <f>SUM(H141:H150)</f>
        <v>48828937.408018559</v>
      </c>
    </row>
    <row r="154" spans="1:8" ht="18" customHeight="1" x14ac:dyDescent="0.55000000000000004">
      <c r="A154" s="183" t="s">
        <v>339</v>
      </c>
      <c r="B154" s="179" t="s">
        <v>340</v>
      </c>
      <c r="D154" s="242">
        <f>H152/E121</f>
        <v>0.10120401072578297</v>
      </c>
    </row>
    <row r="155" spans="1:8" ht="18" customHeight="1" x14ac:dyDescent="0.55000000000000004">
      <c r="A155" s="183" t="s">
        <v>341</v>
      </c>
      <c r="B155" s="179" t="s">
        <v>342</v>
      </c>
      <c r="D155" s="242">
        <f>H152/E127</f>
        <v>0.33486469020798992</v>
      </c>
    </row>
  </sheetData>
  <mergeCells count="5">
    <mergeCell ref="C2:D2"/>
    <mergeCell ref="C5:E5"/>
    <mergeCell ref="C9:E9"/>
    <mergeCell ref="C11:E11"/>
    <mergeCell ref="B13:D13"/>
  </mergeCells>
  <hyperlinks>
    <hyperlink ref="C11" r:id="rId1" xr:uid="{FB962759-8E34-47C1-9DBD-098D9032AACB}"/>
  </hyperlinks>
  <printOptions headings="1" gridLines="1"/>
  <pageMargins left="0.17" right="0.16" top="0.35" bottom="0.32" header="0.17" footer="0.17"/>
  <pageSetup scale="59" fitToHeight="3" orientation="landscape" horizontalDpi="4294967294" r:id="rId2"/>
  <headerFooter alignWithMargins="0"/>
  <rowBreaks count="4" manualBreakCount="4">
    <brk id="37" max="16383" man="1"/>
    <brk id="74" max="16383" man="1"/>
    <brk id="109" max="16383" man="1"/>
    <brk id="138"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9ACEB-4E12-4B91-AF4B-3DCC81B27BDC}">
  <sheetPr codeName="Sheet14"/>
  <dimension ref="A1:J155"/>
  <sheetViews>
    <sheetView zoomScaleNormal="100" workbookViewId="0"/>
  </sheetViews>
  <sheetFormatPr defaultColWidth="9" defaultRowHeight="18" customHeight="1" x14ac:dyDescent="0.55000000000000004"/>
  <cols>
    <col min="1" max="1" width="8.26171875" style="175" customWidth="1"/>
    <col min="2" max="2" width="55.26171875" style="176" bestFit="1" customWidth="1"/>
    <col min="3" max="3" width="24.41796875" style="176" customWidth="1"/>
    <col min="4" max="4" width="17.15625" style="176" customWidth="1"/>
    <col min="5" max="6" width="21.15625" style="176" customWidth="1"/>
    <col min="7" max="7" width="19.68359375" style="176" customWidth="1"/>
    <col min="8" max="8" width="17.6835937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247" t="s">
        <v>448</v>
      </c>
      <c r="D5" s="257"/>
      <c r="E5" s="257"/>
      <c r="F5" s="208"/>
    </row>
    <row r="6" spans="1:8" ht="18" customHeight="1" x14ac:dyDescent="0.55000000000000004">
      <c r="B6" s="180" t="s">
        <v>237</v>
      </c>
      <c r="C6" s="244" t="s">
        <v>356</v>
      </c>
      <c r="D6" s="244"/>
      <c r="E6" s="244"/>
      <c r="F6" s="209"/>
    </row>
    <row r="7" spans="1:8" ht="18" customHeight="1" x14ac:dyDescent="0.55000000000000004">
      <c r="B7" s="180" t="s">
        <v>238</v>
      </c>
      <c r="C7" s="245">
        <v>2707</v>
      </c>
      <c r="D7" s="246"/>
      <c r="E7" s="246"/>
      <c r="F7" s="210"/>
    </row>
    <row r="8" spans="1:8" ht="18" customHeight="1" x14ac:dyDescent="0.55000000000000004">
      <c r="C8" s="211"/>
      <c r="D8" s="211"/>
      <c r="E8" s="211"/>
      <c r="F8" s="212"/>
    </row>
    <row r="9" spans="1:8" ht="18" customHeight="1" x14ac:dyDescent="0.55000000000000004">
      <c r="B9" s="180" t="s">
        <v>239</v>
      </c>
      <c r="C9" s="247" t="s">
        <v>449</v>
      </c>
      <c r="D9" s="247"/>
      <c r="E9" s="247"/>
      <c r="F9" s="208"/>
    </row>
    <row r="10" spans="1:8" ht="18" customHeight="1" x14ac:dyDescent="0.55000000000000004">
      <c r="B10" s="180" t="s">
        <v>241</v>
      </c>
      <c r="C10" s="248" t="s">
        <v>357</v>
      </c>
      <c r="D10" s="248"/>
      <c r="E10" s="248"/>
      <c r="F10" s="213"/>
    </row>
    <row r="11" spans="1:8" ht="18" customHeight="1" x14ac:dyDescent="0.55000000000000004">
      <c r="B11" s="180" t="s">
        <v>243</v>
      </c>
      <c r="C11" s="258" t="s">
        <v>450</v>
      </c>
      <c r="D11" s="247"/>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6779382.144442304</v>
      </c>
      <c r="E18" s="214"/>
      <c r="F18" s="214"/>
      <c r="G18" s="214">
        <v>5618549.5829894282</v>
      </c>
      <c r="H18" s="249">
        <f>(D18+E18)-G18</f>
        <v>1160832.5614528758</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1941172</v>
      </c>
      <c r="E21" s="216">
        <v>1482861</v>
      </c>
      <c r="F21" s="216">
        <v>22410</v>
      </c>
      <c r="G21" s="184"/>
      <c r="H21" s="217">
        <f>(D21+E21)-F21-G21</f>
        <v>3401623</v>
      </c>
    </row>
    <row r="22" spans="1:8" ht="18" customHeight="1" x14ac:dyDescent="0.55000000000000004">
      <c r="A22" s="180" t="s">
        <v>112</v>
      </c>
      <c r="B22" s="176" t="s">
        <v>113</v>
      </c>
      <c r="D22" s="184">
        <v>585143</v>
      </c>
      <c r="E22" s="216">
        <v>446991</v>
      </c>
      <c r="F22" s="216">
        <v>471112</v>
      </c>
      <c r="G22" s="184"/>
      <c r="H22" s="217">
        <f t="shared" ref="H22:H34" si="0">(D22+E22)-F22-G22</f>
        <v>561022</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c r="E24" s="216"/>
      <c r="F24" s="216"/>
      <c r="G24" s="184"/>
      <c r="H24" s="217">
        <f t="shared" si="0"/>
        <v>0</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c r="E29" s="216"/>
      <c r="F29" s="216"/>
      <c r="G29" s="184"/>
      <c r="H29" s="217">
        <f t="shared" si="0"/>
        <v>0</v>
      </c>
    </row>
    <row r="30" spans="1:8" ht="18" customHeight="1" x14ac:dyDescent="0.55000000000000004">
      <c r="A30" s="180" t="s">
        <v>128</v>
      </c>
      <c r="B30" s="185"/>
      <c r="D30" s="184"/>
      <c r="E30" s="216"/>
      <c r="F30" s="216"/>
      <c r="G30" s="184"/>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2526315</v>
      </c>
      <c r="E36" s="217">
        <f>SUM(E21:E34)</f>
        <v>1929852</v>
      </c>
      <c r="F36" s="217">
        <f>SUM(F21:F34)</f>
        <v>493522</v>
      </c>
      <c r="G36" s="217">
        <f>SUM(G21:G34)</f>
        <v>0</v>
      </c>
      <c r="H36" s="217">
        <f>SUM(H21:H34)</f>
        <v>3962645</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v>12503</v>
      </c>
      <c r="E41" s="216"/>
      <c r="F41" s="216"/>
      <c r="G41" s="184"/>
      <c r="H41" s="217">
        <f t="shared" ref="H41:H47" si="1">(D41+E41)-F41-G41</f>
        <v>12503</v>
      </c>
    </row>
    <row r="42" spans="1:8" ht="18" customHeight="1" x14ac:dyDescent="0.55000000000000004">
      <c r="A42" s="180" t="s">
        <v>252</v>
      </c>
      <c r="B42" s="176" t="s">
        <v>143</v>
      </c>
      <c r="D42" s="184"/>
      <c r="E42" s="216"/>
      <c r="F42" s="216"/>
      <c r="G42" s="184"/>
      <c r="H42" s="217">
        <f t="shared" si="1"/>
        <v>0</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12503</v>
      </c>
      <c r="E49" s="217">
        <f>SUM(E40:E47)</f>
        <v>0</v>
      </c>
      <c r="F49" s="217">
        <f>SUM(F40:F47)</f>
        <v>0</v>
      </c>
      <c r="G49" s="217">
        <f>SUM(G40:G47)</f>
        <v>0</v>
      </c>
      <c r="H49" s="217">
        <f>SUM(H40:H47)</f>
        <v>12503</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22">
        <v>8539864</v>
      </c>
      <c r="E53" s="222">
        <v>6523602</v>
      </c>
      <c r="F53" s="222"/>
      <c r="G53" s="222"/>
      <c r="H53" s="217">
        <f>(D53+E53)-F53-G53</f>
        <v>15063466</v>
      </c>
    </row>
    <row r="54" spans="1:8" ht="18" customHeight="1" x14ac:dyDescent="0.55000000000000004">
      <c r="A54" s="180" t="s">
        <v>259</v>
      </c>
      <c r="B54" s="193" t="s">
        <v>359</v>
      </c>
      <c r="D54" s="184">
        <v>155023</v>
      </c>
      <c r="E54" s="216">
        <v>118422</v>
      </c>
      <c r="F54" s="216"/>
      <c r="G54" s="184">
        <v>125069</v>
      </c>
      <c r="H54" s="217">
        <f t="shared" ref="H54:H62" si="2">(D54+E54)-F54-G54</f>
        <v>148376</v>
      </c>
    </row>
    <row r="55" spans="1:8" ht="18" customHeight="1" x14ac:dyDescent="0.55000000000000004">
      <c r="A55" s="180" t="s">
        <v>260</v>
      </c>
      <c r="B55" s="194"/>
      <c r="D55" s="184"/>
      <c r="E55" s="216"/>
      <c r="F55" s="216"/>
      <c r="G55" s="184"/>
      <c r="H55" s="217">
        <f t="shared" si="2"/>
        <v>0</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8694887</v>
      </c>
      <c r="E64" s="217">
        <f>SUM(E53:E62)</f>
        <v>6642024</v>
      </c>
      <c r="F64" s="217">
        <f>SUM(F53:F62)</f>
        <v>0</v>
      </c>
      <c r="G64" s="217">
        <f>SUM(G53:G62)</f>
        <v>125069</v>
      </c>
      <c r="H64" s="217">
        <f>SUM(H53:H62)</f>
        <v>15211842</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v>234637</v>
      </c>
      <c r="E68" s="216">
        <v>179239</v>
      </c>
      <c r="F68" s="216"/>
      <c r="G68" s="228">
        <v>91721</v>
      </c>
      <c r="H68" s="217">
        <f>(D68+E68)-F68-G68</f>
        <v>322155</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234637</v>
      </c>
      <c r="E74" s="229">
        <f>SUM(E68:E72)</f>
        <v>179239</v>
      </c>
      <c r="F74" s="229">
        <f>SUM(F68:F72)</f>
        <v>0</v>
      </c>
      <c r="G74" s="217">
        <f>SUM(G68:G72)</f>
        <v>91721</v>
      </c>
      <c r="H74" s="217">
        <f>SUM(H68:H72)</f>
        <v>322155</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128675</v>
      </c>
      <c r="E77" s="230"/>
      <c r="F77" s="220"/>
      <c r="G77" s="184"/>
      <c r="H77" s="217">
        <f>(D77-F77-G77)</f>
        <v>128675</v>
      </c>
    </row>
    <row r="78" spans="1:10" ht="18" customHeight="1" x14ac:dyDescent="0.55000000000000004">
      <c r="A78" s="180" t="s">
        <v>281</v>
      </c>
      <c r="B78" s="176" t="s">
        <v>166</v>
      </c>
      <c r="D78" s="184"/>
      <c r="E78" s="230" t="s">
        <v>247</v>
      </c>
      <c r="F78" s="220"/>
      <c r="G78" s="184"/>
      <c r="H78" s="217">
        <f>(D78-F78-G78)</f>
        <v>0</v>
      </c>
    </row>
    <row r="79" spans="1:10" ht="18" customHeight="1" x14ac:dyDescent="0.55000000000000004">
      <c r="A79" s="180" t="s">
        <v>282</v>
      </c>
      <c r="B79" s="176" t="s">
        <v>168</v>
      </c>
      <c r="D79" s="184"/>
      <c r="E79" s="230"/>
      <c r="F79" s="220"/>
      <c r="G79" s="184"/>
      <c r="H79" s="217">
        <f>(D79-F79-G79)</f>
        <v>0</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128675</v>
      </c>
      <c r="E82" s="231"/>
      <c r="F82" s="217">
        <f>SUM(F77:F80)</f>
        <v>0</v>
      </c>
      <c r="G82" s="217">
        <f>SUM(G77:G80)</f>
        <v>0</v>
      </c>
      <c r="H82" s="217">
        <f>SUM(H77:H80)</f>
        <v>128675</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c r="E88" s="216"/>
      <c r="F88" s="216"/>
      <c r="G88" s="184"/>
      <c r="H88" s="217">
        <f t="shared" si="3"/>
        <v>0</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c r="E91" s="216"/>
      <c r="F91" s="216"/>
      <c r="G91" s="184"/>
      <c r="H91" s="217">
        <f t="shared" si="3"/>
        <v>0</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0</v>
      </c>
      <c r="E98" s="217">
        <f>SUM(E86:E96)</f>
        <v>0</v>
      </c>
      <c r="F98" s="217">
        <f>SUM(F86:F96)</f>
        <v>0</v>
      </c>
      <c r="G98" s="217">
        <f>SUM(G86:G96)</f>
        <v>0</v>
      </c>
      <c r="H98" s="217">
        <f>SUM(H86:H96)</f>
        <v>0</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15368</v>
      </c>
      <c r="E102" s="216">
        <v>11740</v>
      </c>
      <c r="F102" s="216"/>
      <c r="G102" s="184"/>
      <c r="H102" s="217">
        <f>(D102+E102)-F102-G102</f>
        <v>27108</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15368</v>
      </c>
      <c r="E108" s="217">
        <f>SUM(E102:E106)</f>
        <v>11740</v>
      </c>
      <c r="F108" s="217">
        <f>SUM(F102:F106)</f>
        <v>0</v>
      </c>
      <c r="G108" s="217">
        <f>SUM(G102:G106)</f>
        <v>0</v>
      </c>
      <c r="H108" s="217">
        <f>SUM(H102:H106)</f>
        <v>27108</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6377000</v>
      </c>
      <c r="G111" s="184">
        <v>851200</v>
      </c>
      <c r="H111" s="217">
        <f>F111-G111</f>
        <v>5525800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0.76390000000000002</v>
      </c>
      <c r="F114" s="235" t="s">
        <v>429</v>
      </c>
      <c r="G114" s="236">
        <v>0.76390000000000002</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398432000</v>
      </c>
      <c r="F117" s="237"/>
    </row>
    <row r="118" spans="1:7" ht="18" customHeight="1" x14ac:dyDescent="0.55000000000000004">
      <c r="A118" s="180" t="s">
        <v>319</v>
      </c>
      <c r="B118" s="176" t="s">
        <v>320</v>
      </c>
      <c r="E118" s="184">
        <v>21866000</v>
      </c>
      <c r="F118" s="237"/>
    </row>
    <row r="119" spans="1:7" ht="18" customHeight="1" x14ac:dyDescent="0.55000000000000004">
      <c r="A119" s="180" t="s">
        <v>321</v>
      </c>
      <c r="B119" s="179" t="s">
        <v>322</v>
      </c>
      <c r="E119" s="217">
        <f>SUM(E117:E118)</f>
        <v>420298000</v>
      </c>
      <c r="F119" s="238"/>
    </row>
    <row r="120" spans="1:7" ht="18" customHeight="1" x14ac:dyDescent="0.55000000000000004">
      <c r="A120" s="180"/>
      <c r="B120" s="179"/>
      <c r="F120" s="212"/>
    </row>
    <row r="121" spans="1:7" ht="18" customHeight="1" x14ac:dyDescent="0.55000000000000004">
      <c r="A121" s="180" t="s">
        <v>323</v>
      </c>
      <c r="B121" s="179" t="s">
        <v>324</v>
      </c>
      <c r="E121" s="184">
        <v>383617000</v>
      </c>
      <c r="F121" s="237"/>
    </row>
    <row r="122" spans="1:7" ht="18" customHeight="1" x14ac:dyDescent="0.55000000000000004">
      <c r="A122" s="180"/>
      <c r="F122" s="212"/>
    </row>
    <row r="123" spans="1:7" ht="18" customHeight="1" x14ac:dyDescent="0.55000000000000004">
      <c r="A123" s="180" t="s">
        <v>325</v>
      </c>
      <c r="B123" s="179" t="s">
        <v>326</v>
      </c>
      <c r="E123" s="184">
        <f>E119-E121</f>
        <v>36681000</v>
      </c>
      <c r="F123" s="237"/>
    </row>
    <row r="124" spans="1:7" ht="18" customHeight="1" x14ac:dyDescent="0.55000000000000004">
      <c r="A124" s="180"/>
      <c r="F124" s="212"/>
    </row>
    <row r="125" spans="1:7" ht="18" customHeight="1" x14ac:dyDescent="0.55000000000000004">
      <c r="A125" s="180" t="s">
        <v>327</v>
      </c>
      <c r="B125" s="179" t="s">
        <v>328</v>
      </c>
      <c r="E125" s="184">
        <v>47232000</v>
      </c>
      <c r="F125" s="237"/>
    </row>
    <row r="126" spans="1:7" ht="18" customHeight="1" x14ac:dyDescent="0.55000000000000004">
      <c r="A126" s="180"/>
      <c r="F126" s="212"/>
    </row>
    <row r="127" spans="1:7" ht="18" customHeight="1" x14ac:dyDescent="0.55000000000000004">
      <c r="A127" s="180" t="s">
        <v>329</v>
      </c>
      <c r="B127" s="179" t="s">
        <v>330</v>
      </c>
      <c r="E127" s="184">
        <f>E123+E125</f>
        <v>83913000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2526315</v>
      </c>
      <c r="E141" s="239">
        <f>E36</f>
        <v>1929852</v>
      </c>
      <c r="F141" s="239">
        <f>F36</f>
        <v>493522</v>
      </c>
      <c r="G141" s="239">
        <f>G36</f>
        <v>0</v>
      </c>
      <c r="H141" s="239">
        <f>H36</f>
        <v>3962645</v>
      </c>
    </row>
    <row r="142" spans="1:8" ht="18" customHeight="1" x14ac:dyDescent="0.55000000000000004">
      <c r="A142" s="180" t="s">
        <v>150</v>
      </c>
      <c r="B142" s="179" t="s">
        <v>220</v>
      </c>
      <c r="D142" s="239">
        <f>D49</f>
        <v>12503</v>
      </c>
      <c r="E142" s="239">
        <f>E49</f>
        <v>0</v>
      </c>
      <c r="F142" s="239">
        <f>F49</f>
        <v>0</v>
      </c>
      <c r="G142" s="239">
        <f>G49</f>
        <v>0</v>
      </c>
      <c r="H142" s="239">
        <f>H49</f>
        <v>12503</v>
      </c>
    </row>
    <row r="143" spans="1:8" ht="18" customHeight="1" x14ac:dyDescent="0.55000000000000004">
      <c r="A143" s="180" t="s">
        <v>269</v>
      </c>
      <c r="B143" s="179" t="s">
        <v>222</v>
      </c>
      <c r="D143" s="239">
        <f>D64</f>
        <v>8694887</v>
      </c>
      <c r="E143" s="239">
        <f>E64</f>
        <v>6642024</v>
      </c>
      <c r="F143" s="239">
        <f>F64</f>
        <v>0</v>
      </c>
      <c r="G143" s="239">
        <f>G64</f>
        <v>125069</v>
      </c>
      <c r="H143" s="239">
        <f>H64</f>
        <v>15211842</v>
      </c>
    </row>
    <row r="144" spans="1:8" ht="18" customHeight="1" x14ac:dyDescent="0.55000000000000004">
      <c r="A144" s="180" t="s">
        <v>161</v>
      </c>
      <c r="B144" s="179" t="s">
        <v>70</v>
      </c>
      <c r="D144" s="239">
        <f>D74</f>
        <v>234637</v>
      </c>
      <c r="E144" s="239">
        <f>E74</f>
        <v>179239</v>
      </c>
      <c r="F144" s="239">
        <f>F74</f>
        <v>0</v>
      </c>
      <c r="G144" s="239">
        <f>G74</f>
        <v>91721</v>
      </c>
      <c r="H144" s="239">
        <f>H74</f>
        <v>322155</v>
      </c>
    </row>
    <row r="145" spans="1:8" ht="18" customHeight="1" x14ac:dyDescent="0.55000000000000004">
      <c r="A145" s="180" t="s">
        <v>171</v>
      </c>
      <c r="B145" s="179" t="s">
        <v>69</v>
      </c>
      <c r="D145" s="239">
        <f>D82</f>
        <v>128675</v>
      </c>
      <c r="E145" s="239">
        <f>E82</f>
        <v>0</v>
      </c>
      <c r="F145" s="239">
        <f>F82</f>
        <v>0</v>
      </c>
      <c r="G145" s="239">
        <f>G82</f>
        <v>0</v>
      </c>
      <c r="H145" s="239">
        <f>H82</f>
        <v>128675</v>
      </c>
    </row>
    <row r="146" spans="1:8" ht="18" customHeight="1" x14ac:dyDescent="0.55000000000000004">
      <c r="A146" s="180" t="s">
        <v>193</v>
      </c>
      <c r="B146" s="179" t="s">
        <v>226</v>
      </c>
      <c r="D146" s="239">
        <f>D98</f>
        <v>0</v>
      </c>
      <c r="E146" s="239">
        <f>E98</f>
        <v>0</v>
      </c>
      <c r="F146" s="239">
        <f>F98</f>
        <v>0</v>
      </c>
      <c r="G146" s="239">
        <f>G98</f>
        <v>0</v>
      </c>
      <c r="H146" s="239">
        <f>H98</f>
        <v>0</v>
      </c>
    </row>
    <row r="147" spans="1:8" ht="18" customHeight="1" x14ac:dyDescent="0.55000000000000004">
      <c r="A147" s="180" t="s">
        <v>204</v>
      </c>
      <c r="B147" s="179" t="s">
        <v>71</v>
      </c>
      <c r="D147" s="217">
        <f>D108</f>
        <v>15368</v>
      </c>
      <c r="E147" s="217">
        <f>E108</f>
        <v>11740</v>
      </c>
      <c r="F147" s="217">
        <f>F108</f>
        <v>0</v>
      </c>
      <c r="G147" s="217">
        <f>G108</f>
        <v>0</v>
      </c>
      <c r="H147" s="217">
        <f>H108</f>
        <v>27108</v>
      </c>
    </row>
    <row r="148" spans="1:8" ht="18" customHeight="1" x14ac:dyDescent="0.55000000000000004">
      <c r="A148" s="180" t="s">
        <v>310</v>
      </c>
      <c r="B148" s="179" t="s">
        <v>58</v>
      </c>
      <c r="D148" s="240" t="s">
        <v>245</v>
      </c>
      <c r="E148" s="240" t="s">
        <v>245</v>
      </c>
      <c r="F148" s="240"/>
      <c r="G148" s="240" t="s">
        <v>245</v>
      </c>
      <c r="H148" s="239">
        <f>H111</f>
        <v>5525800</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6779382.144442304</v>
      </c>
      <c r="E150" s="217">
        <f>E18</f>
        <v>0</v>
      </c>
      <c r="F150" s="217">
        <f>F18</f>
        <v>0</v>
      </c>
      <c r="G150" s="217">
        <f>G18</f>
        <v>5618549.5829894282</v>
      </c>
      <c r="H150" s="217">
        <f>H18</f>
        <v>1160832.5614528758</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18391767.144442305</v>
      </c>
      <c r="E152" s="241">
        <f>SUM(E141:E150)</f>
        <v>8762855</v>
      </c>
      <c r="F152" s="241">
        <f>SUM(F141:F150)</f>
        <v>493522</v>
      </c>
      <c r="G152" s="241">
        <f>SUM(G141:G150)</f>
        <v>5835339.5829894282</v>
      </c>
      <c r="H152" s="241">
        <f>SUM(H141:H150)</f>
        <v>26351560.561452877</v>
      </c>
    </row>
    <row r="154" spans="1:8" ht="18" customHeight="1" x14ac:dyDescent="0.55000000000000004">
      <c r="A154" s="183" t="s">
        <v>339</v>
      </c>
      <c r="B154" s="179" t="s">
        <v>340</v>
      </c>
      <c r="D154" s="242">
        <f>H152/E121</f>
        <v>6.869236911151716E-2</v>
      </c>
    </row>
    <row r="155" spans="1:8" ht="18" customHeight="1" x14ac:dyDescent="0.55000000000000004">
      <c r="A155" s="183" t="s">
        <v>341</v>
      </c>
      <c r="B155" s="179" t="s">
        <v>342</v>
      </c>
      <c r="D155" s="242">
        <f>H152/E127</f>
        <v>0.31403430411798977</v>
      </c>
    </row>
  </sheetData>
  <mergeCells count="2">
    <mergeCell ref="C2:D2"/>
    <mergeCell ref="B13:D13"/>
  </mergeCells>
  <hyperlinks>
    <hyperlink ref="C11" r:id="rId1" xr:uid="{16ADED36-03F7-499C-8029-D57D0B37EA02}"/>
  </hyperlinks>
  <printOptions headings="1" gridLines="1"/>
  <pageMargins left="0.17" right="0.16" top="0.35" bottom="0.32" header="0.17" footer="0.17"/>
  <pageSetup scale="59" fitToHeight="3" orientation="landscape" r:id="rId2"/>
  <headerFooter alignWithMargins="0"/>
  <rowBreaks count="4" manualBreakCount="4">
    <brk id="37" max="16383" man="1"/>
    <brk id="74" max="16383" man="1"/>
    <brk id="109" max="16383" man="1"/>
    <brk id="138"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B0210-01D1-459C-B53A-2DAA49A2462C}">
  <sheetPr codeName="Sheet15"/>
  <dimension ref="A1:J155"/>
  <sheetViews>
    <sheetView zoomScaleNormal="100" workbookViewId="0">
      <selection activeCell="E21" sqref="E21"/>
    </sheetView>
  </sheetViews>
  <sheetFormatPr defaultColWidth="9" defaultRowHeight="18" customHeight="1" x14ac:dyDescent="0.55000000000000004"/>
  <cols>
    <col min="1" max="1" width="8.26171875" style="175" customWidth="1"/>
    <col min="2" max="2" width="55.41796875" style="176" bestFit="1" customWidth="1"/>
    <col min="3" max="3" width="10.15625" style="176" customWidth="1"/>
    <col min="4" max="4" width="17.83984375" style="176" customWidth="1"/>
    <col min="5" max="6" width="21.15625" style="176" customWidth="1"/>
    <col min="7" max="7" width="19.83984375" style="176" customWidth="1"/>
    <col min="8" max="8" width="17.578125" style="176" customWidth="1"/>
    <col min="9" max="9" width="11.83984375" customWidth="1"/>
    <col min="10" max="10" width="14" style="176" customWidth="1"/>
    <col min="11"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01" t="s">
        <v>451</v>
      </c>
      <c r="D5" s="501"/>
      <c r="E5" s="501"/>
      <c r="F5" s="208"/>
    </row>
    <row r="6" spans="1:8" ht="18" customHeight="1" x14ac:dyDescent="0.55000000000000004">
      <c r="B6" s="180" t="s">
        <v>237</v>
      </c>
      <c r="C6" s="243">
        <v>210006</v>
      </c>
      <c r="D6" s="244"/>
      <c r="E6" s="244"/>
      <c r="F6" s="209"/>
    </row>
    <row r="7" spans="1:8" ht="18" customHeight="1" x14ac:dyDescent="0.55000000000000004">
      <c r="B7" s="180" t="s">
        <v>238</v>
      </c>
      <c r="C7" s="246">
        <v>759</v>
      </c>
      <c r="D7" s="246"/>
      <c r="E7" s="246"/>
      <c r="F7" s="210"/>
    </row>
    <row r="8" spans="1:8" ht="18" customHeight="1" x14ac:dyDescent="0.55000000000000004">
      <c r="C8" s="211"/>
      <c r="D8" s="211"/>
      <c r="E8" s="211"/>
      <c r="F8" s="212"/>
    </row>
    <row r="9" spans="1:8" ht="18" customHeight="1" x14ac:dyDescent="0.55000000000000004">
      <c r="B9" s="180" t="s">
        <v>239</v>
      </c>
      <c r="C9" s="247" t="s">
        <v>360</v>
      </c>
      <c r="D9" s="247"/>
      <c r="E9" s="247"/>
      <c r="F9" s="208"/>
    </row>
    <row r="10" spans="1:8" ht="18" customHeight="1" x14ac:dyDescent="0.55000000000000004">
      <c r="B10" s="180" t="s">
        <v>241</v>
      </c>
      <c r="C10" s="248" t="s">
        <v>452</v>
      </c>
      <c r="D10" s="248"/>
      <c r="E10" s="248"/>
      <c r="F10" s="213"/>
    </row>
    <row r="11" spans="1:8" ht="18" customHeight="1" x14ac:dyDescent="0.7">
      <c r="B11" s="180" t="s">
        <v>243</v>
      </c>
      <c r="C11" s="259" t="s">
        <v>453</v>
      </c>
      <c r="D11" s="247"/>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10" ht="18" customHeight="1" x14ac:dyDescent="0.55000000000000004">
      <c r="A17" s="183" t="s">
        <v>101</v>
      </c>
      <c r="B17" s="179" t="s">
        <v>102</v>
      </c>
    </row>
    <row r="18" spans="1:10" ht="18" customHeight="1" x14ac:dyDescent="0.55000000000000004">
      <c r="A18" s="180" t="s">
        <v>103</v>
      </c>
      <c r="B18" s="176" t="s">
        <v>104</v>
      </c>
      <c r="D18" s="214">
        <v>1995609.5107958473</v>
      </c>
      <c r="E18" s="214"/>
      <c r="F18" s="214"/>
      <c r="G18" s="214">
        <v>1653901.6013256644</v>
      </c>
      <c r="H18" s="249">
        <f>(D18+E18)-G18</f>
        <v>341707.90947018284</v>
      </c>
    </row>
    <row r="19" spans="1:10" ht="45" customHeight="1" x14ac:dyDescent="0.55000000000000004">
      <c r="A19" s="178" t="s">
        <v>105</v>
      </c>
      <c r="B19" s="177"/>
      <c r="C19" s="177"/>
      <c r="D19" s="182" t="s">
        <v>99</v>
      </c>
      <c r="E19" s="182" t="s">
        <v>100</v>
      </c>
      <c r="F19" s="182" t="s">
        <v>431</v>
      </c>
      <c r="G19" s="182" t="s">
        <v>432</v>
      </c>
      <c r="H19" s="182" t="s">
        <v>244</v>
      </c>
    </row>
    <row r="20" spans="1:10" ht="18" customHeight="1" x14ac:dyDescent="0.55000000000000004">
      <c r="A20" s="183" t="s">
        <v>108</v>
      </c>
      <c r="B20" s="179" t="s">
        <v>109</v>
      </c>
    </row>
    <row r="21" spans="1:10" ht="18" customHeight="1" x14ac:dyDescent="0.45">
      <c r="A21" s="180" t="s">
        <v>110</v>
      </c>
      <c r="B21" s="176" t="s">
        <v>111</v>
      </c>
      <c r="D21" s="184">
        <v>48598.8</v>
      </c>
      <c r="E21" s="260">
        <f>D21*$G$114</f>
        <v>5345.8680000000004</v>
      </c>
      <c r="F21" s="216"/>
      <c r="G21" s="184">
        <v>0</v>
      </c>
      <c r="H21" s="217">
        <f>(D21+E21)-F21-G21</f>
        <v>53944.668000000005</v>
      </c>
      <c r="I21" s="261"/>
      <c r="J21" s="262"/>
    </row>
    <row r="22" spans="1:10" ht="18" customHeight="1" x14ac:dyDescent="0.45">
      <c r="A22" s="180" t="s">
        <v>112</v>
      </c>
      <c r="B22" s="176" t="s">
        <v>113</v>
      </c>
      <c r="D22" s="184">
        <v>979.8</v>
      </c>
      <c r="E22" s="260">
        <f t="shared" ref="E22:E29" si="0">D22*$G$114</f>
        <v>107.77799999999999</v>
      </c>
      <c r="F22" s="216"/>
      <c r="G22" s="184">
        <v>0</v>
      </c>
      <c r="H22" s="217">
        <f t="shared" ref="H22:H34" si="1">(D22+E22)-F22-G22</f>
        <v>1087.578</v>
      </c>
      <c r="I22" s="261"/>
      <c r="J22" s="262"/>
    </row>
    <row r="23" spans="1:10" ht="18" customHeight="1" x14ac:dyDescent="0.45">
      <c r="A23" s="180" t="s">
        <v>114</v>
      </c>
      <c r="B23" s="176" t="s">
        <v>115</v>
      </c>
      <c r="D23" s="184">
        <v>1735.8</v>
      </c>
      <c r="E23" s="260">
        <f t="shared" si="0"/>
        <v>190.93799999999999</v>
      </c>
      <c r="F23" s="216"/>
      <c r="G23" s="184">
        <v>0</v>
      </c>
      <c r="H23" s="217">
        <f t="shared" si="1"/>
        <v>1926.7379999999998</v>
      </c>
      <c r="I23" s="261"/>
      <c r="J23" s="262"/>
    </row>
    <row r="24" spans="1:10" ht="18" customHeight="1" x14ac:dyDescent="0.45">
      <c r="A24" s="180" t="s">
        <v>116</v>
      </c>
      <c r="B24" s="176" t="s">
        <v>117</v>
      </c>
      <c r="D24" s="184">
        <v>683441</v>
      </c>
      <c r="E24" s="260">
        <f t="shared" si="0"/>
        <v>75178.509999999995</v>
      </c>
      <c r="F24" s="216"/>
      <c r="G24" s="184">
        <v>242728.5</v>
      </c>
      <c r="H24" s="217">
        <f t="shared" si="1"/>
        <v>515891.01</v>
      </c>
      <c r="I24" s="261"/>
      <c r="J24" s="262"/>
    </row>
    <row r="25" spans="1:10" ht="18" customHeight="1" x14ac:dyDescent="0.45">
      <c r="A25" s="180" t="s">
        <v>118</v>
      </c>
      <c r="B25" s="176" t="s">
        <v>119</v>
      </c>
      <c r="D25" s="184">
        <v>153715.79999999999</v>
      </c>
      <c r="E25" s="260">
        <f t="shared" si="0"/>
        <v>16908.737999999998</v>
      </c>
      <c r="F25" s="216"/>
      <c r="G25" s="184">
        <v>132643</v>
      </c>
      <c r="H25" s="217">
        <f t="shared" si="1"/>
        <v>37981.538</v>
      </c>
      <c r="I25" s="261"/>
      <c r="J25" s="262"/>
    </row>
    <row r="26" spans="1:10" ht="18" customHeight="1" x14ac:dyDescent="0.55000000000000004">
      <c r="A26" s="180" t="s">
        <v>120</v>
      </c>
      <c r="B26" s="176" t="s">
        <v>121</v>
      </c>
      <c r="D26" s="184"/>
      <c r="E26" s="260">
        <f t="shared" si="0"/>
        <v>0</v>
      </c>
      <c r="F26" s="216"/>
      <c r="G26" s="184">
        <v>0</v>
      </c>
      <c r="H26" s="217">
        <f t="shared" si="1"/>
        <v>0</v>
      </c>
      <c r="J26" s="262"/>
    </row>
    <row r="27" spans="1:10" ht="18" customHeight="1" x14ac:dyDescent="0.45">
      <c r="A27" s="180" t="s">
        <v>122</v>
      </c>
      <c r="B27" s="176" t="s">
        <v>246</v>
      </c>
      <c r="D27" s="184">
        <v>1566</v>
      </c>
      <c r="E27" s="260">
        <f t="shared" si="0"/>
        <v>172.26</v>
      </c>
      <c r="F27" s="216"/>
      <c r="G27" s="184">
        <v>0</v>
      </c>
      <c r="H27" s="217">
        <f t="shared" si="1"/>
        <v>1738.26</v>
      </c>
      <c r="I27" s="261"/>
      <c r="J27" s="262"/>
    </row>
    <row r="28" spans="1:10" ht="18" customHeight="1" x14ac:dyDescent="0.45">
      <c r="A28" s="180" t="s">
        <v>124</v>
      </c>
      <c r="B28" s="176" t="s">
        <v>125</v>
      </c>
      <c r="D28" s="184">
        <v>16152.9</v>
      </c>
      <c r="E28" s="260">
        <f t="shared" si="0"/>
        <v>1776.819</v>
      </c>
      <c r="F28" s="216"/>
      <c r="G28" s="184">
        <v>6740</v>
      </c>
      <c r="H28" s="217">
        <f t="shared" si="1"/>
        <v>11189.719000000001</v>
      </c>
      <c r="I28" s="261"/>
      <c r="J28" s="262"/>
    </row>
    <row r="29" spans="1:10" ht="18" customHeight="1" x14ac:dyDescent="0.45">
      <c r="A29" s="180" t="s">
        <v>126</v>
      </c>
      <c r="B29" s="176" t="s">
        <v>127</v>
      </c>
      <c r="D29" s="184">
        <v>144893.4</v>
      </c>
      <c r="E29" s="260">
        <f t="shared" si="0"/>
        <v>15938.273999999999</v>
      </c>
      <c r="F29" s="216"/>
      <c r="G29" s="184">
        <v>19</v>
      </c>
      <c r="H29" s="217">
        <f t="shared" si="1"/>
        <v>160812.674</v>
      </c>
      <c r="I29" s="261"/>
      <c r="J29" s="262"/>
    </row>
    <row r="30" spans="1:10" ht="18" customHeight="1" x14ac:dyDescent="0.55000000000000004">
      <c r="A30" s="180" t="s">
        <v>128</v>
      </c>
      <c r="B30" s="185"/>
      <c r="D30" s="184"/>
      <c r="E30" s="260"/>
      <c r="F30" s="216"/>
      <c r="G30" s="184"/>
      <c r="H30" s="217">
        <f t="shared" si="1"/>
        <v>0</v>
      </c>
    </row>
    <row r="31" spans="1:10" ht="18" customHeight="1" x14ac:dyDescent="0.55000000000000004">
      <c r="A31" s="180" t="s">
        <v>130</v>
      </c>
      <c r="B31" s="185"/>
      <c r="D31" s="184"/>
      <c r="E31" s="260"/>
      <c r="F31" s="216"/>
      <c r="G31" s="184"/>
      <c r="H31" s="217">
        <f t="shared" si="1"/>
        <v>0</v>
      </c>
    </row>
    <row r="32" spans="1:10" ht="18" customHeight="1" x14ac:dyDescent="0.55000000000000004">
      <c r="A32" s="180" t="s">
        <v>131</v>
      </c>
      <c r="B32" s="185"/>
      <c r="D32" s="184"/>
      <c r="E32" s="260"/>
      <c r="F32" s="216"/>
      <c r="G32" s="184"/>
      <c r="H32" s="217">
        <f t="shared" si="1"/>
        <v>0</v>
      </c>
    </row>
    <row r="33" spans="1:8" ht="18" customHeight="1" x14ac:dyDescent="0.55000000000000004">
      <c r="A33" s="180" t="s">
        <v>132</v>
      </c>
      <c r="B33" s="185"/>
      <c r="D33" s="184"/>
      <c r="E33" s="260"/>
      <c r="F33" s="216"/>
      <c r="G33" s="184"/>
      <c r="H33" s="217">
        <f t="shared" si="1"/>
        <v>0</v>
      </c>
    </row>
    <row r="34" spans="1:8" ht="18" customHeight="1" x14ac:dyDescent="0.55000000000000004">
      <c r="A34" s="180" t="s">
        <v>133</v>
      </c>
      <c r="B34" s="185"/>
      <c r="D34" s="184"/>
      <c r="E34" s="260"/>
      <c r="F34" s="216"/>
      <c r="G34" s="184"/>
      <c r="H34" s="217">
        <f t="shared" si="1"/>
        <v>0</v>
      </c>
    </row>
    <row r="35" spans="1:8" ht="18" customHeight="1" x14ac:dyDescent="0.55000000000000004">
      <c r="H35" s="186"/>
    </row>
    <row r="36" spans="1:8" ht="18" customHeight="1" x14ac:dyDescent="0.55000000000000004">
      <c r="A36" s="183" t="s">
        <v>134</v>
      </c>
      <c r="B36" s="179" t="s">
        <v>135</v>
      </c>
      <c r="C36" s="179" t="s">
        <v>248</v>
      </c>
      <c r="D36" s="217">
        <f>SUM(D21:D34)</f>
        <v>1051083.5</v>
      </c>
      <c r="E36" s="217">
        <f>SUM(E21:E34)</f>
        <v>115619.185</v>
      </c>
      <c r="F36" s="217">
        <f>SUM(F21:F34)</f>
        <v>0</v>
      </c>
      <c r="G36" s="217">
        <f>SUM(G21:G34)</f>
        <v>382130.5</v>
      </c>
      <c r="H36" s="217">
        <f>SUM(H21:H34)</f>
        <v>784572.18500000017</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c r="E41" s="216"/>
      <c r="F41" s="216"/>
      <c r="G41" s="184"/>
      <c r="H41" s="217">
        <f t="shared" ref="H41:H47" si="2">(D41+E41)-F41-G41</f>
        <v>0</v>
      </c>
    </row>
    <row r="42" spans="1:8" ht="18" customHeight="1" x14ac:dyDescent="0.55000000000000004">
      <c r="A42" s="180" t="s">
        <v>252</v>
      </c>
      <c r="B42" s="176" t="s">
        <v>143</v>
      </c>
      <c r="D42" s="184">
        <v>349109.7</v>
      </c>
      <c r="E42" s="216">
        <f>D42*$E$114</f>
        <v>233559.90479300471</v>
      </c>
      <c r="F42" s="216"/>
      <c r="G42" s="184"/>
      <c r="H42" s="217">
        <f t="shared" si="2"/>
        <v>582669.60479300469</v>
      </c>
    </row>
    <row r="43" spans="1:8" ht="18" customHeight="1" x14ac:dyDescent="0.55000000000000004">
      <c r="A43" s="180" t="s">
        <v>253</v>
      </c>
      <c r="B43" s="176" t="s">
        <v>145</v>
      </c>
      <c r="D43" s="184"/>
      <c r="E43" s="216"/>
      <c r="F43" s="216"/>
      <c r="G43" s="184"/>
      <c r="H43" s="217">
        <f t="shared" si="2"/>
        <v>0</v>
      </c>
    </row>
    <row r="44" spans="1:8" ht="18" customHeight="1" x14ac:dyDescent="0.55000000000000004">
      <c r="A44" s="180" t="s">
        <v>146</v>
      </c>
      <c r="B44" s="185"/>
      <c r="D44" s="219"/>
      <c r="E44" s="220"/>
      <c r="F44" s="220"/>
      <c r="G44" s="219"/>
      <c r="H44" s="217">
        <f t="shared" si="2"/>
        <v>0</v>
      </c>
    </row>
    <row r="45" spans="1:8" ht="18" customHeight="1" x14ac:dyDescent="0.55000000000000004">
      <c r="A45" s="180" t="s">
        <v>147</v>
      </c>
      <c r="B45" s="185"/>
      <c r="D45" s="184"/>
      <c r="E45" s="216"/>
      <c r="F45" s="216"/>
      <c r="G45" s="184"/>
      <c r="H45" s="217">
        <f t="shared" si="2"/>
        <v>0</v>
      </c>
    </row>
    <row r="46" spans="1:8" ht="18" customHeight="1" x14ac:dyDescent="0.55000000000000004">
      <c r="A46" s="180" t="s">
        <v>148</v>
      </c>
      <c r="B46" s="185"/>
      <c r="D46" s="184"/>
      <c r="E46" s="216"/>
      <c r="F46" s="216"/>
      <c r="G46" s="184"/>
      <c r="H46" s="217">
        <f t="shared" si="2"/>
        <v>0</v>
      </c>
    </row>
    <row r="47" spans="1:8" ht="18" customHeight="1" x14ac:dyDescent="0.55000000000000004">
      <c r="A47" s="180" t="s">
        <v>149</v>
      </c>
      <c r="B47" s="185"/>
      <c r="D47" s="184"/>
      <c r="E47" s="216"/>
      <c r="F47" s="216"/>
      <c r="G47" s="184"/>
      <c r="H47" s="217">
        <f t="shared" si="2"/>
        <v>0</v>
      </c>
    </row>
    <row r="49" spans="1:8" ht="18" customHeight="1" x14ac:dyDescent="0.55000000000000004">
      <c r="A49" s="183" t="s">
        <v>150</v>
      </c>
      <c r="B49" s="179" t="s">
        <v>254</v>
      </c>
      <c r="C49" s="179" t="s">
        <v>248</v>
      </c>
      <c r="D49" s="217">
        <f>SUM(D40:D47)</f>
        <v>349109.7</v>
      </c>
      <c r="E49" s="217">
        <f>SUM(E40:E47)</f>
        <v>233559.90479300471</v>
      </c>
      <c r="F49" s="217">
        <f>SUM(F40:F47)</f>
        <v>0</v>
      </c>
      <c r="G49" s="217">
        <f>SUM(G40:G47)</f>
        <v>0</v>
      </c>
      <c r="H49" s="217">
        <f>SUM(H40:H47)</f>
        <v>582669.60479300469</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22"/>
      <c r="E53" s="222"/>
      <c r="F53" s="222"/>
      <c r="G53" s="222"/>
      <c r="H53" s="217">
        <f>(D53+E53)-F53-G53</f>
        <v>0</v>
      </c>
    </row>
    <row r="54" spans="1:8" ht="18" customHeight="1" x14ac:dyDescent="0.55000000000000004">
      <c r="A54" s="180" t="s">
        <v>259</v>
      </c>
      <c r="B54" s="193" t="s">
        <v>454</v>
      </c>
      <c r="D54" s="184">
        <f>816412+84800</f>
        <v>901212</v>
      </c>
      <c r="E54" s="216"/>
      <c r="F54" s="216"/>
      <c r="G54" s="184"/>
      <c r="H54" s="217">
        <f t="shared" ref="H54:H62" si="3">(D54+E54)-F54-G54</f>
        <v>901212</v>
      </c>
    </row>
    <row r="55" spans="1:8" ht="18" customHeight="1" x14ac:dyDescent="0.55000000000000004">
      <c r="A55" s="180" t="s">
        <v>260</v>
      </c>
      <c r="B55" s="194" t="s">
        <v>455</v>
      </c>
      <c r="D55" s="184">
        <f>495608</f>
        <v>495608</v>
      </c>
      <c r="E55" s="216"/>
      <c r="F55" s="216"/>
      <c r="G55" s="184"/>
      <c r="H55" s="217">
        <f t="shared" si="3"/>
        <v>495608</v>
      </c>
    </row>
    <row r="56" spans="1:8" ht="18" customHeight="1" x14ac:dyDescent="0.55000000000000004">
      <c r="A56" s="180" t="s">
        <v>261</v>
      </c>
      <c r="B56" s="193" t="s">
        <v>456</v>
      </c>
      <c r="D56" s="184">
        <f>1006516</f>
        <v>1006516</v>
      </c>
      <c r="E56" s="216"/>
      <c r="F56" s="216"/>
      <c r="G56" s="184"/>
      <c r="H56" s="217">
        <f t="shared" si="3"/>
        <v>1006516</v>
      </c>
    </row>
    <row r="57" spans="1:8" ht="18" customHeight="1" x14ac:dyDescent="0.55000000000000004">
      <c r="A57" s="180" t="s">
        <v>263</v>
      </c>
      <c r="B57" s="193"/>
      <c r="D57" s="184"/>
      <c r="E57" s="216"/>
      <c r="F57" s="216"/>
      <c r="G57" s="184"/>
      <c r="H57" s="217">
        <f t="shared" si="3"/>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3"/>
        <v>0</v>
      </c>
    </row>
    <row r="60" spans="1:8" ht="18" customHeight="1" x14ac:dyDescent="0.55000000000000004">
      <c r="A60" s="180" t="s">
        <v>266</v>
      </c>
      <c r="B60" s="226" t="s">
        <v>457</v>
      </c>
      <c r="C60" s="212"/>
      <c r="D60" s="184">
        <f>1294687</f>
        <v>1294687</v>
      </c>
      <c r="E60" s="222"/>
      <c r="F60" s="222"/>
      <c r="G60" s="184">
        <f>1045671</f>
        <v>1045671</v>
      </c>
      <c r="H60" s="217">
        <f t="shared" si="3"/>
        <v>249016</v>
      </c>
    </row>
    <row r="61" spans="1:8" ht="18" customHeight="1" x14ac:dyDescent="0.55000000000000004">
      <c r="A61" s="180" t="s">
        <v>267</v>
      </c>
      <c r="B61" s="226"/>
      <c r="C61" s="212"/>
      <c r="D61" s="222"/>
      <c r="E61" s="222"/>
      <c r="F61" s="222"/>
      <c r="G61" s="222"/>
      <c r="H61" s="217">
        <f t="shared" si="3"/>
        <v>0</v>
      </c>
    </row>
    <row r="62" spans="1:8" ht="18" customHeight="1" x14ac:dyDescent="0.55000000000000004">
      <c r="A62" s="180" t="s">
        <v>268</v>
      </c>
      <c r="B62" s="226"/>
      <c r="C62" s="212"/>
      <c r="D62" s="222"/>
      <c r="E62" s="222"/>
      <c r="F62" s="222"/>
      <c r="G62" s="222"/>
      <c r="H62" s="217">
        <f t="shared" si="3"/>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3698023</v>
      </c>
      <c r="E64" s="217">
        <f>SUM(E53:E62)</f>
        <v>0</v>
      </c>
      <c r="F64" s="217">
        <f>SUM(F53:F62)</f>
        <v>0</v>
      </c>
      <c r="G64" s="217">
        <f>SUM(G53:G62)</f>
        <v>1045671</v>
      </c>
      <c r="H64" s="217">
        <f>SUM(H53:H62)</f>
        <v>2652352</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184">
        <v>270398.40000000002</v>
      </c>
      <c r="E68" s="216">
        <f>D68*$E$114</f>
        <v>180900.80155372599</v>
      </c>
      <c r="F68" s="216"/>
      <c r="G68" s="228"/>
      <c r="H68" s="217">
        <f>(D68+E68)-F68-G68</f>
        <v>451299.20155372599</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270398.40000000002</v>
      </c>
      <c r="E74" s="229">
        <f>SUM(E68:E72)</f>
        <v>180900.80155372599</v>
      </c>
      <c r="F74" s="229">
        <f>SUM(F68:F72)</f>
        <v>0</v>
      </c>
      <c r="G74" s="217">
        <f>SUM(G68:G72)</f>
        <v>0</v>
      </c>
      <c r="H74" s="217">
        <f>SUM(H68:H72)</f>
        <v>451299.20155372599</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184">
        <v>7806.6</v>
      </c>
      <c r="E78" s="230"/>
      <c r="F78" s="220"/>
      <c r="G78" s="184">
        <v>7417</v>
      </c>
      <c r="H78" s="217">
        <f>(D78-F78-G78)</f>
        <v>389.60000000000036</v>
      </c>
    </row>
    <row r="79" spans="1:10" ht="18" customHeight="1" x14ac:dyDescent="0.55000000000000004">
      <c r="A79" s="180" t="s">
        <v>282</v>
      </c>
      <c r="B79" s="176" t="s">
        <v>168</v>
      </c>
      <c r="D79" s="184">
        <v>21266.400000000001</v>
      </c>
      <c r="E79" s="230"/>
      <c r="F79" s="220"/>
      <c r="G79" s="184"/>
      <c r="H79" s="217">
        <f>(D79-F79-G79)</f>
        <v>21266.400000000001</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29073</v>
      </c>
      <c r="E82" s="231"/>
      <c r="F82" s="217">
        <f>SUM(F77:F80)</f>
        <v>0</v>
      </c>
      <c r="G82" s="217">
        <f>SUM(G77:G80)</f>
        <v>7417</v>
      </c>
      <c r="H82" s="217">
        <f>SUM(H77:H80)</f>
        <v>21656</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60">
        <f>D86*$G$114</f>
        <v>0</v>
      </c>
      <c r="F86" s="216"/>
      <c r="G86" s="184"/>
      <c r="H86" s="217">
        <f>(D86+E86)-F86-G86</f>
        <v>0</v>
      </c>
    </row>
    <row r="87" spans="1:8" ht="18" customHeight="1" x14ac:dyDescent="0.55000000000000004">
      <c r="A87" s="180" t="s">
        <v>287</v>
      </c>
      <c r="B87" s="176" t="s">
        <v>177</v>
      </c>
      <c r="D87" s="184">
        <v>20.7</v>
      </c>
      <c r="E87" s="260">
        <f t="shared" ref="E87:E93" si="4">D87*$G$114</f>
        <v>2.2770000000000001</v>
      </c>
      <c r="F87" s="216"/>
      <c r="G87" s="184"/>
      <c r="H87" s="217">
        <f t="shared" ref="H87:H96" si="5">(D87+E87)-F87-G87</f>
        <v>22.977</v>
      </c>
    </row>
    <row r="88" spans="1:8" ht="18" customHeight="1" x14ac:dyDescent="0.55000000000000004">
      <c r="A88" s="180" t="s">
        <v>288</v>
      </c>
      <c r="B88" s="176" t="s">
        <v>289</v>
      </c>
      <c r="D88" s="184">
        <v>138.30000000000001</v>
      </c>
      <c r="E88" s="260">
        <f t="shared" si="4"/>
        <v>15.213000000000001</v>
      </c>
      <c r="F88" s="216"/>
      <c r="G88" s="184"/>
      <c r="H88" s="217">
        <f t="shared" si="5"/>
        <v>153.51300000000001</v>
      </c>
    </row>
    <row r="89" spans="1:8" ht="18" customHeight="1" x14ac:dyDescent="0.55000000000000004">
      <c r="A89" s="180" t="s">
        <v>290</v>
      </c>
      <c r="B89" s="176" t="s">
        <v>181</v>
      </c>
      <c r="D89" s="184"/>
      <c r="E89" s="260">
        <f t="shared" si="4"/>
        <v>0</v>
      </c>
      <c r="F89" s="216"/>
      <c r="G89" s="184"/>
      <c r="H89" s="217">
        <f t="shared" si="5"/>
        <v>0</v>
      </c>
    </row>
    <row r="90" spans="1:8" ht="18" customHeight="1" x14ac:dyDescent="0.55000000000000004">
      <c r="A90" s="180" t="s">
        <v>291</v>
      </c>
      <c r="B90" s="176" t="s">
        <v>183</v>
      </c>
      <c r="D90" s="184"/>
      <c r="E90" s="260">
        <f t="shared" si="4"/>
        <v>0</v>
      </c>
      <c r="F90" s="216"/>
      <c r="G90" s="184"/>
      <c r="H90" s="217">
        <f t="shared" si="5"/>
        <v>0</v>
      </c>
    </row>
    <row r="91" spans="1:8" ht="18" customHeight="1" x14ac:dyDescent="0.55000000000000004">
      <c r="A91" s="180" t="s">
        <v>292</v>
      </c>
      <c r="B91" s="176" t="s">
        <v>185</v>
      </c>
      <c r="D91" s="184">
        <v>23247.9</v>
      </c>
      <c r="E91" s="260">
        <f t="shared" si="4"/>
        <v>2557.2690000000002</v>
      </c>
      <c r="F91" s="216"/>
      <c r="G91" s="184"/>
      <c r="H91" s="217">
        <f t="shared" si="5"/>
        <v>25805.169000000002</v>
      </c>
    </row>
    <row r="92" spans="1:8" ht="18" customHeight="1" x14ac:dyDescent="0.55000000000000004">
      <c r="A92" s="180" t="s">
        <v>293</v>
      </c>
      <c r="B92" s="176" t="s">
        <v>294</v>
      </c>
      <c r="D92" s="233"/>
      <c r="E92" s="260">
        <f t="shared" si="4"/>
        <v>0</v>
      </c>
      <c r="F92" s="234"/>
      <c r="G92" s="233"/>
      <c r="H92" s="217">
        <f t="shared" si="5"/>
        <v>0</v>
      </c>
    </row>
    <row r="93" spans="1:8" ht="18" customHeight="1" x14ac:dyDescent="0.55000000000000004">
      <c r="A93" s="180" t="s">
        <v>295</v>
      </c>
      <c r="B93" s="176" t="s">
        <v>296</v>
      </c>
      <c r="D93" s="184"/>
      <c r="E93" s="260">
        <f t="shared" si="4"/>
        <v>0</v>
      </c>
      <c r="F93" s="216"/>
      <c r="G93" s="184"/>
      <c r="H93" s="217">
        <f t="shared" si="5"/>
        <v>0</v>
      </c>
    </row>
    <row r="94" spans="1:8" ht="18" customHeight="1" x14ac:dyDescent="0.55000000000000004">
      <c r="A94" s="180" t="s">
        <v>297</v>
      </c>
      <c r="B94" s="193"/>
      <c r="D94" s="184"/>
      <c r="E94" s="260"/>
      <c r="F94" s="216"/>
      <c r="G94" s="184"/>
      <c r="H94" s="217">
        <f t="shared" si="5"/>
        <v>0</v>
      </c>
    </row>
    <row r="95" spans="1:8" ht="18" customHeight="1" x14ac:dyDescent="0.55000000000000004">
      <c r="A95" s="180" t="s">
        <v>298</v>
      </c>
      <c r="B95" s="193"/>
      <c r="D95" s="184"/>
      <c r="E95" s="260"/>
      <c r="F95" s="216"/>
      <c r="G95" s="184"/>
      <c r="H95" s="217">
        <f t="shared" si="5"/>
        <v>0</v>
      </c>
    </row>
    <row r="96" spans="1:8" ht="18" customHeight="1" x14ac:dyDescent="0.55000000000000004">
      <c r="A96" s="180" t="s">
        <v>299</v>
      </c>
      <c r="B96" s="193"/>
      <c r="D96" s="184"/>
      <c r="E96" s="260"/>
      <c r="F96" s="216"/>
      <c r="G96" s="184"/>
      <c r="H96" s="217">
        <f t="shared" si="5"/>
        <v>0</v>
      </c>
    </row>
    <row r="97" spans="1:10" ht="18" customHeight="1" x14ac:dyDescent="0.55000000000000004">
      <c r="A97" s="180"/>
    </row>
    <row r="98" spans="1:10" ht="18" customHeight="1" x14ac:dyDescent="0.55000000000000004">
      <c r="A98" s="183" t="s">
        <v>193</v>
      </c>
      <c r="B98" s="179" t="s">
        <v>300</v>
      </c>
      <c r="C98" s="179" t="s">
        <v>248</v>
      </c>
      <c r="D98" s="217">
        <f>SUM(D86:D96)</f>
        <v>23406.9</v>
      </c>
      <c r="E98" s="217">
        <f>SUM(E86:E96)</f>
        <v>2574.759</v>
      </c>
      <c r="F98" s="217">
        <f>SUM(F86:F96)</f>
        <v>0</v>
      </c>
      <c r="G98" s="217">
        <f>SUM(G86:G96)</f>
        <v>0</v>
      </c>
      <c r="H98" s="217">
        <f>SUM(H86:H96)</f>
        <v>25981.659000000003</v>
      </c>
    </row>
    <row r="99" spans="1:10" ht="18" customHeight="1" thickBot="1" x14ac:dyDescent="0.6">
      <c r="B99" s="179"/>
      <c r="D99" s="189"/>
      <c r="E99" s="189"/>
      <c r="F99" s="189"/>
      <c r="G99" s="189"/>
      <c r="H99" s="189"/>
    </row>
    <row r="100" spans="1:10" ht="42.75" customHeight="1" x14ac:dyDescent="0.55000000000000004">
      <c r="D100" s="182" t="s">
        <v>99</v>
      </c>
      <c r="E100" s="182" t="s">
        <v>100</v>
      </c>
      <c r="F100" s="182" t="s">
        <v>431</v>
      </c>
      <c r="G100" s="182" t="s">
        <v>432</v>
      </c>
      <c r="H100" s="182" t="s">
        <v>244</v>
      </c>
    </row>
    <row r="101" spans="1:10" ht="18" customHeight="1" x14ac:dyDescent="0.55000000000000004">
      <c r="A101" s="183" t="s">
        <v>301</v>
      </c>
      <c r="B101" s="179" t="s">
        <v>195</v>
      </c>
    </row>
    <row r="102" spans="1:10" ht="18" customHeight="1" x14ac:dyDescent="0.55000000000000004">
      <c r="A102" s="180" t="s">
        <v>302</v>
      </c>
      <c r="B102" s="176" t="s">
        <v>303</v>
      </c>
      <c r="D102" s="184">
        <v>46359.3</v>
      </c>
      <c r="E102" s="216">
        <f>D102*$E$114</f>
        <v>31015.104118477211</v>
      </c>
      <c r="F102" s="216"/>
      <c r="G102" s="184">
        <v>9525</v>
      </c>
      <c r="H102" s="217">
        <f>(D102+E102)-F102-G102</f>
        <v>67849.404118477221</v>
      </c>
    </row>
    <row r="103" spans="1:10" ht="18" customHeight="1" x14ac:dyDescent="0.55000000000000004">
      <c r="A103" s="180" t="s">
        <v>304</v>
      </c>
      <c r="B103" s="176" t="s">
        <v>199</v>
      </c>
      <c r="D103" s="184">
        <v>551</v>
      </c>
      <c r="E103" s="216">
        <f>D103*$E$114</f>
        <v>368.62770510514486</v>
      </c>
      <c r="F103" s="216"/>
      <c r="G103" s="184"/>
      <c r="H103" s="217">
        <f>(D103+E103)-F103-G103</f>
        <v>919.62770510514486</v>
      </c>
    </row>
    <row r="104" spans="1:10" ht="18" customHeight="1" x14ac:dyDescent="0.55000000000000004">
      <c r="A104" s="180" t="s">
        <v>305</v>
      </c>
      <c r="B104" s="193"/>
      <c r="D104" s="184"/>
      <c r="E104" s="216"/>
      <c r="F104" s="216"/>
      <c r="G104" s="184"/>
      <c r="H104" s="217">
        <f>(D104+E104)-F104-G104</f>
        <v>0</v>
      </c>
    </row>
    <row r="105" spans="1:10" ht="18" customHeight="1" x14ac:dyDescent="0.55000000000000004">
      <c r="A105" s="180" t="s">
        <v>306</v>
      </c>
      <c r="B105" s="193"/>
      <c r="D105" s="184"/>
      <c r="E105" s="216"/>
      <c r="F105" s="216"/>
      <c r="G105" s="184"/>
      <c r="H105" s="217">
        <f>(D105+E105)-F105-G105</f>
        <v>0</v>
      </c>
    </row>
    <row r="106" spans="1:10" ht="18" customHeight="1" x14ac:dyDescent="0.55000000000000004">
      <c r="A106" s="180" t="s">
        <v>307</v>
      </c>
      <c r="B106" s="193"/>
      <c r="D106" s="184"/>
      <c r="E106" s="216"/>
      <c r="F106" s="216"/>
      <c r="G106" s="184"/>
      <c r="H106" s="217">
        <f>(D106+E106)-F106-G106</f>
        <v>0</v>
      </c>
    </row>
    <row r="107" spans="1:10" ht="18" customHeight="1" x14ac:dyDescent="0.55000000000000004">
      <c r="B107" s="179"/>
    </row>
    <row r="108" spans="1:10" ht="18" customHeight="1" x14ac:dyDescent="0.55000000000000004">
      <c r="A108" s="183" t="s">
        <v>204</v>
      </c>
      <c r="B108" s="179" t="s">
        <v>308</v>
      </c>
      <c r="C108" s="179" t="s">
        <v>248</v>
      </c>
      <c r="D108" s="217">
        <f>SUM(D102:D106)</f>
        <v>46910.3</v>
      </c>
      <c r="E108" s="217">
        <f>SUM(E102:E106)</f>
        <v>31383.731823582355</v>
      </c>
      <c r="F108" s="217">
        <f>SUM(F102:F106)</f>
        <v>0</v>
      </c>
      <c r="G108" s="217">
        <f>SUM(G102:G106)</f>
        <v>9525</v>
      </c>
      <c r="H108" s="217">
        <f>SUM(H102:H106)</f>
        <v>68769.031823582365</v>
      </c>
    </row>
    <row r="109" spans="1:10" ht="18" customHeight="1" thickBot="1" x14ac:dyDescent="0.6">
      <c r="A109" s="197"/>
      <c r="B109" s="198"/>
      <c r="C109" s="199"/>
      <c r="D109" s="189"/>
      <c r="E109" s="189"/>
      <c r="F109" s="189"/>
      <c r="G109" s="189"/>
      <c r="H109" s="189"/>
    </row>
    <row r="110" spans="1:10" ht="25.5" x14ac:dyDescent="0.55000000000000004">
      <c r="A110" s="183" t="s">
        <v>309</v>
      </c>
      <c r="B110" s="179" t="s">
        <v>434</v>
      </c>
      <c r="F110" s="182"/>
      <c r="G110" s="182" t="s">
        <v>435</v>
      </c>
      <c r="H110" s="182" t="s">
        <v>244</v>
      </c>
    </row>
    <row r="111" spans="1:10" ht="18" customHeight="1" x14ac:dyDescent="0.55000000000000004">
      <c r="A111" s="183" t="s">
        <v>310</v>
      </c>
      <c r="B111" s="179" t="s">
        <v>311</v>
      </c>
      <c r="E111" s="179" t="s">
        <v>436</v>
      </c>
      <c r="F111" s="184">
        <f>1967747-537700</f>
        <v>1430047</v>
      </c>
      <c r="G111" s="184">
        <v>0</v>
      </c>
      <c r="H111" s="217">
        <f>F111-G111</f>
        <v>1430047</v>
      </c>
    </row>
    <row r="112" spans="1:10" ht="18" customHeight="1" x14ac:dyDescent="0.55000000000000004">
      <c r="B112" s="179"/>
      <c r="D112" s="179"/>
      <c r="J112" s="263"/>
    </row>
    <row r="113" spans="1:7" ht="18" customHeight="1" x14ac:dyDescent="0.55000000000000004">
      <c r="A113" s="183"/>
      <c r="B113" s="179" t="s">
        <v>312</v>
      </c>
    </row>
    <row r="114" spans="1:7" ht="18" customHeight="1" x14ac:dyDescent="0.55000000000000004">
      <c r="A114" s="180" t="s">
        <v>313</v>
      </c>
      <c r="B114" s="176" t="s">
        <v>314</v>
      </c>
      <c r="D114" s="235" t="s">
        <v>428</v>
      </c>
      <c r="E114" s="236">
        <v>0.66901579873891992</v>
      </c>
      <c r="F114" s="235" t="s">
        <v>429</v>
      </c>
      <c r="G114" s="264">
        <v>0.11</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f>91038752+1500</f>
        <v>91040252</v>
      </c>
      <c r="F117" s="237"/>
    </row>
    <row r="118" spans="1:7" ht="18" customHeight="1" x14ac:dyDescent="0.55000000000000004">
      <c r="A118" s="180" t="s">
        <v>319</v>
      </c>
      <c r="B118" s="176" t="s">
        <v>320</v>
      </c>
      <c r="E118" s="184">
        <f>6367594</f>
        <v>6367594</v>
      </c>
      <c r="F118" s="237"/>
    </row>
    <row r="119" spans="1:7" ht="18" customHeight="1" x14ac:dyDescent="0.55000000000000004">
      <c r="A119" s="180" t="s">
        <v>321</v>
      </c>
      <c r="B119" s="179" t="s">
        <v>322</v>
      </c>
      <c r="E119" s="217">
        <f>SUM(E117:E118)</f>
        <v>97407846</v>
      </c>
      <c r="F119" s="238"/>
    </row>
    <row r="120" spans="1:7" ht="18" customHeight="1" x14ac:dyDescent="0.55000000000000004">
      <c r="A120" s="180"/>
      <c r="B120" s="179"/>
      <c r="F120" s="212"/>
    </row>
    <row r="121" spans="1:7" ht="18" customHeight="1" x14ac:dyDescent="0.55000000000000004">
      <c r="A121" s="180" t="s">
        <v>323</v>
      </c>
      <c r="B121" s="179" t="s">
        <v>324</v>
      </c>
      <c r="E121" s="184">
        <f>95001446+3856500</f>
        <v>98857946</v>
      </c>
      <c r="F121" s="237"/>
      <c r="G121" s="263"/>
    </row>
    <row r="122" spans="1:7" ht="18" customHeight="1" x14ac:dyDescent="0.55000000000000004">
      <c r="A122" s="180"/>
      <c r="F122" s="212"/>
    </row>
    <row r="123" spans="1:7" ht="18" customHeight="1" x14ac:dyDescent="0.55000000000000004">
      <c r="A123" s="180" t="s">
        <v>325</v>
      </c>
      <c r="B123" s="179" t="s">
        <v>326</v>
      </c>
      <c r="E123" s="184">
        <f>+E119-E121</f>
        <v>-1450100</v>
      </c>
      <c r="F123" s="237"/>
    </row>
    <row r="124" spans="1:7" ht="18" customHeight="1" x14ac:dyDescent="0.55000000000000004">
      <c r="A124" s="180"/>
      <c r="F124" s="212"/>
    </row>
    <row r="125" spans="1:7" ht="18" customHeight="1" x14ac:dyDescent="0.55000000000000004">
      <c r="A125" s="180" t="s">
        <v>327</v>
      </c>
      <c r="B125" s="179" t="s">
        <v>328</v>
      </c>
      <c r="E125" s="184">
        <v>21000685</v>
      </c>
      <c r="F125" s="237"/>
    </row>
    <row r="126" spans="1:7" ht="18" customHeight="1" x14ac:dyDescent="0.55000000000000004">
      <c r="A126" s="180"/>
      <c r="F126" s="212"/>
    </row>
    <row r="127" spans="1:7" ht="18" customHeight="1" x14ac:dyDescent="0.55000000000000004">
      <c r="A127" s="180" t="s">
        <v>329</v>
      </c>
      <c r="B127" s="179" t="s">
        <v>330</v>
      </c>
      <c r="E127" s="184">
        <f>+E123+E125</f>
        <v>19550585</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v>32269.5</v>
      </c>
      <c r="E131" s="216"/>
      <c r="F131" s="216"/>
      <c r="G131" s="184"/>
      <c r="H131" s="217">
        <f>(D131+E131)-F131-G131</f>
        <v>32269.5</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32269.5</v>
      </c>
      <c r="E137" s="217">
        <f>SUM(E131:E135)</f>
        <v>0</v>
      </c>
      <c r="F137" s="217">
        <f>SUM(F131:F135)</f>
        <v>0</v>
      </c>
      <c r="G137" s="217">
        <f>SUM(G131:G135)</f>
        <v>0</v>
      </c>
      <c r="H137" s="217">
        <f>SUM(H131:H135)</f>
        <v>32269.5</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1051083.5</v>
      </c>
      <c r="E141" s="239">
        <f>E36</f>
        <v>115619.185</v>
      </c>
      <c r="F141" s="239">
        <f>F36</f>
        <v>0</v>
      </c>
      <c r="G141" s="239">
        <f>G36</f>
        <v>382130.5</v>
      </c>
      <c r="H141" s="239">
        <f>H36</f>
        <v>784572.18500000017</v>
      </c>
    </row>
    <row r="142" spans="1:8" ht="18" customHeight="1" x14ac:dyDescent="0.55000000000000004">
      <c r="A142" s="180" t="s">
        <v>150</v>
      </c>
      <c r="B142" s="179" t="s">
        <v>220</v>
      </c>
      <c r="D142" s="239">
        <f>D49</f>
        <v>349109.7</v>
      </c>
      <c r="E142" s="239">
        <f>E49</f>
        <v>233559.90479300471</v>
      </c>
      <c r="F142" s="239">
        <f>F49</f>
        <v>0</v>
      </c>
      <c r="G142" s="239">
        <f>G49</f>
        <v>0</v>
      </c>
      <c r="H142" s="239">
        <f>H49</f>
        <v>582669.60479300469</v>
      </c>
    </row>
    <row r="143" spans="1:8" ht="18" customHeight="1" x14ac:dyDescent="0.55000000000000004">
      <c r="A143" s="180" t="s">
        <v>269</v>
      </c>
      <c r="B143" s="179" t="s">
        <v>222</v>
      </c>
      <c r="D143" s="239">
        <f>D64</f>
        <v>3698023</v>
      </c>
      <c r="E143" s="239">
        <f>E64</f>
        <v>0</v>
      </c>
      <c r="F143" s="239">
        <f>F64</f>
        <v>0</v>
      </c>
      <c r="G143" s="239">
        <f>G64</f>
        <v>1045671</v>
      </c>
      <c r="H143" s="239">
        <f>H64</f>
        <v>2652352</v>
      </c>
    </row>
    <row r="144" spans="1:8" ht="18" customHeight="1" x14ac:dyDescent="0.55000000000000004">
      <c r="A144" s="180" t="s">
        <v>161</v>
      </c>
      <c r="B144" s="179" t="s">
        <v>70</v>
      </c>
      <c r="D144" s="239">
        <f>D74</f>
        <v>270398.40000000002</v>
      </c>
      <c r="E144" s="239">
        <f>E74</f>
        <v>180900.80155372599</v>
      </c>
      <c r="F144" s="239">
        <f>F74</f>
        <v>0</v>
      </c>
      <c r="G144" s="239">
        <f>G74</f>
        <v>0</v>
      </c>
      <c r="H144" s="239">
        <f>H74</f>
        <v>451299.20155372599</v>
      </c>
    </row>
    <row r="145" spans="1:8" ht="18" customHeight="1" x14ac:dyDescent="0.55000000000000004">
      <c r="A145" s="180" t="s">
        <v>171</v>
      </c>
      <c r="B145" s="179" t="s">
        <v>69</v>
      </c>
      <c r="D145" s="239">
        <f>D82</f>
        <v>29073</v>
      </c>
      <c r="E145" s="239">
        <f>E82</f>
        <v>0</v>
      </c>
      <c r="F145" s="239">
        <f>F82</f>
        <v>0</v>
      </c>
      <c r="G145" s="239">
        <f>G82</f>
        <v>7417</v>
      </c>
      <c r="H145" s="239">
        <f>H82</f>
        <v>21656</v>
      </c>
    </row>
    <row r="146" spans="1:8" ht="18" customHeight="1" x14ac:dyDescent="0.55000000000000004">
      <c r="A146" s="180" t="s">
        <v>193</v>
      </c>
      <c r="B146" s="179" t="s">
        <v>226</v>
      </c>
      <c r="D146" s="239">
        <f>D98</f>
        <v>23406.9</v>
      </c>
      <c r="E146" s="239">
        <f>E98</f>
        <v>2574.759</v>
      </c>
      <c r="F146" s="239">
        <f>F98</f>
        <v>0</v>
      </c>
      <c r="G146" s="239">
        <f>G98</f>
        <v>0</v>
      </c>
      <c r="H146" s="239">
        <f>H98</f>
        <v>25981.659000000003</v>
      </c>
    </row>
    <row r="147" spans="1:8" ht="18" customHeight="1" x14ac:dyDescent="0.55000000000000004">
      <c r="A147" s="180" t="s">
        <v>204</v>
      </c>
      <c r="B147" s="179" t="s">
        <v>71</v>
      </c>
      <c r="D147" s="217">
        <f>D108</f>
        <v>46910.3</v>
      </c>
      <c r="E147" s="217">
        <f>E108</f>
        <v>31383.731823582355</v>
      </c>
      <c r="F147" s="217">
        <f>F108</f>
        <v>0</v>
      </c>
      <c r="G147" s="217">
        <f>G108</f>
        <v>9525</v>
      </c>
      <c r="H147" s="217">
        <f>H108</f>
        <v>68769.031823582365</v>
      </c>
    </row>
    <row r="148" spans="1:8" ht="18" customHeight="1" x14ac:dyDescent="0.55000000000000004">
      <c r="A148" s="180" t="s">
        <v>310</v>
      </c>
      <c r="B148" s="179" t="s">
        <v>58</v>
      </c>
      <c r="D148" s="240" t="s">
        <v>245</v>
      </c>
      <c r="E148" s="240" t="s">
        <v>245</v>
      </c>
      <c r="F148" s="240"/>
      <c r="G148" s="240" t="s">
        <v>245</v>
      </c>
      <c r="H148" s="239">
        <f>H111</f>
        <v>1430047</v>
      </c>
    </row>
    <row r="149" spans="1:8" ht="18" customHeight="1" x14ac:dyDescent="0.55000000000000004">
      <c r="A149" s="180" t="s">
        <v>215</v>
      </c>
      <c r="B149" s="179" t="s">
        <v>230</v>
      </c>
      <c r="D149" s="217">
        <f>D137</f>
        <v>32269.5</v>
      </c>
      <c r="E149" s="217">
        <f>E137</f>
        <v>0</v>
      </c>
      <c r="F149" s="217">
        <f>F137</f>
        <v>0</v>
      </c>
      <c r="G149" s="217">
        <f>G137</f>
        <v>0</v>
      </c>
      <c r="H149" s="217">
        <f>H137</f>
        <v>32269.5</v>
      </c>
    </row>
    <row r="150" spans="1:8" ht="18" customHeight="1" x14ac:dyDescent="0.55000000000000004">
      <c r="A150" s="180" t="s">
        <v>103</v>
      </c>
      <c r="B150" s="179" t="s">
        <v>104</v>
      </c>
      <c r="D150" s="217">
        <f>D18</f>
        <v>1995609.5107958473</v>
      </c>
      <c r="E150" s="217">
        <f>E18</f>
        <v>0</v>
      </c>
      <c r="F150" s="217">
        <f>F18</f>
        <v>0</v>
      </c>
      <c r="G150" s="217">
        <f>G18</f>
        <v>1653901.6013256644</v>
      </c>
      <c r="H150" s="217">
        <f>H18</f>
        <v>341707.90947018284</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7495883.8107958483</v>
      </c>
      <c r="E152" s="241">
        <f>SUM(E141:E150)</f>
        <v>564038.38217031292</v>
      </c>
      <c r="F152" s="241">
        <f>SUM(F141:F150)</f>
        <v>0</v>
      </c>
      <c r="G152" s="241">
        <f>SUM(G141:G150)</f>
        <v>3098645.1013256647</v>
      </c>
      <c r="H152" s="241">
        <f>SUM(H141:H150)</f>
        <v>6391324.0916404957</v>
      </c>
    </row>
    <row r="154" spans="1:8" ht="18" customHeight="1" x14ac:dyDescent="0.55000000000000004">
      <c r="A154" s="183" t="s">
        <v>339</v>
      </c>
      <c r="B154" s="179" t="s">
        <v>340</v>
      </c>
      <c r="D154" s="242">
        <f>H152/E121</f>
        <v>6.4651597066769886E-2</v>
      </c>
    </row>
    <row r="155" spans="1:8" ht="18" customHeight="1" x14ac:dyDescent="0.55000000000000004">
      <c r="A155" s="183" t="s">
        <v>341</v>
      </c>
      <c r="B155" s="179" t="s">
        <v>342</v>
      </c>
      <c r="D155" s="242">
        <f>H152/E127</f>
        <v>0.32691216613929946</v>
      </c>
    </row>
  </sheetData>
  <mergeCells count="3">
    <mergeCell ref="C2:D2"/>
    <mergeCell ref="C5:E5"/>
    <mergeCell ref="B13:D13"/>
  </mergeCells>
  <hyperlinks>
    <hyperlink ref="C11" r:id="rId1" xr:uid="{417B73A2-AD46-435A-9CE3-80ECAB5CEC29}"/>
  </hyperlinks>
  <printOptions headings="1" gridLines="1"/>
  <pageMargins left="0.17" right="0.16" top="0.35" bottom="0.32" header="0.17" footer="0.17"/>
  <pageSetup scale="59" fitToHeight="3" orientation="landscape" horizontalDpi="300" verticalDpi="300" r:id="rId2"/>
  <headerFooter alignWithMargins="0"/>
  <rowBreaks count="4" manualBreakCount="4">
    <brk id="37" max="16383" man="1"/>
    <brk id="74" max="16383" man="1"/>
    <brk id="109" max="16383" man="1"/>
    <brk id="138"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5EFAE-144B-4E56-8F74-24704565261D}">
  <sheetPr codeName="Sheet16"/>
  <dimension ref="A1:J155"/>
  <sheetViews>
    <sheetView zoomScaleNormal="100" workbookViewId="0"/>
  </sheetViews>
  <sheetFormatPr defaultColWidth="9" defaultRowHeight="18" customHeight="1" x14ac:dyDescent="0.55000000000000004"/>
  <cols>
    <col min="1" max="1" width="8.26171875" style="175" customWidth="1"/>
    <col min="2" max="2" width="55.41796875" style="176" bestFit="1" customWidth="1"/>
    <col min="3" max="3" width="22.1562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266" t="s">
        <v>458</v>
      </c>
      <c r="D5" s="247"/>
      <c r="E5" s="247"/>
      <c r="F5" s="208"/>
    </row>
    <row r="6" spans="1:8" ht="18" customHeight="1" x14ac:dyDescent="0.55000000000000004">
      <c r="B6" s="180" t="s">
        <v>237</v>
      </c>
      <c r="C6" s="244">
        <v>210008</v>
      </c>
      <c r="D6" s="244"/>
      <c r="E6" s="244"/>
      <c r="F6" s="209"/>
    </row>
    <row r="7" spans="1:8" ht="18" customHeight="1" x14ac:dyDescent="0.55000000000000004">
      <c r="B7" s="180" t="s">
        <v>238</v>
      </c>
      <c r="C7" s="246">
        <v>3582</v>
      </c>
      <c r="D7" s="246"/>
      <c r="E7" s="246"/>
      <c r="F7" s="210"/>
    </row>
    <row r="8" spans="1:8" ht="18" customHeight="1" x14ac:dyDescent="0.55000000000000004">
      <c r="C8" s="211"/>
      <c r="D8" s="211"/>
      <c r="E8" s="211"/>
      <c r="F8" s="212"/>
    </row>
    <row r="9" spans="1:8" ht="18" customHeight="1" x14ac:dyDescent="0.55000000000000004">
      <c r="B9" s="180" t="s">
        <v>239</v>
      </c>
      <c r="C9" s="247" t="s">
        <v>459</v>
      </c>
      <c r="D9" s="247"/>
      <c r="E9" s="247"/>
      <c r="F9" s="208"/>
    </row>
    <row r="10" spans="1:8" ht="18" customHeight="1" x14ac:dyDescent="0.55000000000000004">
      <c r="B10" s="180" t="s">
        <v>241</v>
      </c>
      <c r="C10" s="248" t="s">
        <v>460</v>
      </c>
      <c r="D10" s="248"/>
      <c r="E10" s="248"/>
      <c r="F10" s="213"/>
    </row>
    <row r="11" spans="1:8" ht="18" customHeight="1" x14ac:dyDescent="0.55000000000000004">
      <c r="B11" s="180" t="s">
        <v>243</v>
      </c>
      <c r="C11" s="247" t="s">
        <v>461</v>
      </c>
      <c r="D11" s="247"/>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10773711.954387086</v>
      </c>
      <c r="E18" s="214"/>
      <c r="F18" s="214"/>
      <c r="G18" s="214">
        <v>8928930.9141828008</v>
      </c>
      <c r="H18" s="249">
        <f>(D18+E18)-G18</f>
        <v>1844781.0402042847</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2130457.6838902887</v>
      </c>
      <c r="E21" s="216">
        <v>1673551.7994643177</v>
      </c>
      <c r="F21" s="216"/>
      <c r="G21" s="184">
        <v>175067.45</v>
      </c>
      <c r="H21" s="217">
        <f>(D21+E21)-F21-G21</f>
        <v>3628942.0333546065</v>
      </c>
    </row>
    <row r="22" spans="1:8" ht="18" customHeight="1" x14ac:dyDescent="0.55000000000000004">
      <c r="A22" s="180" t="s">
        <v>112</v>
      </c>
      <c r="B22" s="176" t="s">
        <v>113</v>
      </c>
      <c r="D22" s="184">
        <v>1743355.1603999999</v>
      </c>
      <c r="E22" s="216">
        <v>1366326.5788408252</v>
      </c>
      <c r="F22" s="216"/>
      <c r="G22" s="184">
        <v>0</v>
      </c>
      <c r="H22" s="217">
        <f t="shared" ref="H22:H34" si="0">(D22+E22)-F22-G22</f>
        <v>3109681.7392408252</v>
      </c>
    </row>
    <row r="23" spans="1:8" ht="18" customHeight="1" x14ac:dyDescent="0.55000000000000004">
      <c r="A23" s="180" t="s">
        <v>114</v>
      </c>
      <c r="B23" s="176" t="s">
        <v>115</v>
      </c>
      <c r="D23" s="184">
        <v>0</v>
      </c>
      <c r="E23" s="216">
        <v>0</v>
      </c>
      <c r="F23" s="216"/>
      <c r="G23" s="184">
        <v>0</v>
      </c>
      <c r="H23" s="217">
        <f t="shared" si="0"/>
        <v>0</v>
      </c>
    </row>
    <row r="24" spans="1:8" ht="18" customHeight="1" x14ac:dyDescent="0.55000000000000004">
      <c r="A24" s="180" t="s">
        <v>116</v>
      </c>
      <c r="B24" s="176" t="s">
        <v>117</v>
      </c>
      <c r="D24" s="184">
        <v>0</v>
      </c>
      <c r="E24" s="216">
        <v>0</v>
      </c>
      <c r="F24" s="216"/>
      <c r="G24" s="184">
        <v>0</v>
      </c>
      <c r="H24" s="217">
        <f t="shared" si="0"/>
        <v>0</v>
      </c>
    </row>
    <row r="25" spans="1:8" ht="18" customHeight="1" x14ac:dyDescent="0.55000000000000004">
      <c r="A25" s="180" t="s">
        <v>118</v>
      </c>
      <c r="B25" s="176" t="s">
        <v>119</v>
      </c>
      <c r="D25" s="184">
        <v>0</v>
      </c>
      <c r="E25" s="216">
        <v>0</v>
      </c>
      <c r="F25" s="216"/>
      <c r="G25" s="184">
        <v>0</v>
      </c>
      <c r="H25" s="217">
        <f t="shared" si="0"/>
        <v>0</v>
      </c>
    </row>
    <row r="26" spans="1:8" ht="18" customHeight="1" x14ac:dyDescent="0.55000000000000004">
      <c r="A26" s="180" t="s">
        <v>120</v>
      </c>
      <c r="B26" s="176" t="s">
        <v>121</v>
      </c>
      <c r="D26" s="184">
        <v>0</v>
      </c>
      <c r="E26" s="216">
        <v>0</v>
      </c>
      <c r="F26" s="216"/>
      <c r="G26" s="184">
        <v>0</v>
      </c>
      <c r="H26" s="217">
        <f t="shared" si="0"/>
        <v>0</v>
      </c>
    </row>
    <row r="27" spans="1:8" ht="18" customHeight="1" x14ac:dyDescent="0.55000000000000004">
      <c r="A27" s="180" t="s">
        <v>122</v>
      </c>
      <c r="B27" s="176" t="s">
        <v>246</v>
      </c>
      <c r="D27" s="184">
        <v>0</v>
      </c>
      <c r="E27" s="216">
        <v>0</v>
      </c>
      <c r="F27" s="216"/>
      <c r="G27" s="184">
        <v>0</v>
      </c>
      <c r="H27" s="217">
        <f t="shared" si="0"/>
        <v>0</v>
      </c>
    </row>
    <row r="28" spans="1:8" ht="18" customHeight="1" x14ac:dyDescent="0.55000000000000004">
      <c r="A28" s="180" t="s">
        <v>124</v>
      </c>
      <c r="B28" s="176" t="s">
        <v>125</v>
      </c>
      <c r="D28" s="184">
        <v>0</v>
      </c>
      <c r="E28" s="216">
        <v>0</v>
      </c>
      <c r="F28" s="216"/>
      <c r="G28" s="184">
        <v>0</v>
      </c>
      <c r="H28" s="217">
        <f t="shared" si="0"/>
        <v>0</v>
      </c>
    </row>
    <row r="29" spans="1:8" ht="18" customHeight="1" x14ac:dyDescent="0.55000000000000004">
      <c r="A29" s="180" t="s">
        <v>126</v>
      </c>
      <c r="B29" s="176" t="s">
        <v>127</v>
      </c>
      <c r="D29" s="184">
        <v>1947081.36</v>
      </c>
      <c r="E29" s="216">
        <v>1529503.0445200969</v>
      </c>
      <c r="F29" s="216"/>
      <c r="G29" s="184">
        <v>0</v>
      </c>
      <c r="H29" s="217">
        <f t="shared" si="0"/>
        <v>3476584.4045200972</v>
      </c>
    </row>
    <row r="30" spans="1:8" ht="18" customHeight="1" x14ac:dyDescent="0.55000000000000004">
      <c r="A30" s="180" t="s">
        <v>128</v>
      </c>
      <c r="B30" s="185" t="s">
        <v>462</v>
      </c>
      <c r="D30" s="184">
        <v>753250.56</v>
      </c>
      <c r="E30" s="216">
        <v>591705.64131252735</v>
      </c>
      <c r="F30" s="216"/>
      <c r="G30" s="184">
        <v>0</v>
      </c>
      <c r="H30" s="217">
        <f t="shared" si="0"/>
        <v>1344956.2013125275</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6574144.7642902881</v>
      </c>
      <c r="E36" s="217">
        <f>SUM(E21:E34)</f>
        <v>5161087.0641377671</v>
      </c>
      <c r="F36" s="217">
        <f>SUM(F21:F34)</f>
        <v>0</v>
      </c>
      <c r="G36" s="217">
        <f>SUM(G21:G34)</f>
        <v>175067.45</v>
      </c>
      <c r="H36" s="217">
        <f>SUM(H21:H34)</f>
        <v>11560164.378428057</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6336566.353871339</v>
      </c>
      <c r="E40" s="216">
        <v>4977602.7489934079</v>
      </c>
      <c r="F40" s="216">
        <v>553680</v>
      </c>
      <c r="G40" s="184">
        <v>493295</v>
      </c>
      <c r="H40" s="217">
        <f>(D40+E40)-F40-G40</f>
        <v>10267194.102864746</v>
      </c>
    </row>
    <row r="41" spans="1:8" ht="18" customHeight="1" x14ac:dyDescent="0.55000000000000004">
      <c r="A41" s="180" t="s">
        <v>251</v>
      </c>
      <c r="B41" s="176" t="s">
        <v>141</v>
      </c>
      <c r="D41" s="184">
        <v>110372</v>
      </c>
      <c r="E41" s="216">
        <v>86701.2100766925</v>
      </c>
      <c r="F41" s="216"/>
      <c r="G41" s="184">
        <v>0</v>
      </c>
      <c r="H41" s="217">
        <f t="shared" ref="H41:H47" si="1">(D41+E41)-F41-G41</f>
        <v>197073.21007669251</v>
      </c>
    </row>
    <row r="42" spans="1:8" ht="18" customHeight="1" x14ac:dyDescent="0.55000000000000004">
      <c r="A42" s="180" t="s">
        <v>252</v>
      </c>
      <c r="B42" s="176" t="s">
        <v>143</v>
      </c>
      <c r="D42" s="184">
        <v>175781.2</v>
      </c>
      <c r="E42" s="216">
        <v>138082.5095924066</v>
      </c>
      <c r="F42" s="216"/>
      <c r="G42" s="184">
        <v>0</v>
      </c>
      <c r="H42" s="217">
        <f t="shared" si="1"/>
        <v>313863.70959240664</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6622719.5538713392</v>
      </c>
      <c r="E49" s="217">
        <f>SUM(E40:E47)</f>
        <v>5202386.4686625069</v>
      </c>
      <c r="F49" s="217">
        <f>SUM(F40:F47)</f>
        <v>553680</v>
      </c>
      <c r="G49" s="217">
        <f>SUM(G40:G47)</f>
        <v>493295</v>
      </c>
      <c r="H49" s="217">
        <f>SUM(H40:H47)</f>
        <v>10778131.022533845</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65">
        <v>10363844.717430923</v>
      </c>
      <c r="E53" s="265">
        <v>8141176.005220511</v>
      </c>
      <c r="F53" s="222"/>
      <c r="G53" s="265">
        <v>0</v>
      </c>
      <c r="H53" s="217">
        <f>(D53+E53)-F53-G53</f>
        <v>18505020.722651433</v>
      </c>
    </row>
    <row r="54" spans="1:8" ht="18" customHeight="1" x14ac:dyDescent="0.55000000000000004">
      <c r="A54" s="180" t="s">
        <v>259</v>
      </c>
      <c r="B54" s="193" t="s">
        <v>361</v>
      </c>
      <c r="D54" s="184">
        <v>158361</v>
      </c>
      <c r="E54" s="216">
        <v>124398.31052218951</v>
      </c>
      <c r="F54" s="216"/>
      <c r="G54" s="184">
        <v>116396</v>
      </c>
      <c r="H54" s="217">
        <f t="shared" ref="H54:H62" si="2">(D54+E54)-F54-G54</f>
        <v>166363.31052218948</v>
      </c>
    </row>
    <row r="55" spans="1:8" ht="18" customHeight="1" x14ac:dyDescent="0.55000000000000004">
      <c r="A55" s="180" t="s">
        <v>260</v>
      </c>
      <c r="B55" s="194" t="s">
        <v>362</v>
      </c>
      <c r="D55" s="184">
        <v>125941</v>
      </c>
      <c r="E55" s="216">
        <v>98931.224389054565</v>
      </c>
      <c r="F55" s="216"/>
      <c r="G55" s="184">
        <v>101862</v>
      </c>
      <c r="H55" s="217">
        <f t="shared" si="2"/>
        <v>123010.22438905458</v>
      </c>
    </row>
    <row r="56" spans="1:8" ht="18" customHeight="1" x14ac:dyDescent="0.55000000000000004">
      <c r="A56" s="180" t="s">
        <v>261</v>
      </c>
      <c r="B56" s="193" t="s">
        <v>363</v>
      </c>
      <c r="D56" s="184">
        <v>483508.81760000001</v>
      </c>
      <c r="E56" s="216">
        <v>379813.71696327691</v>
      </c>
      <c r="F56" s="216"/>
      <c r="G56" s="184">
        <v>481949.81</v>
      </c>
      <c r="H56" s="217">
        <f t="shared" si="2"/>
        <v>381372.72456327692</v>
      </c>
    </row>
    <row r="57" spans="1:8" ht="18" customHeight="1" x14ac:dyDescent="0.55000000000000004">
      <c r="A57" s="180" t="s">
        <v>263</v>
      </c>
      <c r="B57" s="193" t="s">
        <v>364</v>
      </c>
      <c r="D57" s="184">
        <v>727780.4467999998</v>
      </c>
      <c r="E57" s="216">
        <v>571697.94338886591</v>
      </c>
      <c r="F57" s="216"/>
      <c r="G57" s="184">
        <v>0</v>
      </c>
      <c r="H57" s="217">
        <f t="shared" si="2"/>
        <v>1299478.3901888658</v>
      </c>
    </row>
    <row r="58" spans="1:8" ht="18" customHeight="1" x14ac:dyDescent="0.55000000000000004">
      <c r="A58" s="180" t="s">
        <v>264</v>
      </c>
      <c r="B58" s="193" t="s">
        <v>365</v>
      </c>
      <c r="D58" s="184">
        <v>300024.92991735542</v>
      </c>
      <c r="E58" s="216">
        <v>235680.46675796015</v>
      </c>
      <c r="F58" s="216"/>
      <c r="G58" s="184">
        <v>0</v>
      </c>
      <c r="H58" s="217">
        <f>(D58+E58)-F58-G58</f>
        <v>535705.39667531557</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12159460.911748279</v>
      </c>
      <c r="E64" s="217">
        <f>SUM(E53:E62)</f>
        <v>9551697.6672418583</v>
      </c>
      <c r="F64" s="217">
        <f>SUM(F53:F62)</f>
        <v>0</v>
      </c>
      <c r="G64" s="217">
        <f>SUM(G53:G62)</f>
        <v>700207.81</v>
      </c>
      <c r="H64" s="217">
        <f>SUM(H53:H62)</f>
        <v>21010950.768990137</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v>0</v>
      </c>
      <c r="E68" s="216">
        <v>0</v>
      </c>
      <c r="F68" s="216"/>
      <c r="G68" s="228">
        <v>0</v>
      </c>
      <c r="H68" s="217">
        <f>(D68+E68)-F68-G68</f>
        <v>0</v>
      </c>
      <c r="J68" s="254"/>
    </row>
    <row r="69" spans="1:10" ht="18" customHeight="1" x14ac:dyDescent="0.55000000000000004">
      <c r="A69" s="180" t="s">
        <v>273</v>
      </c>
      <c r="B69" s="176" t="s">
        <v>159</v>
      </c>
      <c r="D69" s="184">
        <v>476634</v>
      </c>
      <c r="E69" s="216">
        <v>374413.29833376448</v>
      </c>
      <c r="F69" s="216"/>
      <c r="G69" s="228">
        <v>0</v>
      </c>
      <c r="H69" s="217">
        <f>(D69+E69)-F69-G69</f>
        <v>851047.29833376454</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476634</v>
      </c>
      <c r="E74" s="229">
        <f>SUM(E68:E72)</f>
        <v>374413.29833376448</v>
      </c>
      <c r="F74" s="229">
        <f>SUM(F68:F72)</f>
        <v>0</v>
      </c>
      <c r="G74" s="217">
        <f>SUM(G68:G72)</f>
        <v>0</v>
      </c>
      <c r="H74" s="217">
        <f>SUM(H68:H72)</f>
        <v>851047.29833376454</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1543341</v>
      </c>
      <c r="E77" s="230"/>
      <c r="F77" s="220"/>
      <c r="G77" s="184">
        <v>0</v>
      </c>
      <c r="H77" s="217">
        <f>(D77-F77-G77)</f>
        <v>1543341</v>
      </c>
    </row>
    <row r="78" spans="1:10" ht="18" customHeight="1" x14ac:dyDescent="0.55000000000000004">
      <c r="A78" s="180" t="s">
        <v>281</v>
      </c>
      <c r="B78" s="176" t="s">
        <v>166</v>
      </c>
      <c r="D78" s="184">
        <v>0</v>
      </c>
      <c r="E78" s="230"/>
      <c r="F78" s="220"/>
      <c r="G78" s="184">
        <v>0</v>
      </c>
      <c r="H78" s="217">
        <f>(D78-F78-G78)</f>
        <v>0</v>
      </c>
    </row>
    <row r="79" spans="1:10" ht="18" customHeight="1" x14ac:dyDescent="0.55000000000000004">
      <c r="A79" s="180" t="s">
        <v>282</v>
      </c>
      <c r="B79" s="176" t="s">
        <v>168</v>
      </c>
      <c r="D79" s="184">
        <v>118090.99</v>
      </c>
      <c r="E79" s="230"/>
      <c r="F79" s="220"/>
      <c r="G79" s="184">
        <v>0</v>
      </c>
      <c r="H79" s="217">
        <f>(D79-F79-G79)</f>
        <v>118090.99</v>
      </c>
    </row>
    <row r="80" spans="1:10" ht="18" customHeight="1" x14ac:dyDescent="0.55000000000000004">
      <c r="A80" s="180" t="s">
        <v>283</v>
      </c>
      <c r="B80" s="176" t="s">
        <v>170</v>
      </c>
      <c r="D80" s="184">
        <v>145264.43791193358</v>
      </c>
      <c r="E80" s="230"/>
      <c r="F80" s="220"/>
      <c r="G80" s="184">
        <v>0</v>
      </c>
      <c r="H80" s="217">
        <f>(D80-F80-G80)</f>
        <v>145264.43791193358</v>
      </c>
    </row>
    <row r="81" spans="1:8" ht="18" customHeight="1" x14ac:dyDescent="0.55000000000000004">
      <c r="A81" s="180"/>
      <c r="H81" s="196"/>
    </row>
    <row r="82" spans="1:8" ht="18" customHeight="1" x14ac:dyDescent="0.55000000000000004">
      <c r="A82" s="180" t="s">
        <v>171</v>
      </c>
      <c r="B82" s="179" t="s">
        <v>284</v>
      </c>
      <c r="C82" s="179" t="s">
        <v>248</v>
      </c>
      <c r="D82" s="217">
        <f>SUM(D77:D80)</f>
        <v>1806696.4279119335</v>
      </c>
      <c r="E82" s="231"/>
      <c r="F82" s="217">
        <f>SUM(F77:F80)</f>
        <v>0</v>
      </c>
      <c r="G82" s="217">
        <f>SUM(G77:G80)</f>
        <v>0</v>
      </c>
      <c r="H82" s="217">
        <f>SUM(H77:H80)</f>
        <v>1806696.4279119335</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v>54054</v>
      </c>
      <c r="E86" s="216">
        <v>42461.377971637157</v>
      </c>
      <c r="F86" s="216"/>
      <c r="G86" s="184">
        <v>0</v>
      </c>
      <c r="H86" s="217">
        <f>(D86+E86)-F86-G86</f>
        <v>96515.37797163715</v>
      </c>
    </row>
    <row r="87" spans="1:8" ht="18" customHeight="1" x14ac:dyDescent="0.55000000000000004">
      <c r="A87" s="180" t="s">
        <v>287</v>
      </c>
      <c r="B87" s="176" t="s">
        <v>177</v>
      </c>
      <c r="D87" s="184">
        <v>0</v>
      </c>
      <c r="E87" s="216">
        <v>0</v>
      </c>
      <c r="F87" s="216"/>
      <c r="G87" s="184">
        <v>0</v>
      </c>
      <c r="H87" s="217">
        <f t="shared" ref="H87:H96" si="3">(D87+E87)-F87-G87</f>
        <v>0</v>
      </c>
    </row>
    <row r="88" spans="1:8" ht="18" customHeight="1" x14ac:dyDescent="0.55000000000000004">
      <c r="A88" s="180" t="s">
        <v>288</v>
      </c>
      <c r="B88" s="176" t="s">
        <v>289</v>
      </c>
      <c r="D88" s="184">
        <v>3969456.0440000002</v>
      </c>
      <c r="E88" s="216">
        <v>3118151.7265342725</v>
      </c>
      <c r="F88" s="216"/>
      <c r="G88" s="184">
        <v>0</v>
      </c>
      <c r="H88" s="217">
        <f t="shared" si="3"/>
        <v>7087607.7705342732</v>
      </c>
    </row>
    <row r="89" spans="1:8" ht="18" customHeight="1" x14ac:dyDescent="0.55000000000000004">
      <c r="A89" s="180" t="s">
        <v>290</v>
      </c>
      <c r="B89" s="176" t="s">
        <v>181</v>
      </c>
      <c r="D89" s="184">
        <v>0</v>
      </c>
      <c r="E89" s="216">
        <v>0</v>
      </c>
      <c r="F89" s="216"/>
      <c r="G89" s="184">
        <v>0</v>
      </c>
      <c r="H89" s="217">
        <f t="shared" si="3"/>
        <v>0</v>
      </c>
    </row>
    <row r="90" spans="1:8" ht="18" customHeight="1" x14ac:dyDescent="0.55000000000000004">
      <c r="A90" s="180" t="s">
        <v>291</v>
      </c>
      <c r="B90" s="176" t="s">
        <v>183</v>
      </c>
      <c r="D90" s="184">
        <v>47130.239999999998</v>
      </c>
      <c r="E90" s="216">
        <v>37022.513311391798</v>
      </c>
      <c r="F90" s="216"/>
      <c r="G90" s="184">
        <v>0</v>
      </c>
      <c r="H90" s="217">
        <f t="shared" si="3"/>
        <v>84152.753311391803</v>
      </c>
    </row>
    <row r="91" spans="1:8" ht="18" customHeight="1" x14ac:dyDescent="0.55000000000000004">
      <c r="A91" s="180" t="s">
        <v>292</v>
      </c>
      <c r="B91" s="176" t="s">
        <v>185</v>
      </c>
      <c r="D91" s="184">
        <v>0</v>
      </c>
      <c r="E91" s="216">
        <v>0</v>
      </c>
      <c r="F91" s="216"/>
      <c r="G91" s="184">
        <v>0</v>
      </c>
      <c r="H91" s="217">
        <f t="shared" si="3"/>
        <v>0</v>
      </c>
    </row>
    <row r="92" spans="1:8" ht="18" customHeight="1" x14ac:dyDescent="0.55000000000000004">
      <c r="A92" s="180" t="s">
        <v>293</v>
      </c>
      <c r="B92" s="176" t="s">
        <v>294</v>
      </c>
      <c r="D92" s="233">
        <v>0</v>
      </c>
      <c r="E92" s="216">
        <v>0</v>
      </c>
      <c r="F92" s="234"/>
      <c r="G92" s="233">
        <v>0</v>
      </c>
      <c r="H92" s="217">
        <f t="shared" si="3"/>
        <v>0</v>
      </c>
    </row>
    <row r="93" spans="1:8" ht="18" customHeight="1" x14ac:dyDescent="0.55000000000000004">
      <c r="A93" s="180" t="s">
        <v>295</v>
      </c>
      <c r="B93" s="176" t="s">
        <v>296</v>
      </c>
      <c r="D93" s="184">
        <v>227189.80500000002</v>
      </c>
      <c r="E93" s="216">
        <v>178465.83382187336</v>
      </c>
      <c r="F93" s="216"/>
      <c r="G93" s="184">
        <v>0</v>
      </c>
      <c r="H93" s="217">
        <f t="shared" si="3"/>
        <v>405655.63882187335</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4297830.0890000006</v>
      </c>
      <c r="E98" s="217">
        <f>SUM(E86:E96)</f>
        <v>3376101.4516391745</v>
      </c>
      <c r="F98" s="217">
        <f>SUM(F86:F96)</f>
        <v>0</v>
      </c>
      <c r="G98" s="217">
        <f>SUM(G86:G96)</f>
        <v>0</v>
      </c>
      <c r="H98" s="217">
        <f>SUM(H86:H96)</f>
        <v>7673931.5406391751</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144657.40471726994</v>
      </c>
      <c r="E102" s="216">
        <v>113633.63928841689</v>
      </c>
      <c r="F102" s="216"/>
      <c r="G102" s="184">
        <v>0</v>
      </c>
      <c r="H102" s="217">
        <f>(D102+E102)-F102-G102</f>
        <v>258291.04400568682</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144657.40471726994</v>
      </c>
      <c r="E108" s="217">
        <f>SUM(E102:E106)</f>
        <v>113633.63928841689</v>
      </c>
      <c r="F108" s="217">
        <f>SUM(F102:F106)</f>
        <v>0</v>
      </c>
      <c r="G108" s="217">
        <f>SUM(G102:G106)</f>
        <v>0</v>
      </c>
      <c r="H108" s="217">
        <f>SUM(H102:H106)</f>
        <v>258291.04400568682</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22257214</v>
      </c>
      <c r="G111" s="184"/>
      <c r="H111" s="217">
        <f>F111-G111</f>
        <v>22257214</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0.78553627801156545</v>
      </c>
      <c r="F114" s="235" t="s">
        <v>429</v>
      </c>
      <c r="G114" s="236">
        <v>0.1</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537532187.33999991</v>
      </c>
      <c r="F117" s="237"/>
    </row>
    <row r="118" spans="1:7" ht="18" customHeight="1" x14ac:dyDescent="0.55000000000000004">
      <c r="A118" s="180" t="s">
        <v>319</v>
      </c>
      <c r="B118" s="176" t="s">
        <v>320</v>
      </c>
      <c r="E118" s="184">
        <v>31328664.100000001</v>
      </c>
      <c r="F118" s="237"/>
    </row>
    <row r="119" spans="1:7" ht="18" customHeight="1" x14ac:dyDescent="0.55000000000000004">
      <c r="A119" s="180" t="s">
        <v>321</v>
      </c>
      <c r="B119" s="179" t="s">
        <v>322</v>
      </c>
      <c r="E119" s="217">
        <f>SUM(E117:E118)</f>
        <v>568860851.43999994</v>
      </c>
      <c r="F119" s="238"/>
    </row>
    <row r="120" spans="1:7" ht="18" customHeight="1" x14ac:dyDescent="0.55000000000000004">
      <c r="A120" s="180"/>
      <c r="B120" s="179"/>
      <c r="F120" s="212"/>
    </row>
    <row r="121" spans="1:7" ht="18" customHeight="1" x14ac:dyDescent="0.55000000000000004">
      <c r="A121" s="180" t="s">
        <v>323</v>
      </c>
      <c r="B121" s="179" t="s">
        <v>324</v>
      </c>
      <c r="E121" s="184">
        <v>527348607</v>
      </c>
      <c r="F121" s="237"/>
    </row>
    <row r="122" spans="1:7" ht="18" customHeight="1" x14ac:dyDescent="0.55000000000000004">
      <c r="A122" s="180"/>
      <c r="F122" s="212"/>
    </row>
    <row r="123" spans="1:7" ht="18" customHeight="1" x14ac:dyDescent="0.55000000000000004">
      <c r="A123" s="180" t="s">
        <v>325</v>
      </c>
      <c r="B123" s="179" t="s">
        <v>326</v>
      </c>
      <c r="E123" s="184">
        <v>41512244.439999938</v>
      </c>
      <c r="F123" s="237"/>
    </row>
    <row r="124" spans="1:7" ht="18" customHeight="1" x14ac:dyDescent="0.55000000000000004">
      <c r="A124" s="180"/>
      <c r="F124" s="212"/>
    </row>
    <row r="125" spans="1:7" ht="18" customHeight="1" x14ac:dyDescent="0.55000000000000004">
      <c r="A125" s="180" t="s">
        <v>327</v>
      </c>
      <c r="B125" s="179" t="s">
        <v>328</v>
      </c>
      <c r="E125" s="184">
        <v>51905000</v>
      </c>
      <c r="F125" s="237"/>
    </row>
    <row r="126" spans="1:7" ht="18" customHeight="1" x14ac:dyDescent="0.55000000000000004">
      <c r="A126" s="180"/>
      <c r="F126" s="212"/>
    </row>
    <row r="127" spans="1:7" ht="18" customHeight="1" x14ac:dyDescent="0.55000000000000004">
      <c r="A127" s="180" t="s">
        <v>329</v>
      </c>
      <c r="B127" s="179" t="s">
        <v>330</v>
      </c>
      <c r="E127" s="184">
        <v>93417244.439999938</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6574144.7642902881</v>
      </c>
      <c r="E141" s="239">
        <f>E36</f>
        <v>5161087.0641377671</v>
      </c>
      <c r="F141" s="239">
        <f>F36</f>
        <v>0</v>
      </c>
      <c r="G141" s="239">
        <f>G36</f>
        <v>175067.45</v>
      </c>
      <c r="H141" s="239">
        <f>H36</f>
        <v>11560164.378428057</v>
      </c>
    </row>
    <row r="142" spans="1:8" ht="18" customHeight="1" x14ac:dyDescent="0.55000000000000004">
      <c r="A142" s="180" t="s">
        <v>150</v>
      </c>
      <c r="B142" s="179" t="s">
        <v>220</v>
      </c>
      <c r="D142" s="239">
        <f>D49</f>
        <v>6622719.5538713392</v>
      </c>
      <c r="E142" s="239">
        <f>E49</f>
        <v>5202386.4686625069</v>
      </c>
      <c r="F142" s="239">
        <f>F49</f>
        <v>553680</v>
      </c>
      <c r="G142" s="239">
        <f>G49</f>
        <v>493295</v>
      </c>
      <c r="H142" s="239">
        <f>H49</f>
        <v>10778131.022533845</v>
      </c>
    </row>
    <row r="143" spans="1:8" ht="18" customHeight="1" x14ac:dyDescent="0.55000000000000004">
      <c r="A143" s="180" t="s">
        <v>269</v>
      </c>
      <c r="B143" s="179" t="s">
        <v>222</v>
      </c>
      <c r="D143" s="239">
        <f>D64</f>
        <v>12159460.911748279</v>
      </c>
      <c r="E143" s="239">
        <f>E64</f>
        <v>9551697.6672418583</v>
      </c>
      <c r="F143" s="239">
        <f>F64</f>
        <v>0</v>
      </c>
      <c r="G143" s="239">
        <f>G64</f>
        <v>700207.81</v>
      </c>
      <c r="H143" s="239">
        <f>H64</f>
        <v>21010950.768990137</v>
      </c>
    </row>
    <row r="144" spans="1:8" ht="18" customHeight="1" x14ac:dyDescent="0.55000000000000004">
      <c r="A144" s="180" t="s">
        <v>161</v>
      </c>
      <c r="B144" s="179" t="s">
        <v>70</v>
      </c>
      <c r="D144" s="239">
        <f>D74</f>
        <v>476634</v>
      </c>
      <c r="E144" s="239">
        <f>E74</f>
        <v>374413.29833376448</v>
      </c>
      <c r="F144" s="239">
        <f>F74</f>
        <v>0</v>
      </c>
      <c r="G144" s="239">
        <f>G74</f>
        <v>0</v>
      </c>
      <c r="H144" s="239">
        <f>H74</f>
        <v>851047.29833376454</v>
      </c>
    </row>
    <row r="145" spans="1:8" ht="18" customHeight="1" x14ac:dyDescent="0.55000000000000004">
      <c r="A145" s="180" t="s">
        <v>171</v>
      </c>
      <c r="B145" s="179" t="s">
        <v>69</v>
      </c>
      <c r="D145" s="239">
        <f>D82</f>
        <v>1806696.4279119335</v>
      </c>
      <c r="E145" s="239">
        <f>E82</f>
        <v>0</v>
      </c>
      <c r="F145" s="239">
        <f>F82</f>
        <v>0</v>
      </c>
      <c r="G145" s="239">
        <f>G82</f>
        <v>0</v>
      </c>
      <c r="H145" s="239">
        <f>H82</f>
        <v>1806696.4279119335</v>
      </c>
    </row>
    <row r="146" spans="1:8" ht="18" customHeight="1" x14ac:dyDescent="0.55000000000000004">
      <c r="A146" s="180" t="s">
        <v>193</v>
      </c>
      <c r="B146" s="179" t="s">
        <v>226</v>
      </c>
      <c r="D146" s="239">
        <f>D98</f>
        <v>4297830.0890000006</v>
      </c>
      <c r="E146" s="239">
        <f>E98</f>
        <v>3376101.4516391745</v>
      </c>
      <c r="F146" s="239">
        <f>F98</f>
        <v>0</v>
      </c>
      <c r="G146" s="239">
        <f>G98</f>
        <v>0</v>
      </c>
      <c r="H146" s="239">
        <f>H98</f>
        <v>7673931.5406391751</v>
      </c>
    </row>
    <row r="147" spans="1:8" ht="18" customHeight="1" x14ac:dyDescent="0.55000000000000004">
      <c r="A147" s="180" t="s">
        <v>204</v>
      </c>
      <c r="B147" s="179" t="s">
        <v>71</v>
      </c>
      <c r="D147" s="217">
        <f>D108</f>
        <v>144657.40471726994</v>
      </c>
      <c r="E147" s="217">
        <f>E108</f>
        <v>113633.63928841689</v>
      </c>
      <c r="F147" s="217">
        <f>F108</f>
        <v>0</v>
      </c>
      <c r="G147" s="217">
        <f>G108</f>
        <v>0</v>
      </c>
      <c r="H147" s="217">
        <f>H108</f>
        <v>258291.04400568682</v>
      </c>
    </row>
    <row r="148" spans="1:8" ht="18" customHeight="1" x14ac:dyDescent="0.55000000000000004">
      <c r="A148" s="180" t="s">
        <v>310</v>
      </c>
      <c r="B148" s="179" t="s">
        <v>58</v>
      </c>
      <c r="D148" s="240" t="s">
        <v>245</v>
      </c>
      <c r="E148" s="240" t="s">
        <v>245</v>
      </c>
      <c r="F148" s="240"/>
      <c r="G148" s="240" t="s">
        <v>245</v>
      </c>
      <c r="H148" s="239">
        <f>H111</f>
        <v>22257214</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10773711.954387086</v>
      </c>
      <c r="E150" s="217">
        <f>E18</f>
        <v>0</v>
      </c>
      <c r="F150" s="217">
        <f>F18</f>
        <v>0</v>
      </c>
      <c r="G150" s="217">
        <f>G18</f>
        <v>8928930.9141828008</v>
      </c>
      <c r="H150" s="217">
        <f>H18</f>
        <v>1844781.0402042847</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42855855.105926193</v>
      </c>
      <c r="E152" s="241">
        <f>SUM(E141:E150)</f>
        <v>23779319.58930349</v>
      </c>
      <c r="F152" s="241">
        <f>SUM(F141:F150)</f>
        <v>553680</v>
      </c>
      <c r="G152" s="241">
        <f>SUM(G141:G150)</f>
        <v>10297501.174182801</v>
      </c>
      <c r="H152" s="241">
        <f>SUM(H141:H150)</f>
        <v>78041207.521046877</v>
      </c>
    </row>
    <row r="154" spans="1:8" ht="18" customHeight="1" x14ac:dyDescent="0.55000000000000004">
      <c r="A154" s="183" t="s">
        <v>339</v>
      </c>
      <c r="B154" s="179" t="s">
        <v>340</v>
      </c>
      <c r="D154" s="242">
        <f>H152/E121</f>
        <v>0.14798788976614644</v>
      </c>
    </row>
    <row r="155" spans="1:8" ht="18" customHeight="1" x14ac:dyDescent="0.55000000000000004">
      <c r="A155" s="183" t="s">
        <v>341</v>
      </c>
      <c r="B155" s="179" t="s">
        <v>342</v>
      </c>
      <c r="D155" s="242">
        <f>H152/E127</f>
        <v>0.83540472627803974</v>
      </c>
    </row>
  </sheetData>
  <mergeCells count="2">
    <mergeCell ref="C2:D2"/>
    <mergeCell ref="B13:D13"/>
  </mergeCells>
  <printOptions headings="1" gridLines="1"/>
  <pageMargins left="0.17" right="0.16" top="0.35" bottom="0.32" header="0.17" footer="0.17"/>
  <pageSetup scale="59" fitToHeight="3" orientation="landscape" horizontalDpi="4294967294" r:id="rId1"/>
  <headerFooter alignWithMargins="0"/>
  <rowBreaks count="4" manualBreakCount="4">
    <brk id="37" max="16383" man="1"/>
    <brk id="74" max="16383" man="1"/>
    <brk id="109" max="16383" man="1"/>
    <brk id="138"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5869E-CAC8-4F19-AEF3-7F7E01F2504A}">
  <sheetPr codeName="Sheet17"/>
  <dimension ref="A1:J157"/>
  <sheetViews>
    <sheetView zoomScaleNormal="100" workbookViewId="0"/>
  </sheetViews>
  <sheetFormatPr defaultColWidth="9" defaultRowHeight="18" customHeight="1" x14ac:dyDescent="0.55000000000000004"/>
  <cols>
    <col min="1" max="1" width="8.26171875" style="175" customWidth="1"/>
    <col min="2" max="2" width="55.26171875" style="176" bestFit="1" customWidth="1"/>
    <col min="3" max="3" width="12.26171875" style="176" customWidth="1"/>
    <col min="4" max="4" width="17.15625" style="176" customWidth="1"/>
    <col min="5" max="6" width="21.15625" style="176" customWidth="1"/>
    <col min="7" max="7" width="19.68359375" style="176" customWidth="1"/>
    <col min="8" max="8" width="17.15625" style="176" customWidth="1"/>
    <col min="9" max="9" width="4.57812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08" t="s">
        <v>366</v>
      </c>
      <c r="D5" s="507"/>
      <c r="E5" s="507"/>
      <c r="F5" s="507"/>
    </row>
    <row r="6" spans="1:8" ht="18" customHeight="1" x14ac:dyDescent="0.55000000000000004">
      <c r="B6" s="180" t="s">
        <v>237</v>
      </c>
      <c r="C6" s="509" t="s">
        <v>367</v>
      </c>
      <c r="D6" s="510"/>
      <c r="E6" s="510"/>
      <c r="F6" s="510"/>
    </row>
    <row r="7" spans="1:8" ht="18" customHeight="1" x14ac:dyDescent="0.55000000000000004">
      <c r="B7" s="180" t="s">
        <v>238</v>
      </c>
      <c r="C7" s="511">
        <v>11194</v>
      </c>
      <c r="D7" s="512"/>
      <c r="E7" s="512"/>
      <c r="F7" s="512"/>
    </row>
    <row r="9" spans="1:8" ht="18" customHeight="1" x14ac:dyDescent="0.55000000000000004">
      <c r="B9" s="180" t="s">
        <v>239</v>
      </c>
      <c r="C9" s="508" t="s">
        <v>368</v>
      </c>
      <c r="D9" s="507"/>
      <c r="E9" s="507"/>
      <c r="F9" s="507"/>
    </row>
    <row r="10" spans="1:8" ht="18" customHeight="1" x14ac:dyDescent="0.55000000000000004">
      <c r="B10" s="180" t="s">
        <v>241</v>
      </c>
      <c r="C10" s="504" t="s">
        <v>369</v>
      </c>
      <c r="D10" s="505"/>
      <c r="E10" s="505"/>
      <c r="F10" s="505"/>
    </row>
    <row r="11" spans="1:8" ht="18" customHeight="1" x14ac:dyDescent="0.55000000000000004">
      <c r="B11" s="180" t="s">
        <v>243</v>
      </c>
      <c r="C11" s="506" t="s">
        <v>370</v>
      </c>
      <c r="D11" s="507"/>
      <c r="E11" s="507"/>
      <c r="F11" s="507"/>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47111350.727690749</v>
      </c>
      <c r="E18" s="214"/>
      <c r="F18" s="214"/>
      <c r="G18" s="214">
        <v>39044481.391587123</v>
      </c>
      <c r="H18" s="249">
        <f>(D18+E18)-G18</f>
        <v>8066869.3361036256</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1309069.3800000001</v>
      </c>
      <c r="E21" s="184">
        <v>618273.46817399992</v>
      </c>
      <c r="F21" s="184">
        <v>0</v>
      </c>
      <c r="G21" s="184">
        <v>0</v>
      </c>
      <c r="H21" s="217">
        <f>(D21+E21)-F21-G21</f>
        <v>1927342.8481740002</v>
      </c>
    </row>
    <row r="22" spans="1:8" ht="18" customHeight="1" x14ac:dyDescent="0.55000000000000004">
      <c r="A22" s="180" t="s">
        <v>112</v>
      </c>
      <c r="B22" s="176" t="s">
        <v>113</v>
      </c>
      <c r="D22" s="184">
        <v>35929.279999999999</v>
      </c>
      <c r="E22" s="184">
        <v>16969.398944000004</v>
      </c>
      <c r="F22" s="184">
        <v>0</v>
      </c>
      <c r="G22" s="184">
        <v>0</v>
      </c>
      <c r="H22" s="217">
        <f t="shared" ref="H22:H34" si="0">(D22+E22)-F22-G22</f>
        <v>52898.678943999999</v>
      </c>
    </row>
    <row r="23" spans="1:8" ht="18" customHeight="1" x14ac:dyDescent="0.55000000000000004">
      <c r="A23" s="180" t="s">
        <v>114</v>
      </c>
      <c r="B23" s="176" t="s">
        <v>115</v>
      </c>
      <c r="D23" s="184">
        <v>0</v>
      </c>
      <c r="E23" s="184">
        <v>0</v>
      </c>
      <c r="F23" s="184">
        <v>0</v>
      </c>
      <c r="G23" s="184">
        <v>0</v>
      </c>
      <c r="H23" s="217">
        <f t="shared" si="0"/>
        <v>0</v>
      </c>
    </row>
    <row r="24" spans="1:8" ht="18" customHeight="1" x14ac:dyDescent="0.55000000000000004">
      <c r="A24" s="180" t="s">
        <v>116</v>
      </c>
      <c r="B24" s="176" t="s">
        <v>117</v>
      </c>
      <c r="D24" s="184">
        <v>2807736.42</v>
      </c>
      <c r="E24" s="184">
        <v>1029617.5035859999</v>
      </c>
      <c r="F24" s="184">
        <v>307902</v>
      </c>
      <c r="G24" s="184">
        <v>34880</v>
      </c>
      <c r="H24" s="217">
        <f t="shared" si="0"/>
        <v>3494571.9235859998</v>
      </c>
    </row>
    <row r="25" spans="1:8" ht="18" customHeight="1" x14ac:dyDescent="0.55000000000000004">
      <c r="A25" s="180" t="s">
        <v>118</v>
      </c>
      <c r="B25" s="176" t="s">
        <v>119</v>
      </c>
      <c r="D25" s="184">
        <v>0</v>
      </c>
      <c r="E25" s="184">
        <v>0</v>
      </c>
      <c r="F25" s="184">
        <v>0</v>
      </c>
      <c r="G25" s="184">
        <v>0</v>
      </c>
      <c r="H25" s="217">
        <f t="shared" si="0"/>
        <v>0</v>
      </c>
    </row>
    <row r="26" spans="1:8" ht="18" customHeight="1" x14ac:dyDescent="0.55000000000000004">
      <c r="A26" s="180" t="s">
        <v>120</v>
      </c>
      <c r="B26" s="176" t="s">
        <v>121</v>
      </c>
      <c r="D26" s="184">
        <v>324.27999999999997</v>
      </c>
      <c r="E26" s="184">
        <v>153.157444</v>
      </c>
      <c r="F26" s="184">
        <v>0</v>
      </c>
      <c r="G26" s="184">
        <v>0</v>
      </c>
      <c r="H26" s="217">
        <f t="shared" si="0"/>
        <v>477.43744399999997</v>
      </c>
    </row>
    <row r="27" spans="1:8" ht="18" customHeight="1" x14ac:dyDescent="0.55000000000000004">
      <c r="A27" s="180" t="s">
        <v>122</v>
      </c>
      <c r="B27" s="176" t="s">
        <v>246</v>
      </c>
      <c r="D27" s="184">
        <v>9328676.5800000001</v>
      </c>
      <c r="E27" s="184">
        <v>1545303.4858240001</v>
      </c>
      <c r="F27" s="184">
        <v>0</v>
      </c>
      <c r="G27" s="184">
        <v>0</v>
      </c>
      <c r="H27" s="217">
        <f t="shared" si="0"/>
        <v>10873980.065824</v>
      </c>
    </row>
    <row r="28" spans="1:8" ht="18" customHeight="1" x14ac:dyDescent="0.55000000000000004">
      <c r="A28" s="180" t="s">
        <v>124</v>
      </c>
      <c r="B28" s="176" t="s">
        <v>125</v>
      </c>
      <c r="D28" s="184">
        <v>878249.52</v>
      </c>
      <c r="E28" s="184">
        <v>414797.24829600001</v>
      </c>
      <c r="F28" s="184">
        <v>0</v>
      </c>
      <c r="G28" s="184">
        <v>1293047</v>
      </c>
      <c r="H28" s="217">
        <f t="shared" si="0"/>
        <v>-0.23170399991795421</v>
      </c>
    </row>
    <row r="29" spans="1:8" ht="18" customHeight="1" x14ac:dyDescent="0.55000000000000004">
      <c r="A29" s="180" t="s">
        <v>126</v>
      </c>
      <c r="B29" s="176" t="s">
        <v>127</v>
      </c>
      <c r="D29" s="184">
        <v>12137371.82</v>
      </c>
      <c r="E29" s="184">
        <v>5508261.0085859997</v>
      </c>
      <c r="F29" s="184">
        <v>0</v>
      </c>
      <c r="G29" s="184">
        <v>139558</v>
      </c>
      <c r="H29" s="217">
        <f t="shared" si="0"/>
        <v>17506074.828586001</v>
      </c>
    </row>
    <row r="30" spans="1:8" ht="18" customHeight="1" x14ac:dyDescent="0.55000000000000004">
      <c r="A30" s="180" t="s">
        <v>128</v>
      </c>
      <c r="B30" s="185" t="s">
        <v>463</v>
      </c>
      <c r="D30" s="184">
        <v>4909016.04</v>
      </c>
      <c r="E30" s="184">
        <v>2318528.2756919987</v>
      </c>
      <c r="F30" s="184">
        <v>1873268</v>
      </c>
      <c r="G30" s="184">
        <v>141500</v>
      </c>
      <c r="H30" s="217">
        <f t="shared" si="0"/>
        <v>5212776.3156919982</v>
      </c>
    </row>
    <row r="31" spans="1:8" ht="18" customHeight="1" x14ac:dyDescent="0.55000000000000004">
      <c r="A31" s="180" t="s">
        <v>130</v>
      </c>
      <c r="B31" s="185"/>
      <c r="D31" s="184">
        <v>0</v>
      </c>
      <c r="E31" s="184">
        <v>0</v>
      </c>
      <c r="F31" s="184">
        <v>0</v>
      </c>
      <c r="G31" s="184">
        <v>0</v>
      </c>
      <c r="H31" s="217">
        <f t="shared" si="0"/>
        <v>0</v>
      </c>
    </row>
    <row r="32" spans="1:8" ht="18" customHeight="1" x14ac:dyDescent="0.55000000000000004">
      <c r="A32" s="180" t="s">
        <v>131</v>
      </c>
      <c r="B32" s="185"/>
      <c r="D32" s="184">
        <v>0</v>
      </c>
      <c r="E32" s="184">
        <v>0</v>
      </c>
      <c r="F32" s="184">
        <v>0</v>
      </c>
      <c r="G32" s="184">
        <v>0</v>
      </c>
      <c r="H32" s="217">
        <f t="shared" si="0"/>
        <v>0</v>
      </c>
    </row>
    <row r="33" spans="1:8" ht="18" customHeight="1" x14ac:dyDescent="0.55000000000000004">
      <c r="A33" s="180" t="s">
        <v>132</v>
      </c>
      <c r="B33" s="185"/>
      <c r="D33" s="184">
        <v>0</v>
      </c>
      <c r="E33" s="184">
        <v>0</v>
      </c>
      <c r="F33" s="184">
        <v>0</v>
      </c>
      <c r="G33" s="184">
        <v>0</v>
      </c>
      <c r="H33" s="217">
        <f t="shared" si="0"/>
        <v>0</v>
      </c>
    </row>
    <row r="34" spans="1:8" ht="18" customHeight="1" x14ac:dyDescent="0.55000000000000004">
      <c r="A34" s="180" t="s">
        <v>133</v>
      </c>
      <c r="B34" s="185"/>
      <c r="D34" s="184">
        <v>0</v>
      </c>
      <c r="E34" s="184">
        <v>0</v>
      </c>
      <c r="F34" s="184">
        <v>0</v>
      </c>
      <c r="G34" s="184">
        <v>0</v>
      </c>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31406373.32</v>
      </c>
      <c r="E36" s="217">
        <f>SUM(E21:E34)</f>
        <v>11451903.546545999</v>
      </c>
      <c r="F36" s="217">
        <f>SUM(F21:F34)</f>
        <v>2181170</v>
      </c>
      <c r="G36" s="217">
        <f>SUM(G21:G34)</f>
        <v>1608985</v>
      </c>
      <c r="H36" s="267">
        <f>SUM(H21:H34)</f>
        <v>39068121.866545998</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125064210</v>
      </c>
      <c r="E40" s="184">
        <v>59067826.383000001</v>
      </c>
      <c r="F40" s="184">
        <v>0</v>
      </c>
      <c r="G40" s="184">
        <v>0</v>
      </c>
      <c r="H40" s="217">
        <f>(D40+E40)-F40-G40</f>
        <v>184132036.38300002</v>
      </c>
    </row>
    <row r="41" spans="1:8" ht="18" customHeight="1" x14ac:dyDescent="0.55000000000000004">
      <c r="A41" s="180" t="s">
        <v>251</v>
      </c>
      <c r="B41" s="176" t="s">
        <v>141</v>
      </c>
      <c r="D41" s="184">
        <v>3321620</v>
      </c>
      <c r="E41" s="184">
        <v>1568801.1259999999</v>
      </c>
      <c r="F41" s="184">
        <v>0</v>
      </c>
      <c r="G41" s="184">
        <v>0</v>
      </c>
      <c r="H41" s="217">
        <f t="shared" ref="H41:H47" si="1">(D41+E41)-F41-G41</f>
        <v>4890421.1260000002</v>
      </c>
    </row>
    <row r="42" spans="1:8" ht="18" customHeight="1" x14ac:dyDescent="0.55000000000000004">
      <c r="A42" s="180" t="s">
        <v>252</v>
      </c>
      <c r="B42" s="176" t="s">
        <v>143</v>
      </c>
      <c r="D42" s="184">
        <v>6282171.5999999996</v>
      </c>
      <c r="E42" s="184">
        <v>2967069.6466799998</v>
      </c>
      <c r="F42" s="184">
        <v>0</v>
      </c>
      <c r="G42" s="184">
        <v>9000</v>
      </c>
      <c r="H42" s="217">
        <f t="shared" si="1"/>
        <v>9240241.2466799989</v>
      </c>
    </row>
    <row r="43" spans="1:8" ht="18" customHeight="1" x14ac:dyDescent="0.55000000000000004">
      <c r="A43" s="180" t="s">
        <v>253</v>
      </c>
      <c r="B43" s="176" t="s">
        <v>145</v>
      </c>
      <c r="D43" s="184">
        <v>2402016</v>
      </c>
      <c r="E43" s="184">
        <v>1134472.1568</v>
      </c>
      <c r="F43" s="184">
        <v>0</v>
      </c>
      <c r="G43" s="184">
        <v>0</v>
      </c>
      <c r="H43" s="217">
        <f t="shared" si="1"/>
        <v>3536488.1568</v>
      </c>
    </row>
    <row r="44" spans="1:8" ht="18" customHeight="1" x14ac:dyDescent="0.55000000000000004">
      <c r="A44" s="180" t="s">
        <v>146</v>
      </c>
      <c r="B44" s="185" t="s">
        <v>464</v>
      </c>
      <c r="D44" s="184">
        <v>1287092.1600000001</v>
      </c>
      <c r="E44" s="184">
        <v>607893.62716799998</v>
      </c>
      <c r="F44" s="184">
        <v>0</v>
      </c>
      <c r="G44" s="184">
        <v>63125</v>
      </c>
      <c r="H44" s="217">
        <f t="shared" si="1"/>
        <v>1831860.7871680001</v>
      </c>
    </row>
    <row r="45" spans="1:8" ht="18" customHeight="1" x14ac:dyDescent="0.55000000000000004">
      <c r="A45" s="180" t="s">
        <v>147</v>
      </c>
      <c r="B45" s="185"/>
      <c r="D45" s="184">
        <v>0</v>
      </c>
      <c r="E45" s="184">
        <v>0</v>
      </c>
      <c r="F45" s="184">
        <v>0</v>
      </c>
      <c r="G45" s="184">
        <v>0</v>
      </c>
      <c r="H45" s="217">
        <f t="shared" si="1"/>
        <v>0</v>
      </c>
    </row>
    <row r="46" spans="1:8" ht="18" customHeight="1" x14ac:dyDescent="0.55000000000000004">
      <c r="A46" s="180" t="s">
        <v>148</v>
      </c>
      <c r="B46" s="185"/>
      <c r="D46" s="184">
        <v>0</v>
      </c>
      <c r="E46" s="184">
        <v>0</v>
      </c>
      <c r="F46" s="184">
        <v>0</v>
      </c>
      <c r="G46" s="184">
        <v>0</v>
      </c>
      <c r="H46" s="217">
        <f t="shared" si="1"/>
        <v>0</v>
      </c>
    </row>
    <row r="47" spans="1:8" ht="18" customHeight="1" x14ac:dyDescent="0.55000000000000004">
      <c r="A47" s="180" t="s">
        <v>149</v>
      </c>
      <c r="B47" s="185"/>
      <c r="D47" s="184">
        <v>0</v>
      </c>
      <c r="E47" s="184">
        <v>0</v>
      </c>
      <c r="F47" s="184">
        <v>0</v>
      </c>
      <c r="G47" s="184">
        <v>0</v>
      </c>
      <c r="H47" s="217">
        <f t="shared" si="1"/>
        <v>0</v>
      </c>
    </row>
    <row r="49" spans="1:8" ht="18" customHeight="1" x14ac:dyDescent="0.55000000000000004">
      <c r="A49" s="183" t="s">
        <v>150</v>
      </c>
      <c r="B49" s="179" t="s">
        <v>254</v>
      </c>
      <c r="C49" s="179" t="s">
        <v>248</v>
      </c>
      <c r="D49" s="217">
        <f>SUM(D40:D47)</f>
        <v>138357109.75999999</v>
      </c>
      <c r="E49" s="217">
        <f>SUM(E40:E47)</f>
        <v>65346062.939648002</v>
      </c>
      <c r="F49" s="217">
        <f>SUM(F40:F47)</f>
        <v>0</v>
      </c>
      <c r="G49" s="217">
        <f>SUM(G40:G47)</f>
        <v>72125</v>
      </c>
      <c r="H49" s="267">
        <f>SUM(H40:H47)</f>
        <v>203631047.69964799</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184">
        <v>12266142</v>
      </c>
      <c r="E53" s="184">
        <v>0</v>
      </c>
      <c r="F53" s="184">
        <v>0</v>
      </c>
      <c r="G53" s="184">
        <v>332558</v>
      </c>
      <c r="H53" s="217">
        <f>(D53+E53)-F53-G53</f>
        <v>11933584</v>
      </c>
    </row>
    <row r="54" spans="1:8" ht="18" customHeight="1" x14ac:dyDescent="0.55000000000000004">
      <c r="A54" s="180" t="s">
        <v>259</v>
      </c>
      <c r="B54" s="193" t="s">
        <v>372</v>
      </c>
      <c r="D54" s="184">
        <v>876</v>
      </c>
      <c r="E54" s="184">
        <v>413.73480000000001</v>
      </c>
      <c r="F54" s="184">
        <v>0</v>
      </c>
      <c r="G54" s="184">
        <v>0</v>
      </c>
      <c r="H54" s="217">
        <f t="shared" ref="H54:H62" si="2">(D54+E54)-F54-G54</f>
        <v>1289.7348</v>
      </c>
    </row>
    <row r="55" spans="1:8" ht="18" customHeight="1" x14ac:dyDescent="0.55000000000000004">
      <c r="A55" s="180" t="s">
        <v>260</v>
      </c>
      <c r="B55" s="194" t="s">
        <v>371</v>
      </c>
      <c r="D55" s="184">
        <v>98759.58</v>
      </c>
      <c r="E55" s="184">
        <v>46644.149634000001</v>
      </c>
      <c r="F55" s="184">
        <v>0</v>
      </c>
      <c r="G55" s="184">
        <v>145404</v>
      </c>
      <c r="H55" s="217">
        <f t="shared" si="2"/>
        <v>-0.2703660000115633</v>
      </c>
    </row>
    <row r="56" spans="1:8" ht="18" customHeight="1" x14ac:dyDescent="0.55000000000000004">
      <c r="A56" s="180" t="s">
        <v>261</v>
      </c>
      <c r="B56" s="226" t="s">
        <v>465</v>
      </c>
      <c r="D56" s="184">
        <v>612192</v>
      </c>
      <c r="E56" s="184">
        <v>289138.28159999999</v>
      </c>
      <c r="F56" s="184">
        <v>0</v>
      </c>
      <c r="G56" s="184">
        <v>0</v>
      </c>
      <c r="H56" s="217">
        <f t="shared" si="2"/>
        <v>901330.28159999999</v>
      </c>
    </row>
    <row r="57" spans="1:8" ht="18" customHeight="1" x14ac:dyDescent="0.55000000000000004">
      <c r="A57" s="180" t="s">
        <v>263</v>
      </c>
      <c r="B57" s="223" t="s">
        <v>373</v>
      </c>
      <c r="D57" s="184">
        <v>19570.7</v>
      </c>
      <c r="E57" s="184">
        <v>9243.2416100000009</v>
      </c>
      <c r="F57" s="184">
        <v>0</v>
      </c>
      <c r="G57" s="184">
        <v>26966</v>
      </c>
      <c r="H57" s="217">
        <f t="shared" si="2"/>
        <v>1847.9416100000017</v>
      </c>
    </row>
    <row r="58" spans="1:8" ht="18" customHeight="1" x14ac:dyDescent="0.55000000000000004">
      <c r="A58" s="180" t="s">
        <v>264</v>
      </c>
      <c r="B58" s="223" t="s">
        <v>466</v>
      </c>
      <c r="D58" s="184">
        <v>75000</v>
      </c>
      <c r="E58" s="184">
        <v>0</v>
      </c>
      <c r="F58" s="184">
        <v>0</v>
      </c>
      <c r="G58" s="184">
        <v>0</v>
      </c>
      <c r="H58" s="217">
        <f>(D58+E58)-F58-G58</f>
        <v>75000</v>
      </c>
    </row>
    <row r="59" spans="1:8" ht="18" customHeight="1" x14ac:dyDescent="0.55000000000000004">
      <c r="A59" s="180" t="s">
        <v>265</v>
      </c>
      <c r="B59" s="223"/>
      <c r="D59" s="184">
        <v>0</v>
      </c>
      <c r="E59" s="184">
        <v>0</v>
      </c>
      <c r="F59" s="184">
        <v>0</v>
      </c>
      <c r="G59" s="184">
        <v>0</v>
      </c>
      <c r="H59" s="217">
        <f t="shared" si="2"/>
        <v>0</v>
      </c>
    </row>
    <row r="60" spans="1:8" ht="18" customHeight="1" x14ac:dyDescent="0.55000000000000004">
      <c r="A60" s="180" t="s">
        <v>266</v>
      </c>
      <c r="B60" s="226"/>
      <c r="C60" s="212"/>
      <c r="D60" s="184">
        <v>0</v>
      </c>
      <c r="E60" s="184">
        <v>0</v>
      </c>
      <c r="F60" s="184">
        <v>0</v>
      </c>
      <c r="G60" s="184">
        <v>0</v>
      </c>
      <c r="H60" s="217">
        <f t="shared" si="2"/>
        <v>0</v>
      </c>
    </row>
    <row r="61" spans="1:8" ht="18" customHeight="1" x14ac:dyDescent="0.55000000000000004">
      <c r="A61" s="180" t="s">
        <v>267</v>
      </c>
      <c r="B61" s="226"/>
      <c r="C61" s="212"/>
      <c r="D61" s="184">
        <v>0</v>
      </c>
      <c r="E61" s="184">
        <v>0</v>
      </c>
      <c r="F61" s="184">
        <v>0</v>
      </c>
      <c r="G61" s="184">
        <v>0</v>
      </c>
      <c r="H61" s="217">
        <f t="shared" si="2"/>
        <v>0</v>
      </c>
    </row>
    <row r="62" spans="1:8" ht="18" customHeight="1" x14ac:dyDescent="0.55000000000000004">
      <c r="A62" s="180" t="s">
        <v>268</v>
      </c>
      <c r="B62" s="226"/>
      <c r="C62" s="212"/>
      <c r="D62" s="184">
        <v>0</v>
      </c>
      <c r="E62" s="184">
        <v>0</v>
      </c>
      <c r="F62" s="184">
        <v>0</v>
      </c>
      <c r="G62" s="184">
        <v>0</v>
      </c>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13072540.279999999</v>
      </c>
      <c r="E64" s="217">
        <f>SUM(E53:E62)</f>
        <v>345439.40764400002</v>
      </c>
      <c r="F64" s="217">
        <f>SUM(F53:F62)</f>
        <v>0</v>
      </c>
      <c r="G64" s="217">
        <f>SUM(G53:G62)</f>
        <v>504928</v>
      </c>
      <c r="H64" s="267">
        <f>SUM(H53:H62)</f>
        <v>12913051.687643999</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184">
        <v>0</v>
      </c>
      <c r="E68" s="184">
        <v>0</v>
      </c>
      <c r="F68" s="184">
        <v>0</v>
      </c>
      <c r="G68" s="184">
        <v>0</v>
      </c>
      <c r="H68" s="217">
        <f>(D68+E68)-F68-G68</f>
        <v>0</v>
      </c>
      <c r="J68" s="254"/>
    </row>
    <row r="69" spans="1:10" ht="18" customHeight="1" x14ac:dyDescent="0.55000000000000004">
      <c r="A69" s="180" t="s">
        <v>273</v>
      </c>
      <c r="B69" s="176" t="s">
        <v>159</v>
      </c>
      <c r="D69" s="184">
        <v>75000</v>
      </c>
      <c r="E69" s="184">
        <v>0</v>
      </c>
      <c r="F69" s="184">
        <v>0</v>
      </c>
      <c r="G69" s="184">
        <v>0</v>
      </c>
      <c r="H69" s="217">
        <f>(D69+E69)-F69-G69</f>
        <v>75000</v>
      </c>
    </row>
    <row r="70" spans="1:10" ht="18" customHeight="1" x14ac:dyDescent="0.55000000000000004">
      <c r="A70" s="180" t="s">
        <v>274</v>
      </c>
      <c r="B70" s="193"/>
      <c r="C70" s="179"/>
      <c r="D70" s="184">
        <v>0</v>
      </c>
      <c r="E70" s="184">
        <v>0</v>
      </c>
      <c r="F70" s="184">
        <v>0</v>
      </c>
      <c r="G70" s="184">
        <v>0</v>
      </c>
      <c r="H70" s="217">
        <f>(D70+E70)-F70-G70</f>
        <v>0</v>
      </c>
    </row>
    <row r="71" spans="1:10" ht="18" customHeight="1" x14ac:dyDescent="0.55000000000000004">
      <c r="A71" s="180" t="s">
        <v>275</v>
      </c>
      <c r="B71" s="193"/>
      <c r="C71" s="179"/>
      <c r="D71" s="184">
        <v>0</v>
      </c>
      <c r="E71" s="184">
        <v>0</v>
      </c>
      <c r="F71" s="184">
        <v>0</v>
      </c>
      <c r="G71" s="184">
        <v>0</v>
      </c>
      <c r="H71" s="217">
        <f>(D71+E71)-F71-G71</f>
        <v>0</v>
      </c>
    </row>
    <row r="72" spans="1:10" ht="18" customHeight="1" x14ac:dyDescent="0.55000000000000004">
      <c r="A72" s="180" t="s">
        <v>276</v>
      </c>
      <c r="B72" s="194"/>
      <c r="C72" s="179"/>
      <c r="D72" s="184">
        <v>0</v>
      </c>
      <c r="E72" s="184">
        <v>0</v>
      </c>
      <c r="F72" s="184">
        <v>0</v>
      </c>
      <c r="G72" s="184">
        <v>0</v>
      </c>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75000</v>
      </c>
      <c r="E74" s="229">
        <f>SUM(E68:E72)</f>
        <v>0</v>
      </c>
      <c r="F74" s="229">
        <f>SUM(F68:F72)</f>
        <v>0</v>
      </c>
      <c r="G74" s="217">
        <f>SUM(G68:G72)</f>
        <v>0</v>
      </c>
      <c r="H74" s="217">
        <f>SUM(H68:H72)</f>
        <v>75000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2192054</v>
      </c>
      <c r="E77" s="230"/>
      <c r="F77" s="184">
        <v>0</v>
      </c>
      <c r="G77" s="184">
        <v>0</v>
      </c>
      <c r="H77" s="217">
        <f>(D77-F77-G77)</f>
        <v>2192054</v>
      </c>
    </row>
    <row r="78" spans="1:10" ht="18" customHeight="1" x14ac:dyDescent="0.55000000000000004">
      <c r="A78" s="180" t="s">
        <v>281</v>
      </c>
      <c r="B78" s="176" t="s">
        <v>166</v>
      </c>
      <c r="D78" s="184">
        <v>0</v>
      </c>
      <c r="E78" s="230"/>
      <c r="F78" s="184">
        <v>0</v>
      </c>
      <c r="G78" s="184">
        <v>0</v>
      </c>
      <c r="H78" s="217">
        <f>(D78-F78-G78)</f>
        <v>0</v>
      </c>
    </row>
    <row r="79" spans="1:10" ht="18" customHeight="1" x14ac:dyDescent="0.55000000000000004">
      <c r="A79" s="180" t="s">
        <v>282</v>
      </c>
      <c r="B79" s="176" t="s">
        <v>168</v>
      </c>
      <c r="D79" s="184">
        <v>69958.52</v>
      </c>
      <c r="E79" s="230"/>
      <c r="F79" s="184">
        <v>0</v>
      </c>
      <c r="G79" s="184">
        <v>0</v>
      </c>
      <c r="H79" s="217">
        <f>(D79-F79-G79)</f>
        <v>69958.52</v>
      </c>
    </row>
    <row r="80" spans="1:10" ht="18" customHeight="1" x14ac:dyDescent="0.55000000000000004">
      <c r="A80" s="180" t="s">
        <v>283</v>
      </c>
      <c r="B80" s="176" t="s">
        <v>170</v>
      </c>
      <c r="D80" s="184">
        <v>750.4</v>
      </c>
      <c r="E80" s="230"/>
      <c r="F80" s="184">
        <v>0</v>
      </c>
      <c r="G80" s="184">
        <v>0</v>
      </c>
      <c r="H80" s="217">
        <f>(D80-F80-G80)</f>
        <v>750.4</v>
      </c>
    </row>
    <row r="81" spans="1:8" ht="18" customHeight="1" x14ac:dyDescent="0.55000000000000004">
      <c r="A81" s="180"/>
      <c r="D81"/>
      <c r="H81" s="196"/>
    </row>
    <row r="82" spans="1:8" ht="18" customHeight="1" x14ac:dyDescent="0.55000000000000004">
      <c r="A82" s="180" t="s">
        <v>171</v>
      </c>
      <c r="B82" s="179" t="s">
        <v>284</v>
      </c>
      <c r="C82" s="179" t="s">
        <v>248</v>
      </c>
      <c r="D82" s="217">
        <f>SUM(D77:D80)</f>
        <v>2262762.92</v>
      </c>
      <c r="E82" s="231"/>
      <c r="F82" s="217">
        <f>SUM(F77:F80)</f>
        <v>0</v>
      </c>
      <c r="G82" s="217">
        <f>SUM(G77:G80)</f>
        <v>0</v>
      </c>
      <c r="H82" s="267">
        <f>SUM(H77:H80)</f>
        <v>2262762.92</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v>0</v>
      </c>
      <c r="E86" s="184">
        <v>0</v>
      </c>
      <c r="F86" s="184">
        <v>0</v>
      </c>
      <c r="G86" s="184">
        <v>0</v>
      </c>
      <c r="H86" s="217">
        <f>(D86+E86)-F86-G86</f>
        <v>0</v>
      </c>
    </row>
    <row r="87" spans="1:8" ht="18" customHeight="1" x14ac:dyDescent="0.55000000000000004">
      <c r="A87" s="180" t="s">
        <v>287</v>
      </c>
      <c r="B87" s="176" t="s">
        <v>177</v>
      </c>
      <c r="D87" s="184">
        <v>34639</v>
      </c>
      <c r="E87" s="184">
        <v>16359.9997</v>
      </c>
      <c r="F87" s="184">
        <v>0</v>
      </c>
      <c r="G87" s="184">
        <v>0</v>
      </c>
      <c r="H87" s="217">
        <f t="shared" ref="H87:H96" si="3">(D87+E87)-F87-G87</f>
        <v>50998.9997</v>
      </c>
    </row>
    <row r="88" spans="1:8" ht="18" customHeight="1" x14ac:dyDescent="0.55000000000000004">
      <c r="A88" s="180" t="s">
        <v>288</v>
      </c>
      <c r="B88" s="176" t="s">
        <v>289</v>
      </c>
      <c r="D88" s="184">
        <v>1266780.6200000001</v>
      </c>
      <c r="E88" s="184">
        <v>598300.4868259998</v>
      </c>
      <c r="F88" s="184">
        <v>0</v>
      </c>
      <c r="G88" s="184">
        <v>4195</v>
      </c>
      <c r="H88" s="217">
        <f t="shared" si="3"/>
        <v>1860886.1068259999</v>
      </c>
    </row>
    <row r="89" spans="1:8" ht="18" customHeight="1" x14ac:dyDescent="0.55000000000000004">
      <c r="A89" s="180" t="s">
        <v>290</v>
      </c>
      <c r="B89" s="176" t="s">
        <v>181</v>
      </c>
      <c r="D89" s="184">
        <v>160564.79999999999</v>
      </c>
      <c r="E89" s="184">
        <v>75834.755039999989</v>
      </c>
      <c r="F89" s="184">
        <v>0</v>
      </c>
      <c r="G89" s="184">
        <v>1560</v>
      </c>
      <c r="H89" s="217">
        <f t="shared" si="3"/>
        <v>234839.55503999998</v>
      </c>
    </row>
    <row r="90" spans="1:8" ht="18" customHeight="1" x14ac:dyDescent="0.55000000000000004">
      <c r="A90" s="180" t="s">
        <v>291</v>
      </c>
      <c r="B90" s="176" t="s">
        <v>183</v>
      </c>
      <c r="D90" s="184">
        <v>2905.64</v>
      </c>
      <c r="E90" s="184">
        <v>1372.333772</v>
      </c>
      <c r="F90" s="184">
        <v>0</v>
      </c>
      <c r="G90" s="184">
        <v>0</v>
      </c>
      <c r="H90" s="217">
        <f t="shared" si="3"/>
        <v>4277.9737719999994</v>
      </c>
    </row>
    <row r="91" spans="1:8" ht="18" customHeight="1" x14ac:dyDescent="0.55000000000000004">
      <c r="A91" s="180" t="s">
        <v>292</v>
      </c>
      <c r="B91" s="176" t="s">
        <v>185</v>
      </c>
      <c r="D91" s="184">
        <v>236567.62</v>
      </c>
      <c r="E91" s="184">
        <v>111730.88692600001</v>
      </c>
      <c r="F91" s="184">
        <v>0</v>
      </c>
      <c r="G91" s="184">
        <v>0</v>
      </c>
      <c r="H91" s="217">
        <f t="shared" si="3"/>
        <v>348298.506926</v>
      </c>
    </row>
    <row r="92" spans="1:8" ht="18" customHeight="1" x14ac:dyDescent="0.55000000000000004">
      <c r="A92" s="180" t="s">
        <v>293</v>
      </c>
      <c r="B92" s="176" t="s">
        <v>294</v>
      </c>
      <c r="D92" s="184">
        <v>260442.92</v>
      </c>
      <c r="E92" s="184">
        <v>123007.191116</v>
      </c>
      <c r="F92" s="184">
        <v>0</v>
      </c>
      <c r="G92" s="184">
        <v>0</v>
      </c>
      <c r="H92" s="217">
        <f t="shared" si="3"/>
        <v>383450.11111599999</v>
      </c>
    </row>
    <row r="93" spans="1:8" ht="18" customHeight="1" x14ac:dyDescent="0.55000000000000004">
      <c r="A93" s="180" t="s">
        <v>295</v>
      </c>
      <c r="B93" s="176" t="s">
        <v>296</v>
      </c>
      <c r="D93" s="184">
        <v>118768.36</v>
      </c>
      <c r="E93" s="184">
        <v>56094.296428000001</v>
      </c>
      <c r="F93" s="184">
        <v>0</v>
      </c>
      <c r="G93" s="184">
        <v>27445</v>
      </c>
      <c r="H93" s="217">
        <f t="shared" si="3"/>
        <v>147417.65642800002</v>
      </c>
    </row>
    <row r="94" spans="1:8" ht="18" customHeight="1" x14ac:dyDescent="0.55000000000000004">
      <c r="A94" s="180" t="s">
        <v>297</v>
      </c>
      <c r="B94" s="193" t="s">
        <v>467</v>
      </c>
      <c r="D94" s="184">
        <v>119634.12</v>
      </c>
      <c r="E94" s="184">
        <v>56503.194875999994</v>
      </c>
      <c r="F94" s="184">
        <v>0</v>
      </c>
      <c r="G94" s="184">
        <v>0</v>
      </c>
      <c r="H94" s="217">
        <f t="shared" si="3"/>
        <v>176137.31487599999</v>
      </c>
    </row>
    <row r="95" spans="1:8" ht="18" customHeight="1" x14ac:dyDescent="0.55000000000000004">
      <c r="A95" s="180" t="s">
        <v>298</v>
      </c>
      <c r="B95" s="193"/>
      <c r="D95" s="184">
        <v>0</v>
      </c>
      <c r="E95" s="184">
        <v>0</v>
      </c>
      <c r="F95" s="184">
        <v>0</v>
      </c>
      <c r="G95" s="184">
        <v>0</v>
      </c>
      <c r="H95" s="217">
        <f t="shared" si="3"/>
        <v>0</v>
      </c>
    </row>
    <row r="96" spans="1:8" ht="18" customHeight="1" x14ac:dyDescent="0.55000000000000004">
      <c r="A96" s="180" t="s">
        <v>299</v>
      </c>
      <c r="B96" s="193"/>
      <c r="D96" s="184">
        <v>0</v>
      </c>
      <c r="E96" s="184">
        <v>0</v>
      </c>
      <c r="F96" s="184">
        <v>0</v>
      </c>
      <c r="G96" s="184">
        <v>0</v>
      </c>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2200303.08</v>
      </c>
      <c r="E98" s="217">
        <f>SUM(E86:E96)</f>
        <v>1039203.1446839997</v>
      </c>
      <c r="F98" s="217">
        <f>SUM(F86:F96)</f>
        <v>0</v>
      </c>
      <c r="G98" s="217">
        <f>SUM(G86:G96)</f>
        <v>33200</v>
      </c>
      <c r="H98" s="217">
        <f>SUM(H86:H96)</f>
        <v>3206306.224684</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173259.04</v>
      </c>
      <c r="E102" s="184">
        <v>81830.244591999988</v>
      </c>
      <c r="F102" s="184">
        <v>0</v>
      </c>
      <c r="G102" s="184">
        <v>0</v>
      </c>
      <c r="H102" s="217">
        <f>(D102+E102)-F102-G102</f>
        <v>255089.28459200001</v>
      </c>
    </row>
    <row r="103" spans="1:8" ht="18" customHeight="1" x14ac:dyDescent="0.55000000000000004">
      <c r="A103" s="180" t="s">
        <v>304</v>
      </c>
      <c r="B103" s="176" t="s">
        <v>199</v>
      </c>
      <c r="D103" s="184">
        <v>173083.04</v>
      </c>
      <c r="E103" s="184">
        <v>81747.119791999998</v>
      </c>
      <c r="F103" s="184">
        <v>0</v>
      </c>
      <c r="G103" s="184">
        <v>0</v>
      </c>
      <c r="H103" s="217">
        <f>(D103+E103)-F103-G103</f>
        <v>254830.15979200002</v>
      </c>
    </row>
    <row r="104" spans="1:8" ht="18" customHeight="1" x14ac:dyDescent="0.55000000000000004">
      <c r="A104" s="180" t="s">
        <v>305</v>
      </c>
      <c r="B104" s="193" t="s">
        <v>374</v>
      </c>
      <c r="D104" s="184">
        <v>188105</v>
      </c>
      <c r="E104" s="184">
        <v>88841.991500000004</v>
      </c>
      <c r="F104" s="184">
        <v>0</v>
      </c>
      <c r="G104" s="184">
        <v>0</v>
      </c>
      <c r="H104" s="217">
        <f>(D104+E104)-F104-G104</f>
        <v>276946.9915</v>
      </c>
    </row>
    <row r="105" spans="1:8" ht="18" customHeight="1" x14ac:dyDescent="0.55000000000000004">
      <c r="A105" s="180" t="s">
        <v>306</v>
      </c>
      <c r="B105" s="193"/>
      <c r="D105" s="184">
        <v>0</v>
      </c>
      <c r="E105" s="184">
        <v>0</v>
      </c>
      <c r="F105" s="184">
        <v>0</v>
      </c>
      <c r="G105" s="184">
        <v>0</v>
      </c>
      <c r="H105" s="217">
        <f>(D105+E105)-F105-G105</f>
        <v>0</v>
      </c>
    </row>
    <row r="106" spans="1:8" ht="18" customHeight="1" x14ac:dyDescent="0.55000000000000004">
      <c r="A106" s="180" t="s">
        <v>307</v>
      </c>
      <c r="B106" s="193"/>
      <c r="D106" s="184">
        <v>0</v>
      </c>
      <c r="E106" s="184">
        <v>0</v>
      </c>
      <c r="F106" s="184">
        <v>0</v>
      </c>
      <c r="G106" s="184">
        <v>0</v>
      </c>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534447.08000000007</v>
      </c>
      <c r="E108" s="217">
        <f>SUM(E102:E106)</f>
        <v>252419.35588399999</v>
      </c>
      <c r="F108" s="217">
        <f>SUM(F102:F106)</f>
        <v>0</v>
      </c>
      <c r="G108" s="217">
        <f>SUM(G102:G106)</f>
        <v>0</v>
      </c>
      <c r="H108" s="217">
        <f>SUM(H102:H106)</f>
        <v>786866.43588400004</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37794000</v>
      </c>
      <c r="G111" s="184"/>
      <c r="H111" s="217">
        <f>F111-G111</f>
        <v>37794000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0.4723</v>
      </c>
      <c r="F114" s="235" t="s">
        <v>429</v>
      </c>
      <c r="G114" s="236">
        <v>0.15079999999999999</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2353829000</v>
      </c>
      <c r="F117" s="237"/>
    </row>
    <row r="118" spans="1:7" ht="18" customHeight="1" x14ac:dyDescent="0.55000000000000004">
      <c r="A118" s="180" t="s">
        <v>319</v>
      </c>
      <c r="B118" s="176" t="s">
        <v>320</v>
      </c>
      <c r="E118" s="184">
        <v>599317000</v>
      </c>
      <c r="F118" s="237"/>
    </row>
    <row r="119" spans="1:7" ht="18" customHeight="1" x14ac:dyDescent="0.55000000000000004">
      <c r="A119" s="180" t="s">
        <v>321</v>
      </c>
      <c r="B119" s="179" t="s">
        <v>322</v>
      </c>
      <c r="E119" s="217">
        <f>SUM(E117:E118)</f>
        <v>2953146000</v>
      </c>
      <c r="F119" s="238"/>
    </row>
    <row r="120" spans="1:7" ht="18" customHeight="1" x14ac:dyDescent="0.55000000000000004">
      <c r="A120" s="180"/>
      <c r="B120" s="179"/>
      <c r="F120" s="212"/>
    </row>
    <row r="121" spans="1:7" ht="18" customHeight="1" x14ac:dyDescent="0.55000000000000004">
      <c r="A121" s="180" t="s">
        <v>323</v>
      </c>
      <c r="B121" s="179" t="s">
        <v>324</v>
      </c>
      <c r="E121" s="184">
        <v>2809105000</v>
      </c>
      <c r="F121" s="237"/>
    </row>
    <row r="122" spans="1:7" ht="18" customHeight="1" x14ac:dyDescent="0.55000000000000004">
      <c r="A122" s="180"/>
      <c r="F122" s="212"/>
    </row>
    <row r="123" spans="1:7" ht="18" customHeight="1" x14ac:dyDescent="0.55000000000000004">
      <c r="A123" s="180" t="s">
        <v>325</v>
      </c>
      <c r="B123" s="179" t="s">
        <v>326</v>
      </c>
      <c r="E123" s="184">
        <v>144041000</v>
      </c>
      <c r="F123" s="237"/>
    </row>
    <row r="124" spans="1:7" ht="18" customHeight="1" x14ac:dyDescent="0.55000000000000004">
      <c r="A124" s="180"/>
      <c r="F124" s="212"/>
    </row>
    <row r="125" spans="1:7" ht="18" customHeight="1" x14ac:dyDescent="0.55000000000000004">
      <c r="A125" s="180" t="s">
        <v>327</v>
      </c>
      <c r="B125" s="179" t="s">
        <v>328</v>
      </c>
      <c r="E125" s="184">
        <v>280685000</v>
      </c>
      <c r="F125" s="237"/>
    </row>
    <row r="126" spans="1:7" ht="18" customHeight="1" x14ac:dyDescent="0.55000000000000004">
      <c r="A126" s="180"/>
      <c r="F126" s="212"/>
    </row>
    <row r="127" spans="1:7" ht="18" customHeight="1" x14ac:dyDescent="0.55000000000000004">
      <c r="A127" s="180" t="s">
        <v>329</v>
      </c>
      <c r="B127" s="179" t="s">
        <v>330</v>
      </c>
      <c r="E127" s="184">
        <v>424726000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268" t="s">
        <v>468</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31406373.32</v>
      </c>
      <c r="E141" s="239">
        <f>E36</f>
        <v>11451903.546545999</v>
      </c>
      <c r="F141" s="239">
        <f>F36</f>
        <v>2181170</v>
      </c>
      <c r="G141" s="239">
        <f>G36</f>
        <v>1608985</v>
      </c>
      <c r="H141" s="239">
        <f>H36</f>
        <v>39068121.866545998</v>
      </c>
    </row>
    <row r="142" spans="1:8" ht="18" customHeight="1" x14ac:dyDescent="0.55000000000000004">
      <c r="A142" s="180" t="s">
        <v>150</v>
      </c>
      <c r="B142" s="179" t="s">
        <v>220</v>
      </c>
      <c r="D142" s="239">
        <f>D49</f>
        <v>138357109.75999999</v>
      </c>
      <c r="E142" s="239">
        <f>E49</f>
        <v>65346062.939648002</v>
      </c>
      <c r="F142" s="239">
        <f>F49</f>
        <v>0</v>
      </c>
      <c r="G142" s="239">
        <f>G49</f>
        <v>72125</v>
      </c>
      <c r="H142" s="239">
        <f>H49</f>
        <v>203631047.69964799</v>
      </c>
    </row>
    <row r="143" spans="1:8" ht="18" customHeight="1" x14ac:dyDescent="0.55000000000000004">
      <c r="A143" s="180" t="s">
        <v>269</v>
      </c>
      <c r="B143" s="179" t="s">
        <v>222</v>
      </c>
      <c r="D143" s="239">
        <f>D64</f>
        <v>13072540.279999999</v>
      </c>
      <c r="E143" s="239">
        <f>E64</f>
        <v>345439.40764400002</v>
      </c>
      <c r="F143" s="239">
        <f>F64</f>
        <v>0</v>
      </c>
      <c r="G143" s="239">
        <f>G64</f>
        <v>504928</v>
      </c>
      <c r="H143" s="239">
        <f>H64</f>
        <v>12913051.687643999</v>
      </c>
    </row>
    <row r="144" spans="1:8" ht="18" customHeight="1" x14ac:dyDescent="0.55000000000000004">
      <c r="A144" s="180" t="s">
        <v>161</v>
      </c>
      <c r="B144" s="179" t="s">
        <v>70</v>
      </c>
      <c r="D144" s="239">
        <f>D74</f>
        <v>75000</v>
      </c>
      <c r="E144" s="239">
        <f>E74</f>
        <v>0</v>
      </c>
      <c r="F144" s="239">
        <f>F74</f>
        <v>0</v>
      </c>
      <c r="G144" s="239">
        <f>G74</f>
        <v>0</v>
      </c>
      <c r="H144" s="239">
        <f>H74</f>
        <v>75000</v>
      </c>
    </row>
    <row r="145" spans="1:8" ht="18" customHeight="1" x14ac:dyDescent="0.55000000000000004">
      <c r="A145" s="180" t="s">
        <v>171</v>
      </c>
      <c r="B145" s="179" t="s">
        <v>69</v>
      </c>
      <c r="D145" s="239">
        <f>D82</f>
        <v>2262762.92</v>
      </c>
      <c r="E145" s="239">
        <f>E82</f>
        <v>0</v>
      </c>
      <c r="F145" s="239">
        <f>F82</f>
        <v>0</v>
      </c>
      <c r="G145" s="239">
        <f>G82</f>
        <v>0</v>
      </c>
      <c r="H145" s="239">
        <f>H82</f>
        <v>2262762.92</v>
      </c>
    </row>
    <row r="146" spans="1:8" ht="18" customHeight="1" x14ac:dyDescent="0.55000000000000004">
      <c r="A146" s="180" t="s">
        <v>193</v>
      </c>
      <c r="B146" s="179" t="s">
        <v>226</v>
      </c>
      <c r="D146" s="239">
        <f>D98</f>
        <v>2200303.08</v>
      </c>
      <c r="E146" s="239">
        <f>E98</f>
        <v>1039203.1446839997</v>
      </c>
      <c r="F146" s="239">
        <f>F98</f>
        <v>0</v>
      </c>
      <c r="G146" s="239">
        <f>G98</f>
        <v>33200</v>
      </c>
      <c r="H146" s="239">
        <f>H98</f>
        <v>3206306.224684</v>
      </c>
    </row>
    <row r="147" spans="1:8" ht="18" customHeight="1" x14ac:dyDescent="0.55000000000000004">
      <c r="A147" s="180" t="s">
        <v>204</v>
      </c>
      <c r="B147" s="179" t="s">
        <v>71</v>
      </c>
      <c r="D147" s="217">
        <f>D108</f>
        <v>534447.08000000007</v>
      </c>
      <c r="E147" s="217">
        <f>E108</f>
        <v>252419.35588399999</v>
      </c>
      <c r="F147" s="217">
        <f>F108</f>
        <v>0</v>
      </c>
      <c r="G147" s="217">
        <f>G108</f>
        <v>0</v>
      </c>
      <c r="H147" s="217">
        <f>H108</f>
        <v>786866.43588400004</v>
      </c>
    </row>
    <row r="148" spans="1:8" ht="18" customHeight="1" x14ac:dyDescent="0.55000000000000004">
      <c r="A148" s="180" t="s">
        <v>310</v>
      </c>
      <c r="B148" s="179" t="s">
        <v>58</v>
      </c>
      <c r="D148" s="240" t="s">
        <v>245</v>
      </c>
      <c r="E148" s="240" t="s">
        <v>245</v>
      </c>
      <c r="F148" s="240"/>
      <c r="G148" s="240" t="s">
        <v>245</v>
      </c>
      <c r="H148" s="239">
        <f>H111</f>
        <v>37794000</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47111350.727690749</v>
      </c>
      <c r="E150" s="217">
        <f>E18</f>
        <v>0</v>
      </c>
      <c r="F150" s="217">
        <f>F18</f>
        <v>0</v>
      </c>
      <c r="G150" s="217">
        <f>G18</f>
        <v>39044481.391587123</v>
      </c>
      <c r="H150" s="217">
        <f>H18</f>
        <v>8066869.3361036256</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235019887.16769075</v>
      </c>
      <c r="E152" s="241">
        <f>SUM(E141:E150)</f>
        <v>78435028.394406006</v>
      </c>
      <c r="F152" s="241">
        <f>SUM(F141:F150)</f>
        <v>2181170</v>
      </c>
      <c r="G152" s="241">
        <f>SUM(G141:G150)</f>
        <v>41263719.391587123</v>
      </c>
      <c r="H152" s="241">
        <f>SUM(H141:H150)</f>
        <v>307804026.17050964</v>
      </c>
    </row>
    <row r="154" spans="1:8" ht="18" customHeight="1" x14ac:dyDescent="0.55000000000000004">
      <c r="A154" s="183" t="s">
        <v>339</v>
      </c>
      <c r="B154" s="179" t="s">
        <v>340</v>
      </c>
      <c r="D154" s="242">
        <f>H152/E121</f>
        <v>0.10957369915703032</v>
      </c>
    </row>
    <row r="155" spans="1:8" ht="18" customHeight="1" x14ac:dyDescent="0.55000000000000004">
      <c r="A155" s="183" t="s">
        <v>341</v>
      </c>
      <c r="B155" s="179" t="s">
        <v>342</v>
      </c>
      <c r="D155" s="242">
        <f>H152/E127</f>
        <v>0.72471199354527305</v>
      </c>
    </row>
    <row r="157" spans="1:8" ht="18" customHeight="1" x14ac:dyDescent="0.55000000000000004">
      <c r="B157" s="269" t="s">
        <v>469</v>
      </c>
    </row>
  </sheetData>
  <mergeCells count="8">
    <mergeCell ref="C10:F10"/>
    <mergeCell ref="C11:F11"/>
    <mergeCell ref="B13:D13"/>
    <mergeCell ref="C2:D2"/>
    <mergeCell ref="C5:F5"/>
    <mergeCell ref="C6:F6"/>
    <mergeCell ref="C7:F7"/>
    <mergeCell ref="C9:F9"/>
  </mergeCells>
  <hyperlinks>
    <hyperlink ref="C11" r:id="rId1" xr:uid="{CF20060A-D62E-4DED-AC87-6ACEB725FC17}"/>
  </hyperlinks>
  <printOptions headings="1" gridLines="1"/>
  <pageMargins left="0.17" right="0.16" top="0.35" bottom="0.32" header="0.17" footer="0.17"/>
  <pageSetup scale="59" fitToHeight="3" orientation="landscape" r:id="rId2"/>
  <headerFooter alignWithMargins="0"/>
  <rowBreaks count="4" manualBreakCount="4">
    <brk id="37" max="16383" man="1"/>
    <brk id="74" max="16383" man="1"/>
    <brk id="109" max="16383" man="1"/>
    <brk id="137"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FB606-346B-43D7-AC14-A30711D9DDF4}">
  <sheetPr codeName="Sheet18"/>
  <dimension ref="A1:J155"/>
  <sheetViews>
    <sheetView zoomScaleNormal="100" workbookViewId="0"/>
  </sheetViews>
  <sheetFormatPr defaultColWidth="9" defaultRowHeight="18" customHeight="1" x14ac:dyDescent="0.55000000000000004"/>
  <cols>
    <col min="1" max="1" width="8.26171875" style="175" customWidth="1"/>
    <col min="2" max="2" width="55.26171875" style="176" bestFit="1" customWidth="1"/>
    <col min="3" max="3" width="12.26171875" style="176" customWidth="1"/>
    <col min="4" max="4" width="17.15625" style="176" customWidth="1"/>
    <col min="5" max="6" width="21.15625" style="176" customWidth="1"/>
    <col min="7" max="7" width="19.68359375" style="176" customWidth="1"/>
    <col min="8" max="8" width="17.6835937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01" t="s">
        <v>375</v>
      </c>
      <c r="D5" s="501"/>
      <c r="E5" s="501"/>
      <c r="F5" s="208"/>
    </row>
    <row r="6" spans="1:8" ht="18" customHeight="1" x14ac:dyDescent="0.55000000000000004">
      <c r="B6" s="180" t="s">
        <v>237</v>
      </c>
      <c r="C6" s="243">
        <v>210037</v>
      </c>
      <c r="D6" s="244"/>
      <c r="E6" s="244"/>
      <c r="F6" s="209"/>
    </row>
    <row r="7" spans="1:8" ht="18" customHeight="1" x14ac:dyDescent="0.55000000000000004">
      <c r="B7" s="180" t="s">
        <v>238</v>
      </c>
      <c r="C7" s="246"/>
      <c r="D7" s="246"/>
      <c r="E7" s="246"/>
      <c r="F7" s="210"/>
    </row>
    <row r="8" spans="1:8" ht="18" customHeight="1" x14ac:dyDescent="0.55000000000000004">
      <c r="C8" s="211"/>
      <c r="D8" s="211"/>
      <c r="E8" s="211"/>
      <c r="F8" s="212"/>
    </row>
    <row r="9" spans="1:8" ht="18" customHeight="1" x14ac:dyDescent="0.55000000000000004">
      <c r="B9" s="180" t="s">
        <v>239</v>
      </c>
      <c r="C9" s="501" t="s">
        <v>376</v>
      </c>
      <c r="D9" s="501"/>
      <c r="E9" s="501"/>
      <c r="F9" s="208"/>
    </row>
    <row r="10" spans="1:8" ht="18" customHeight="1" x14ac:dyDescent="0.55000000000000004">
      <c r="B10" s="180" t="s">
        <v>241</v>
      </c>
      <c r="C10" s="513" t="s">
        <v>377</v>
      </c>
      <c r="D10" s="513"/>
      <c r="E10" s="513"/>
      <c r="F10" s="213"/>
    </row>
    <row r="11" spans="1:8" ht="18" customHeight="1" x14ac:dyDescent="0.55000000000000004">
      <c r="B11" s="180" t="s">
        <v>243</v>
      </c>
      <c r="C11" s="501" t="s">
        <v>378</v>
      </c>
      <c r="D11" s="501"/>
      <c r="E11" s="50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840988.37091966229</v>
      </c>
      <c r="E18" s="214"/>
      <c r="F18" s="214"/>
      <c r="G18" s="214">
        <v>696986.06156952865</v>
      </c>
      <c r="H18" s="249">
        <f>(D18+E18)-G18</f>
        <v>144002.30935013364</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66292.28</v>
      </c>
      <c r="E21" s="216">
        <v>6713.65</v>
      </c>
      <c r="F21" s="216"/>
      <c r="G21" s="184"/>
      <c r="H21" s="217">
        <f>(D21+E21)-F21-G21</f>
        <v>73005.929999999993</v>
      </c>
    </row>
    <row r="22" spans="1:8" ht="18" customHeight="1" x14ac:dyDescent="0.55000000000000004">
      <c r="A22" s="180" t="s">
        <v>112</v>
      </c>
      <c r="B22" s="176" t="s">
        <v>113</v>
      </c>
      <c r="D22" s="184">
        <v>7908.25</v>
      </c>
      <c r="E22" s="216">
        <v>800.9</v>
      </c>
      <c r="F22" s="216"/>
      <c r="G22" s="184"/>
      <c r="H22" s="217">
        <f t="shared" ref="H22:H34" si="0">(D22+E22)-F22-G22</f>
        <v>8709.15</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c r="E24" s="216"/>
      <c r="F24" s="216"/>
      <c r="G24" s="184"/>
      <c r="H24" s="217">
        <f t="shared" si="0"/>
        <v>0</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c r="E29" s="216"/>
      <c r="F29" s="216"/>
      <c r="G29" s="184"/>
      <c r="H29" s="217">
        <f t="shared" si="0"/>
        <v>0</v>
      </c>
    </row>
    <row r="30" spans="1:8" ht="18" customHeight="1" x14ac:dyDescent="0.55000000000000004">
      <c r="A30" s="180" t="s">
        <v>128</v>
      </c>
      <c r="B30" s="185"/>
      <c r="D30" s="184"/>
      <c r="E30" s="216"/>
      <c r="F30" s="216"/>
      <c r="G30" s="184"/>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74200.53</v>
      </c>
      <c r="E36" s="217">
        <f>SUM(E21:E34)</f>
        <v>7514.5499999999993</v>
      </c>
      <c r="F36" s="217">
        <f>SUM(F21:F34)</f>
        <v>0</v>
      </c>
      <c r="G36" s="217">
        <f>SUM(G21:G34)</f>
        <v>0</v>
      </c>
      <c r="H36" s="217">
        <f>SUM(H21:H34)</f>
        <v>81715.079999999987</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c r="E41" s="216"/>
      <c r="F41" s="216"/>
      <c r="G41" s="184"/>
      <c r="H41" s="217">
        <f t="shared" ref="H41:H47" si="1">(D41+E41)-F41-G41</f>
        <v>0</v>
      </c>
    </row>
    <row r="42" spans="1:8" ht="18" customHeight="1" x14ac:dyDescent="0.55000000000000004">
      <c r="A42" s="180" t="s">
        <v>252</v>
      </c>
      <c r="B42" s="176" t="s">
        <v>143</v>
      </c>
      <c r="D42" s="184"/>
      <c r="E42" s="216"/>
      <c r="F42" s="216"/>
      <c r="G42" s="184"/>
      <c r="H42" s="217">
        <f t="shared" si="1"/>
        <v>0</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0</v>
      </c>
      <c r="E49" s="217">
        <f>SUM(E40:E47)</f>
        <v>0</v>
      </c>
      <c r="F49" s="217">
        <f>SUM(F40:F47)</f>
        <v>0</v>
      </c>
      <c r="G49" s="217">
        <f>SUM(G40:G47)</f>
        <v>0</v>
      </c>
      <c r="H49" s="217">
        <f>SUM(H40:H47)</f>
        <v>0</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184">
        <v>6534397.1133333342</v>
      </c>
      <c r="E53" s="216">
        <v>708674.97333333001</v>
      </c>
      <c r="F53" s="222"/>
      <c r="G53" s="222"/>
      <c r="H53" s="217">
        <f>(D53+E53)-F53-G53</f>
        <v>7243072.0866666641</v>
      </c>
    </row>
    <row r="54" spans="1:8" ht="18" customHeight="1" x14ac:dyDescent="0.55000000000000004">
      <c r="A54" s="180" t="s">
        <v>259</v>
      </c>
      <c r="B54" s="193"/>
      <c r="D54" s="184"/>
      <c r="E54" s="216"/>
      <c r="F54" s="216"/>
      <c r="G54" s="184"/>
      <c r="H54" s="217">
        <f t="shared" ref="H54:H62" si="2">(D54+E54)-F54-G54</f>
        <v>0</v>
      </c>
    </row>
    <row r="55" spans="1:8" ht="18" customHeight="1" x14ac:dyDescent="0.55000000000000004">
      <c r="A55" s="180" t="s">
        <v>260</v>
      </c>
      <c r="B55" s="194"/>
      <c r="D55" s="184"/>
      <c r="E55" s="216"/>
      <c r="F55" s="216"/>
      <c r="G55" s="184"/>
      <c r="H55" s="217">
        <f t="shared" si="2"/>
        <v>0</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4.4" x14ac:dyDescent="0.55000000000000004">
      <c r="A62" s="180" t="s">
        <v>268</v>
      </c>
      <c r="B62" s="270"/>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6534397.1133333342</v>
      </c>
      <c r="E64" s="217">
        <f>SUM(E53:E62)</f>
        <v>708674.97333333001</v>
      </c>
      <c r="F64" s="217">
        <f>SUM(F53:F62)</f>
        <v>0</v>
      </c>
      <c r="G64" s="217">
        <f>SUM(G53:G62)</f>
        <v>0</v>
      </c>
      <c r="H64" s="217">
        <f>SUM(H53:H62)</f>
        <v>7243072.0866666641</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c r="E79" s="230"/>
      <c r="F79" s="220"/>
      <c r="G79" s="184"/>
      <c r="H79" s="217">
        <f>(D79-F79-G79)</f>
        <v>0</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0</v>
      </c>
      <c r="E82" s="231"/>
      <c r="F82" s="217">
        <f>SUM(F77:F80)</f>
        <v>0</v>
      </c>
      <c r="G82" s="217">
        <f>SUM(G77:G80)</f>
        <v>0</v>
      </c>
      <c r="H82" s="217">
        <f>SUM(H77:H80)</f>
        <v>0</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v>2450</v>
      </c>
      <c r="E87" s="216">
        <v>248.12</v>
      </c>
      <c r="F87" s="216"/>
      <c r="G87" s="184"/>
      <c r="H87" s="217">
        <f t="shared" ref="H87:H96" si="3">(D87+E87)-F87-G87</f>
        <v>2698.12</v>
      </c>
    </row>
    <row r="88" spans="1:8" ht="18" customHeight="1" x14ac:dyDescent="0.55000000000000004">
      <c r="A88" s="180" t="s">
        <v>288</v>
      </c>
      <c r="B88" s="176" t="s">
        <v>289</v>
      </c>
      <c r="D88" s="184">
        <v>1656.18</v>
      </c>
      <c r="E88" s="216">
        <v>167.73</v>
      </c>
      <c r="F88" s="216"/>
      <c r="G88" s="184"/>
      <c r="H88" s="217">
        <f t="shared" si="3"/>
        <v>1823.91</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v>9481.61</v>
      </c>
      <c r="E91" s="216">
        <v>960.24</v>
      </c>
      <c r="F91" s="216"/>
      <c r="G91" s="184"/>
      <c r="H91" s="217">
        <f t="shared" si="3"/>
        <v>10441.85</v>
      </c>
    </row>
    <row r="92" spans="1:8" ht="18" customHeight="1" x14ac:dyDescent="0.55000000000000004">
      <c r="A92" s="180" t="s">
        <v>293</v>
      </c>
      <c r="B92" s="176" t="s">
        <v>294</v>
      </c>
      <c r="D92" s="233">
        <v>993.71</v>
      </c>
      <c r="E92" s="216">
        <v>100.64</v>
      </c>
      <c r="F92" s="234"/>
      <c r="G92" s="233"/>
      <c r="H92" s="217">
        <f t="shared" si="3"/>
        <v>1094.3500000000001</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v>1656.18</v>
      </c>
      <c r="E94" s="216">
        <v>167.73</v>
      </c>
      <c r="F94" s="216"/>
      <c r="G94" s="184"/>
      <c r="H94" s="217">
        <f t="shared" si="3"/>
        <v>1823.91</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16237.68</v>
      </c>
      <c r="E98" s="217">
        <f>SUM(E86:E96)</f>
        <v>1644.4600000000003</v>
      </c>
      <c r="F98" s="217">
        <f>SUM(F86:F96)</f>
        <v>0</v>
      </c>
      <c r="G98" s="217">
        <f>SUM(G86:G96)</f>
        <v>0</v>
      </c>
      <c r="H98" s="217">
        <f>SUM(H86:H96)</f>
        <v>17882.140000000003</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27326.92</v>
      </c>
      <c r="E102" s="216">
        <v>28165.87</v>
      </c>
      <c r="F102" s="216"/>
      <c r="G102" s="184"/>
      <c r="H102" s="217">
        <f>(D102+E102)-F102-G102</f>
        <v>55492.789999999994</v>
      </c>
    </row>
    <row r="103" spans="1:8" ht="18" customHeight="1" x14ac:dyDescent="0.55000000000000004">
      <c r="A103" s="180" t="s">
        <v>304</v>
      </c>
      <c r="B103" s="176" t="s">
        <v>199</v>
      </c>
      <c r="D103" s="184">
        <v>62106.64</v>
      </c>
      <c r="E103" s="216">
        <v>64013.34</v>
      </c>
      <c r="F103" s="216"/>
      <c r="G103" s="184"/>
      <c r="H103" s="217">
        <f>(D103+E103)-F103-G103</f>
        <v>126119.98</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89433.56</v>
      </c>
      <c r="E108" s="217">
        <f>SUM(E102:E106)</f>
        <v>92179.209999999992</v>
      </c>
      <c r="F108" s="217">
        <f>SUM(F102:F106)</f>
        <v>0</v>
      </c>
      <c r="G108" s="217">
        <f>SUM(G102:G106)</f>
        <v>0</v>
      </c>
      <c r="H108" s="217">
        <f>SUM(H102:H106)</f>
        <v>181612.77</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501000</v>
      </c>
      <c r="G111" s="184"/>
      <c r="H111" s="217">
        <f>F111-G111</f>
        <v>501000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1.03</v>
      </c>
      <c r="F114" s="235" t="s">
        <v>429</v>
      </c>
      <c r="G114" s="236">
        <v>0.1</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35366000</v>
      </c>
      <c r="F117" s="237"/>
    </row>
    <row r="118" spans="1:7" ht="18" customHeight="1" x14ac:dyDescent="0.55000000000000004">
      <c r="A118" s="180" t="s">
        <v>319</v>
      </c>
      <c r="B118" s="176" t="s">
        <v>320</v>
      </c>
      <c r="E118" s="184">
        <v>1087000</v>
      </c>
      <c r="F118" s="237"/>
    </row>
    <row r="119" spans="1:7" ht="18" customHeight="1" x14ac:dyDescent="0.55000000000000004">
      <c r="A119" s="180" t="s">
        <v>321</v>
      </c>
      <c r="B119" s="179" t="s">
        <v>322</v>
      </c>
      <c r="E119" s="217">
        <f>SUM(E117:E118)</f>
        <v>36453000</v>
      </c>
      <c r="F119" s="238"/>
    </row>
    <row r="120" spans="1:7" ht="18" customHeight="1" x14ac:dyDescent="0.55000000000000004">
      <c r="A120" s="180"/>
      <c r="B120" s="179"/>
      <c r="F120" s="212"/>
    </row>
    <row r="121" spans="1:7" ht="18" customHeight="1" x14ac:dyDescent="0.55000000000000004">
      <c r="A121" s="180" t="s">
        <v>323</v>
      </c>
      <c r="B121" s="179" t="s">
        <v>324</v>
      </c>
      <c r="E121" s="184">
        <v>34558000</v>
      </c>
      <c r="F121" s="237"/>
    </row>
    <row r="122" spans="1:7" ht="18" customHeight="1" x14ac:dyDescent="0.55000000000000004">
      <c r="A122" s="180"/>
      <c r="F122" s="212"/>
    </row>
    <row r="123" spans="1:7" ht="18" customHeight="1" x14ac:dyDescent="0.55000000000000004">
      <c r="A123" s="180" t="s">
        <v>325</v>
      </c>
      <c r="B123" s="179" t="s">
        <v>326</v>
      </c>
      <c r="E123" s="184">
        <f>+E119-E121</f>
        <v>1895000</v>
      </c>
      <c r="F123" s="237"/>
    </row>
    <row r="124" spans="1:7" ht="18" customHeight="1" x14ac:dyDescent="0.55000000000000004">
      <c r="A124" s="180"/>
      <c r="F124" s="212"/>
    </row>
    <row r="125" spans="1:7" ht="18" customHeight="1" x14ac:dyDescent="0.55000000000000004">
      <c r="A125" s="180" t="s">
        <v>327</v>
      </c>
      <c r="B125" s="179" t="s">
        <v>328</v>
      </c>
      <c r="E125" s="184">
        <v>0</v>
      </c>
      <c r="F125" s="237"/>
    </row>
    <row r="126" spans="1:7" ht="18" customHeight="1" x14ac:dyDescent="0.55000000000000004">
      <c r="A126" s="180"/>
      <c r="F126" s="212"/>
    </row>
    <row r="127" spans="1:7" ht="18" customHeight="1" x14ac:dyDescent="0.55000000000000004">
      <c r="A127" s="180" t="s">
        <v>329</v>
      </c>
      <c r="B127" s="179" t="s">
        <v>330</v>
      </c>
      <c r="E127" s="184">
        <v>1895000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74200.53</v>
      </c>
      <c r="E141" s="239">
        <f>E36</f>
        <v>7514.5499999999993</v>
      </c>
      <c r="F141" s="239">
        <f>F36</f>
        <v>0</v>
      </c>
      <c r="G141" s="239">
        <f>G36</f>
        <v>0</v>
      </c>
      <c r="H141" s="239">
        <f>H36</f>
        <v>81715.079999999987</v>
      </c>
    </row>
    <row r="142" spans="1:8" ht="18" customHeight="1" x14ac:dyDescent="0.55000000000000004">
      <c r="A142" s="180" t="s">
        <v>150</v>
      </c>
      <c r="B142" s="179" t="s">
        <v>220</v>
      </c>
      <c r="D142" s="239">
        <f>D49</f>
        <v>0</v>
      </c>
      <c r="E142" s="239">
        <f>E49</f>
        <v>0</v>
      </c>
      <c r="F142" s="239">
        <f>F49</f>
        <v>0</v>
      </c>
      <c r="G142" s="239">
        <f>G49</f>
        <v>0</v>
      </c>
      <c r="H142" s="239">
        <f>H49</f>
        <v>0</v>
      </c>
    </row>
    <row r="143" spans="1:8" ht="18" customHeight="1" x14ac:dyDescent="0.55000000000000004">
      <c r="A143" s="180" t="s">
        <v>269</v>
      </c>
      <c r="B143" s="179" t="s">
        <v>222</v>
      </c>
      <c r="D143" s="239">
        <f>D64</f>
        <v>6534397.1133333342</v>
      </c>
      <c r="E143" s="239">
        <f>E64</f>
        <v>708674.97333333001</v>
      </c>
      <c r="F143" s="239">
        <f>F64</f>
        <v>0</v>
      </c>
      <c r="G143" s="239">
        <f>G64</f>
        <v>0</v>
      </c>
      <c r="H143" s="239">
        <f>H64</f>
        <v>7243072.0866666641</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0</v>
      </c>
      <c r="E145" s="239">
        <f>E82</f>
        <v>0</v>
      </c>
      <c r="F145" s="239">
        <f>F82</f>
        <v>0</v>
      </c>
      <c r="G145" s="239">
        <f>G82</f>
        <v>0</v>
      </c>
      <c r="H145" s="239">
        <f>H82</f>
        <v>0</v>
      </c>
    </row>
    <row r="146" spans="1:8" ht="18" customHeight="1" x14ac:dyDescent="0.55000000000000004">
      <c r="A146" s="180" t="s">
        <v>193</v>
      </c>
      <c r="B146" s="179" t="s">
        <v>226</v>
      </c>
      <c r="D146" s="239">
        <f>D98</f>
        <v>16237.68</v>
      </c>
      <c r="E146" s="239">
        <f>E98</f>
        <v>1644.4600000000003</v>
      </c>
      <c r="F146" s="239">
        <f>F98</f>
        <v>0</v>
      </c>
      <c r="G146" s="239">
        <f>G98</f>
        <v>0</v>
      </c>
      <c r="H146" s="239">
        <f>H98</f>
        <v>17882.140000000003</v>
      </c>
    </row>
    <row r="147" spans="1:8" ht="18" customHeight="1" x14ac:dyDescent="0.55000000000000004">
      <c r="A147" s="180" t="s">
        <v>204</v>
      </c>
      <c r="B147" s="179" t="s">
        <v>71</v>
      </c>
      <c r="D147" s="217">
        <f>D108</f>
        <v>89433.56</v>
      </c>
      <c r="E147" s="217">
        <f>E108</f>
        <v>92179.209999999992</v>
      </c>
      <c r="F147" s="217">
        <f>F108</f>
        <v>0</v>
      </c>
      <c r="G147" s="217">
        <f>G108</f>
        <v>0</v>
      </c>
      <c r="H147" s="217">
        <f>H108</f>
        <v>181612.77</v>
      </c>
    </row>
    <row r="148" spans="1:8" ht="18" customHeight="1" x14ac:dyDescent="0.55000000000000004">
      <c r="A148" s="180" t="s">
        <v>310</v>
      </c>
      <c r="B148" s="179" t="s">
        <v>58</v>
      </c>
      <c r="D148" s="240" t="s">
        <v>245</v>
      </c>
      <c r="E148" s="240" t="s">
        <v>245</v>
      </c>
      <c r="F148" s="240"/>
      <c r="G148" s="240" t="s">
        <v>245</v>
      </c>
      <c r="H148" s="239">
        <f>H111</f>
        <v>501000</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840988.37091966229</v>
      </c>
      <c r="E150" s="217">
        <f>E18</f>
        <v>0</v>
      </c>
      <c r="F150" s="217">
        <f>F18</f>
        <v>0</v>
      </c>
      <c r="G150" s="217">
        <f>G18</f>
        <v>696986.06156952865</v>
      </c>
      <c r="H150" s="217">
        <f>H18</f>
        <v>144002.30935013364</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7555257.2542529963</v>
      </c>
      <c r="E152" s="241">
        <f>SUM(E141:E150)</f>
        <v>810013.19333332998</v>
      </c>
      <c r="F152" s="241">
        <f>SUM(F141:F150)</f>
        <v>0</v>
      </c>
      <c r="G152" s="241">
        <f>SUM(G141:G150)</f>
        <v>696986.06156952865</v>
      </c>
      <c r="H152" s="241">
        <f>SUM(H141:H150)</f>
        <v>8169284.3860167973</v>
      </c>
    </row>
    <row r="154" spans="1:8" ht="18" customHeight="1" x14ac:dyDescent="0.55000000000000004">
      <c r="A154" s="183" t="s">
        <v>339</v>
      </c>
      <c r="B154" s="179" t="s">
        <v>340</v>
      </c>
      <c r="D154" s="242">
        <f>H152/E121</f>
        <v>0.23639343671557375</v>
      </c>
    </row>
    <row r="155" spans="1:8" ht="18" customHeight="1" x14ac:dyDescent="0.55000000000000004">
      <c r="A155" s="183" t="s">
        <v>341</v>
      </c>
      <c r="B155" s="179" t="s">
        <v>342</v>
      </c>
      <c r="D155" s="242">
        <f>H152/E127</f>
        <v>4.3109680137291804</v>
      </c>
    </row>
  </sheetData>
  <mergeCells count="6">
    <mergeCell ref="B13:D13"/>
    <mergeCell ref="C2:D2"/>
    <mergeCell ref="C5:E5"/>
    <mergeCell ref="C9:E9"/>
    <mergeCell ref="C10:E10"/>
    <mergeCell ref="C11:E11"/>
  </mergeCells>
  <printOptions headings="1" gridLines="1"/>
  <pageMargins left="0.17" right="0.16" top="0.35" bottom="0.32" header="0.17" footer="0.17"/>
  <pageSetup scale="59" fitToHeight="3" orientation="landscape" horizontalDpi="4294967294" r:id="rId1"/>
  <headerFooter alignWithMargins="0"/>
  <rowBreaks count="4" manualBreakCount="4">
    <brk id="37" max="16383" man="1"/>
    <brk id="74" max="16383" man="1"/>
    <brk id="109" max="16383" man="1"/>
    <brk id="13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93915-6C49-42C3-ACAB-1E923337407B}">
  <sheetPr codeName="Sheet19"/>
  <dimension ref="A1:J155"/>
  <sheetViews>
    <sheetView zoomScaleNormal="100" workbookViewId="0"/>
  </sheetViews>
  <sheetFormatPr defaultColWidth="9" defaultRowHeight="18" customHeight="1" x14ac:dyDescent="0.55000000000000004"/>
  <cols>
    <col min="1" max="1" width="8.26171875" style="175" customWidth="1"/>
    <col min="2" max="2" width="55.41796875" style="176" bestFit="1" customWidth="1"/>
    <col min="3" max="3" width="20"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65">
      <c r="B5" s="180" t="s">
        <v>236</v>
      </c>
      <c r="C5" s="271" t="s">
        <v>470</v>
      </c>
      <c r="D5" s="247"/>
      <c r="E5" s="247"/>
      <c r="F5" s="208"/>
    </row>
    <row r="6" spans="1:8" ht="18" customHeight="1" x14ac:dyDescent="0.55000000000000004">
      <c r="B6" s="180" t="s">
        <v>237</v>
      </c>
      <c r="C6" s="244" t="s">
        <v>379</v>
      </c>
      <c r="D6" s="244"/>
      <c r="E6" s="244"/>
      <c r="F6" s="209"/>
    </row>
    <row r="7" spans="1:8" ht="18" customHeight="1" x14ac:dyDescent="0.55000000000000004">
      <c r="B7" s="180" t="s">
        <v>238</v>
      </c>
      <c r="C7" s="246">
        <v>2334</v>
      </c>
      <c r="D7" s="246"/>
      <c r="E7" s="246"/>
      <c r="F7" s="210"/>
    </row>
    <row r="8" spans="1:8" ht="18" customHeight="1" x14ac:dyDescent="0.55000000000000004">
      <c r="C8" s="211"/>
      <c r="D8" s="211"/>
      <c r="E8" s="211"/>
      <c r="F8" s="212"/>
    </row>
    <row r="9" spans="1:8" ht="18" customHeight="1" x14ac:dyDescent="0.55000000000000004">
      <c r="B9" s="180" t="s">
        <v>239</v>
      </c>
      <c r="C9" s="247" t="s">
        <v>380</v>
      </c>
      <c r="D9" s="247"/>
      <c r="E9" s="247"/>
      <c r="F9" s="208"/>
    </row>
    <row r="10" spans="1:8" ht="18" customHeight="1" x14ac:dyDescent="0.55000000000000004">
      <c r="B10" s="180" t="s">
        <v>241</v>
      </c>
      <c r="C10" s="248" t="s">
        <v>381</v>
      </c>
      <c r="D10" s="248"/>
      <c r="E10" s="248"/>
      <c r="F10" s="213"/>
    </row>
    <row r="11" spans="1:8" ht="18" customHeight="1" x14ac:dyDescent="0.55000000000000004">
      <c r="B11" s="180" t="s">
        <v>243</v>
      </c>
      <c r="C11" s="247" t="s">
        <v>382</v>
      </c>
      <c r="D11" s="247"/>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7763670.2572607137</v>
      </c>
      <c r="E18" s="214"/>
      <c r="F18" s="214"/>
      <c r="G18" s="214">
        <v>6434298.1937018381</v>
      </c>
      <c r="H18" s="249">
        <f>(D18+E18)-G18</f>
        <v>1329372.0635588756</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316773</v>
      </c>
      <c r="E21" s="216">
        <v>286870</v>
      </c>
      <c r="F21" s="216"/>
      <c r="G21" s="184">
        <v>32083</v>
      </c>
      <c r="H21" s="217">
        <f>(D21+E21)-F21-G21</f>
        <v>571560</v>
      </c>
    </row>
    <row r="22" spans="1:8" ht="18" customHeight="1" x14ac:dyDescent="0.55000000000000004">
      <c r="A22" s="180" t="s">
        <v>112</v>
      </c>
      <c r="B22" s="176" t="s">
        <v>113</v>
      </c>
      <c r="D22" s="184"/>
      <c r="E22" s="216"/>
      <c r="F22" s="216"/>
      <c r="G22" s="184"/>
      <c r="H22" s="217">
        <f t="shared" ref="H22:H34" si="0">(D22+E22)-F22-G22</f>
        <v>0</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c r="E24" s="216"/>
      <c r="F24" s="216"/>
      <c r="G24" s="184"/>
      <c r="H24" s="217">
        <f t="shared" si="0"/>
        <v>0</v>
      </c>
    </row>
    <row r="25" spans="1:8" ht="18" customHeight="1" x14ac:dyDescent="0.55000000000000004">
      <c r="A25" s="180" t="s">
        <v>118</v>
      </c>
      <c r="B25" s="176" t="s">
        <v>119</v>
      </c>
      <c r="D25" s="184">
        <v>959</v>
      </c>
      <c r="E25" s="216">
        <v>868</v>
      </c>
      <c r="F25" s="216"/>
      <c r="G25" s="184"/>
      <c r="H25" s="217">
        <f t="shared" si="0"/>
        <v>1827</v>
      </c>
    </row>
    <row r="26" spans="1:8" ht="18" customHeight="1" x14ac:dyDescent="0.55000000000000004">
      <c r="A26" s="180" t="s">
        <v>120</v>
      </c>
      <c r="B26" s="176" t="s">
        <v>121</v>
      </c>
      <c r="D26" s="184">
        <v>930</v>
      </c>
      <c r="E26" s="216"/>
      <c r="F26" s="216"/>
      <c r="G26" s="184"/>
      <c r="H26" s="217">
        <f>(D26+E26)-F26-G26</f>
        <v>930</v>
      </c>
    </row>
    <row r="27" spans="1:8" ht="18" customHeight="1" x14ac:dyDescent="0.55000000000000004">
      <c r="A27" s="180" t="s">
        <v>122</v>
      </c>
      <c r="B27" s="176" t="s">
        <v>246</v>
      </c>
      <c r="D27" s="184">
        <v>746</v>
      </c>
      <c r="E27" s="216">
        <v>676</v>
      </c>
      <c r="F27" s="216"/>
      <c r="G27" s="184"/>
      <c r="H27" s="217">
        <f t="shared" si="0"/>
        <v>1422</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v>1048990</v>
      </c>
      <c r="E29" s="216">
        <v>895683</v>
      </c>
      <c r="F29" s="216">
        <v>59942</v>
      </c>
      <c r="G29" s="184"/>
      <c r="H29" s="217">
        <f t="shared" si="0"/>
        <v>1884731</v>
      </c>
    </row>
    <row r="30" spans="1:8" ht="18" customHeight="1" x14ac:dyDescent="0.55000000000000004">
      <c r="A30" s="180" t="s">
        <v>128</v>
      </c>
      <c r="B30" s="185" t="s">
        <v>471</v>
      </c>
      <c r="D30" s="184">
        <v>776587</v>
      </c>
      <c r="E30" s="216">
        <v>703278</v>
      </c>
      <c r="F30" s="216">
        <v>459366</v>
      </c>
      <c r="G30" s="184"/>
      <c r="H30" s="217">
        <f t="shared" si="0"/>
        <v>1020499</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2144985</v>
      </c>
      <c r="E36" s="217">
        <f>SUM(E21:E34)</f>
        <v>1887375</v>
      </c>
      <c r="F36" s="217">
        <f>SUM(F21:F34)</f>
        <v>519308</v>
      </c>
      <c r="G36" s="217">
        <f>SUM(G21:G34)</f>
        <v>32083</v>
      </c>
      <c r="H36" s="217">
        <f>SUM(H21:H34)</f>
        <v>3480969</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7395900</v>
      </c>
      <c r="E40" s="216"/>
      <c r="F40" s="216"/>
      <c r="G40" s="184"/>
      <c r="H40" s="217">
        <f>(D40+E40)-F40-G40</f>
        <v>7395900</v>
      </c>
    </row>
    <row r="41" spans="1:8" ht="18" customHeight="1" x14ac:dyDescent="0.55000000000000004">
      <c r="A41" s="180" t="s">
        <v>251</v>
      </c>
      <c r="B41" s="176" t="s">
        <v>141</v>
      </c>
      <c r="D41" s="184"/>
      <c r="E41" s="216"/>
      <c r="F41" s="216"/>
      <c r="G41" s="184"/>
      <c r="H41" s="217">
        <f t="shared" ref="H41:H47" si="1">(D41+E41)-F41-G41</f>
        <v>0</v>
      </c>
    </row>
    <row r="42" spans="1:8" ht="18" customHeight="1" x14ac:dyDescent="0.55000000000000004">
      <c r="A42" s="180" t="s">
        <v>252</v>
      </c>
      <c r="B42" s="176" t="s">
        <v>143</v>
      </c>
      <c r="D42" s="184"/>
      <c r="E42" s="216"/>
      <c r="F42" s="216"/>
      <c r="G42" s="184"/>
      <c r="H42" s="217">
        <f t="shared" si="1"/>
        <v>0</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7395900</v>
      </c>
      <c r="E49" s="217">
        <f>SUM(E40:E47)</f>
        <v>0</v>
      </c>
      <c r="F49" s="217">
        <f>SUM(F40:F47)</f>
        <v>0</v>
      </c>
      <c r="G49" s="217">
        <f>SUM(G40:G47)</f>
        <v>0</v>
      </c>
      <c r="H49" s="217">
        <f>SUM(H40:H47)</f>
        <v>7395900</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184">
        <v>25088775</v>
      </c>
      <c r="E53" s="222"/>
      <c r="F53" s="222"/>
      <c r="G53" s="184">
        <v>11408008</v>
      </c>
      <c r="H53" s="217">
        <f>(D53+E53)-F53-G53</f>
        <v>13680767</v>
      </c>
    </row>
    <row r="54" spans="1:8" ht="18" customHeight="1" x14ac:dyDescent="0.55000000000000004">
      <c r="A54" s="180" t="s">
        <v>259</v>
      </c>
      <c r="B54" s="193" t="s">
        <v>383</v>
      </c>
      <c r="D54" s="184">
        <v>274581</v>
      </c>
      <c r="E54" s="216">
        <v>248661</v>
      </c>
      <c r="F54" s="216"/>
      <c r="G54" s="184">
        <v>113060</v>
      </c>
      <c r="H54" s="217">
        <f t="shared" ref="H54:H62" si="2">(D54+E54)-F54-G54</f>
        <v>410182</v>
      </c>
    </row>
    <row r="55" spans="1:8" ht="18" customHeight="1" x14ac:dyDescent="0.55000000000000004">
      <c r="A55" s="180" t="s">
        <v>260</v>
      </c>
      <c r="B55" s="194" t="s">
        <v>384</v>
      </c>
      <c r="D55" s="184">
        <v>620652</v>
      </c>
      <c r="E55" s="216">
        <v>562063</v>
      </c>
      <c r="F55" s="216"/>
      <c r="G55" s="184">
        <v>474613</v>
      </c>
      <c r="H55" s="217">
        <f t="shared" si="2"/>
        <v>708102</v>
      </c>
    </row>
    <row r="56" spans="1:8" ht="18" customHeight="1" x14ac:dyDescent="0.55000000000000004">
      <c r="A56" s="180" t="s">
        <v>261</v>
      </c>
      <c r="B56" s="193" t="s">
        <v>385</v>
      </c>
      <c r="D56" s="184">
        <v>1247917</v>
      </c>
      <c r="E56" s="216"/>
      <c r="F56" s="216"/>
      <c r="G56" s="184">
        <v>650384</v>
      </c>
      <c r="H56" s="217">
        <f t="shared" si="2"/>
        <v>597533</v>
      </c>
    </row>
    <row r="57" spans="1:8" ht="18" customHeight="1" x14ac:dyDescent="0.55000000000000004">
      <c r="A57" s="180" t="s">
        <v>263</v>
      </c>
      <c r="B57" s="193" t="s">
        <v>386</v>
      </c>
      <c r="D57" s="184">
        <v>2501746</v>
      </c>
      <c r="E57" s="216">
        <v>250175</v>
      </c>
      <c r="F57" s="216"/>
      <c r="G57" s="184">
        <v>2607347</v>
      </c>
      <c r="H57" s="217">
        <f t="shared" si="2"/>
        <v>144574</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29733671</v>
      </c>
      <c r="E64" s="217">
        <f>SUM(E53:E62)</f>
        <v>1060899</v>
      </c>
      <c r="F64" s="217">
        <f>SUM(F53:F62)</f>
        <v>0</v>
      </c>
      <c r="G64" s="217">
        <f>SUM(G53:G62)</f>
        <v>15253412</v>
      </c>
      <c r="H64" s="217">
        <f>SUM(H53:H62)</f>
        <v>15541158</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v>288915</v>
      </c>
      <c r="E68" s="216">
        <v>261641</v>
      </c>
      <c r="F68" s="216"/>
      <c r="G68" s="228">
        <v>258008</v>
      </c>
      <c r="H68" s="217">
        <f>(D68+E68)-F68-G68</f>
        <v>292548</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288915</v>
      </c>
      <c r="E74" s="229">
        <f>SUM(E68:E72)</f>
        <v>261641</v>
      </c>
      <c r="F74" s="229">
        <f>SUM(F68:F72)</f>
        <v>0</v>
      </c>
      <c r="G74" s="217">
        <f>SUM(G68:G72)</f>
        <v>258008</v>
      </c>
      <c r="H74" s="217">
        <f>SUM(H68:H72)</f>
        <v>292548</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525674</v>
      </c>
      <c r="E77" s="230"/>
      <c r="F77" s="220"/>
      <c r="G77" s="184"/>
      <c r="H77" s="217">
        <f>(D77-F77-G77)</f>
        <v>525674</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v>486</v>
      </c>
      <c r="E79" s="230"/>
      <c r="F79" s="220"/>
      <c r="G79" s="184"/>
      <c r="H79" s="217">
        <f>(D79-F79-G79)</f>
        <v>486</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526160</v>
      </c>
      <c r="E82" s="231"/>
      <c r="F82" s="217">
        <f>SUM(F77:F80)</f>
        <v>0</v>
      </c>
      <c r="G82" s="217">
        <f>SUM(G77:G80)</f>
        <v>0</v>
      </c>
      <c r="H82" s="217">
        <f>SUM(H77:H80)</f>
        <v>526160</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v>760570</v>
      </c>
      <c r="E86" s="216"/>
      <c r="F86" s="216"/>
      <c r="G86" s="184">
        <v>32004</v>
      </c>
      <c r="H86" s="217">
        <f>(D86+E86)-F86-G86</f>
        <v>728566</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v>150213</v>
      </c>
      <c r="E88" s="216">
        <v>136034</v>
      </c>
      <c r="F88" s="216"/>
      <c r="G88" s="184"/>
      <c r="H88" s="217">
        <f t="shared" si="3"/>
        <v>286247</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c r="E91" s="216"/>
      <c r="F91" s="216"/>
      <c r="G91" s="184"/>
      <c r="H91" s="217">
        <f t="shared" si="3"/>
        <v>0</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910783</v>
      </c>
      <c r="E98" s="217">
        <f>SUM(E86:E96)</f>
        <v>136034</v>
      </c>
      <c r="F98" s="217">
        <f>SUM(F86:F96)</f>
        <v>0</v>
      </c>
      <c r="G98" s="217">
        <f>SUM(G86:G96)</f>
        <v>32004</v>
      </c>
      <c r="H98" s="217">
        <f>SUM(H86:H96)</f>
        <v>1014813</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20212</v>
      </c>
      <c r="E102" s="216"/>
      <c r="F102" s="216"/>
      <c r="G102" s="184"/>
      <c r="H102" s="217">
        <f>(D102+E102)-F102-G102</f>
        <v>20212</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20212</v>
      </c>
      <c r="E108" s="217">
        <f>SUM(E102:E106)</f>
        <v>0</v>
      </c>
      <c r="F108" s="217">
        <f>SUM(F102:F106)</f>
        <v>0</v>
      </c>
      <c r="G108" s="217">
        <f>SUM(G102:G106)</f>
        <v>0</v>
      </c>
      <c r="H108" s="217">
        <f>SUM(H102:H106)</f>
        <v>20212</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17929501</v>
      </c>
      <c r="G111" s="184"/>
      <c r="H111" s="217">
        <f>F111-G111</f>
        <v>17929501</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0.90559999999999996</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450224000</v>
      </c>
      <c r="F117" s="237"/>
    </row>
    <row r="118" spans="1:7" ht="18" customHeight="1" x14ac:dyDescent="0.55000000000000004">
      <c r="A118" s="180" t="s">
        <v>319</v>
      </c>
      <c r="B118" s="176" t="s">
        <v>320</v>
      </c>
      <c r="E118" s="184">
        <v>45165000</v>
      </c>
      <c r="F118" s="237"/>
    </row>
    <row r="119" spans="1:7" ht="18" customHeight="1" x14ac:dyDescent="0.55000000000000004">
      <c r="A119" s="180" t="s">
        <v>321</v>
      </c>
      <c r="B119" s="179" t="s">
        <v>322</v>
      </c>
      <c r="E119" s="217">
        <f>SUM(E117:E118)</f>
        <v>495389000</v>
      </c>
      <c r="F119" s="238"/>
    </row>
    <row r="120" spans="1:7" ht="18" customHeight="1" x14ac:dyDescent="0.55000000000000004">
      <c r="A120" s="180"/>
      <c r="B120" s="179"/>
      <c r="F120" s="212"/>
    </row>
    <row r="121" spans="1:7" ht="18" customHeight="1" x14ac:dyDescent="0.55000000000000004">
      <c r="A121" s="180" t="s">
        <v>323</v>
      </c>
      <c r="B121" s="179" t="s">
        <v>324</v>
      </c>
      <c r="E121" s="184">
        <v>462155000</v>
      </c>
      <c r="F121" s="237"/>
    </row>
    <row r="122" spans="1:7" ht="18" customHeight="1" x14ac:dyDescent="0.55000000000000004">
      <c r="A122" s="180"/>
      <c r="F122" s="212"/>
    </row>
    <row r="123" spans="1:7" ht="18" customHeight="1" x14ac:dyDescent="0.55000000000000004">
      <c r="A123" s="180" t="s">
        <v>325</v>
      </c>
      <c r="B123" s="179" t="s">
        <v>326</v>
      </c>
      <c r="E123" s="184">
        <v>33234000</v>
      </c>
      <c r="F123" s="237"/>
    </row>
    <row r="124" spans="1:7" ht="18" customHeight="1" x14ac:dyDescent="0.55000000000000004">
      <c r="A124" s="180"/>
      <c r="F124" s="212"/>
    </row>
    <row r="125" spans="1:7" ht="18" customHeight="1" x14ac:dyDescent="0.55000000000000004">
      <c r="A125" s="180" t="s">
        <v>327</v>
      </c>
      <c r="B125" s="179" t="s">
        <v>328</v>
      </c>
      <c r="E125" s="184">
        <v>3435000</v>
      </c>
      <c r="F125" s="237"/>
    </row>
    <row r="126" spans="1:7" ht="18" customHeight="1" x14ac:dyDescent="0.55000000000000004">
      <c r="A126" s="180"/>
      <c r="F126" s="212"/>
    </row>
    <row r="127" spans="1:7" ht="18" customHeight="1" x14ac:dyDescent="0.55000000000000004">
      <c r="A127" s="180" t="s">
        <v>329</v>
      </c>
      <c r="B127" s="179" t="s">
        <v>330</v>
      </c>
      <c r="E127" s="184">
        <v>36669000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2144985</v>
      </c>
      <c r="E141" s="239">
        <f>E36</f>
        <v>1887375</v>
      </c>
      <c r="F141" s="239">
        <f>F36</f>
        <v>519308</v>
      </c>
      <c r="G141" s="239">
        <f>G36</f>
        <v>32083</v>
      </c>
      <c r="H141" s="239">
        <f>H36</f>
        <v>3480969</v>
      </c>
    </row>
    <row r="142" spans="1:8" ht="18" customHeight="1" x14ac:dyDescent="0.55000000000000004">
      <c r="A142" s="180" t="s">
        <v>150</v>
      </c>
      <c r="B142" s="179" t="s">
        <v>220</v>
      </c>
      <c r="D142" s="239">
        <f>D49</f>
        <v>7395900</v>
      </c>
      <c r="E142" s="239">
        <f>E49</f>
        <v>0</v>
      </c>
      <c r="F142" s="239">
        <f>F49</f>
        <v>0</v>
      </c>
      <c r="G142" s="239">
        <f>G49</f>
        <v>0</v>
      </c>
      <c r="H142" s="239">
        <f>H49</f>
        <v>7395900</v>
      </c>
    </row>
    <row r="143" spans="1:8" ht="18" customHeight="1" x14ac:dyDescent="0.55000000000000004">
      <c r="A143" s="180" t="s">
        <v>269</v>
      </c>
      <c r="B143" s="179" t="s">
        <v>222</v>
      </c>
      <c r="D143" s="239">
        <f>D64</f>
        <v>29733671</v>
      </c>
      <c r="E143" s="239">
        <f>E64</f>
        <v>1060899</v>
      </c>
      <c r="F143" s="239">
        <f>F64</f>
        <v>0</v>
      </c>
      <c r="G143" s="239">
        <f>G64</f>
        <v>15253412</v>
      </c>
      <c r="H143" s="239">
        <f>H64</f>
        <v>15541158</v>
      </c>
    </row>
    <row r="144" spans="1:8" ht="18" customHeight="1" x14ac:dyDescent="0.55000000000000004">
      <c r="A144" s="180" t="s">
        <v>161</v>
      </c>
      <c r="B144" s="179" t="s">
        <v>70</v>
      </c>
      <c r="D144" s="239">
        <f>D74</f>
        <v>288915</v>
      </c>
      <c r="E144" s="239">
        <f>E74</f>
        <v>261641</v>
      </c>
      <c r="F144" s="239">
        <f>F74</f>
        <v>0</v>
      </c>
      <c r="G144" s="239">
        <f>G74</f>
        <v>258008</v>
      </c>
      <c r="H144" s="239">
        <f>H74</f>
        <v>292548</v>
      </c>
    </row>
    <row r="145" spans="1:8" ht="18" customHeight="1" x14ac:dyDescent="0.55000000000000004">
      <c r="A145" s="180" t="s">
        <v>171</v>
      </c>
      <c r="B145" s="179" t="s">
        <v>69</v>
      </c>
      <c r="D145" s="239">
        <f>D82</f>
        <v>526160</v>
      </c>
      <c r="E145" s="239">
        <f>E82</f>
        <v>0</v>
      </c>
      <c r="F145" s="239">
        <f>F82</f>
        <v>0</v>
      </c>
      <c r="G145" s="239">
        <f>G82</f>
        <v>0</v>
      </c>
      <c r="H145" s="239">
        <f>H82</f>
        <v>526160</v>
      </c>
    </row>
    <row r="146" spans="1:8" ht="18" customHeight="1" x14ac:dyDescent="0.55000000000000004">
      <c r="A146" s="180" t="s">
        <v>193</v>
      </c>
      <c r="B146" s="179" t="s">
        <v>226</v>
      </c>
      <c r="D146" s="239">
        <f>D98</f>
        <v>910783</v>
      </c>
      <c r="E146" s="239">
        <f>E98</f>
        <v>136034</v>
      </c>
      <c r="F146" s="239">
        <f>F98</f>
        <v>0</v>
      </c>
      <c r="G146" s="239">
        <f>G98</f>
        <v>32004</v>
      </c>
      <c r="H146" s="239">
        <f>H98</f>
        <v>1014813</v>
      </c>
    </row>
    <row r="147" spans="1:8" ht="18" customHeight="1" x14ac:dyDescent="0.55000000000000004">
      <c r="A147" s="180" t="s">
        <v>204</v>
      </c>
      <c r="B147" s="179" t="s">
        <v>71</v>
      </c>
      <c r="D147" s="217">
        <f>D108</f>
        <v>20212</v>
      </c>
      <c r="E147" s="217">
        <f>E108</f>
        <v>0</v>
      </c>
      <c r="F147" s="217">
        <f>F108</f>
        <v>0</v>
      </c>
      <c r="G147" s="217">
        <f>G108</f>
        <v>0</v>
      </c>
      <c r="H147" s="217">
        <f>H108</f>
        <v>20212</v>
      </c>
    </row>
    <row r="148" spans="1:8" ht="18" customHeight="1" x14ac:dyDescent="0.55000000000000004">
      <c r="A148" s="180" t="s">
        <v>310</v>
      </c>
      <c r="B148" s="179" t="s">
        <v>58</v>
      </c>
      <c r="D148" s="240" t="s">
        <v>245</v>
      </c>
      <c r="E148" s="240" t="s">
        <v>245</v>
      </c>
      <c r="F148" s="240"/>
      <c r="G148" s="240" t="s">
        <v>245</v>
      </c>
      <c r="H148" s="239">
        <f>H111</f>
        <v>17929501</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7763670.2572607137</v>
      </c>
      <c r="E150" s="217">
        <f>E18</f>
        <v>0</v>
      </c>
      <c r="F150" s="217">
        <f>F18</f>
        <v>0</v>
      </c>
      <c r="G150" s="217">
        <f>G18</f>
        <v>6434298.1937018381</v>
      </c>
      <c r="H150" s="217">
        <f>H18</f>
        <v>1329372.0635588756</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48784296.25726071</v>
      </c>
      <c r="E152" s="241">
        <f>SUM(E141:E150)</f>
        <v>3345949</v>
      </c>
      <c r="F152" s="241">
        <f>SUM(F141:F150)</f>
        <v>519308</v>
      </c>
      <c r="G152" s="241">
        <f>SUM(G141:G150)</f>
        <v>22009805.193701837</v>
      </c>
      <c r="H152" s="241">
        <f>SUM(H141:H150)</f>
        <v>47530633.063558877</v>
      </c>
    </row>
    <row r="154" spans="1:8" ht="18" customHeight="1" x14ac:dyDescent="0.55000000000000004">
      <c r="A154" s="183" t="s">
        <v>339</v>
      </c>
      <c r="B154" s="179" t="s">
        <v>340</v>
      </c>
      <c r="D154" s="242">
        <f>H152/E121</f>
        <v>0.10284565365204071</v>
      </c>
    </row>
    <row r="155" spans="1:8" ht="18" customHeight="1" x14ac:dyDescent="0.55000000000000004">
      <c r="A155" s="183" t="s">
        <v>341</v>
      </c>
      <c r="B155" s="179" t="s">
        <v>342</v>
      </c>
      <c r="D155" s="242">
        <f>H152/E127</f>
        <v>1.2962075067102696</v>
      </c>
    </row>
  </sheetData>
  <mergeCells count="2">
    <mergeCell ref="C2:D2"/>
    <mergeCell ref="B13:D13"/>
  </mergeCells>
  <printOptions headings="1" gridLines="1"/>
  <pageMargins left="0.17" right="0.16" top="0.35" bottom="0.32" header="0.17" footer="0.17"/>
  <pageSetup scale="59" fitToHeight="3" orientation="landscape" horizontalDpi="4294967294" r:id="rId1"/>
  <headerFooter alignWithMargins="0"/>
  <rowBreaks count="4" manualBreakCount="4">
    <brk id="37" max="16383" man="1"/>
    <brk id="74" max="16383" man="1"/>
    <brk id="109" max="16383" man="1"/>
    <brk id="138"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7B865-9453-4260-B994-AF79D7D16AC7}">
  <sheetPr codeName="Sheet20"/>
  <dimension ref="A1:O155"/>
  <sheetViews>
    <sheetView zoomScaleNormal="100" workbookViewId="0"/>
  </sheetViews>
  <sheetFormatPr defaultColWidth="9" defaultRowHeight="18" customHeight="1"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0" width="13.83984375" style="176" bestFit="1" customWidth="1"/>
    <col min="11" max="11" width="22" style="176" customWidth="1"/>
    <col min="12" max="12" width="9" style="176"/>
    <col min="13" max="14" width="13.83984375" style="176" bestFit="1" customWidth="1"/>
    <col min="15"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272" t="s">
        <v>387</v>
      </c>
      <c r="D5" s="247"/>
      <c r="E5" s="247"/>
      <c r="F5" s="208"/>
    </row>
    <row r="6" spans="1:8" ht="18" customHeight="1" x14ac:dyDescent="0.55000000000000004">
      <c r="B6" s="180" t="s">
        <v>237</v>
      </c>
      <c r="C6" s="244">
        <v>12</v>
      </c>
      <c r="D6" s="244"/>
      <c r="E6" s="244"/>
      <c r="F6" s="209"/>
    </row>
    <row r="7" spans="1:8" ht="18" customHeight="1" x14ac:dyDescent="0.55000000000000004">
      <c r="B7" s="180" t="s">
        <v>238</v>
      </c>
      <c r="C7" s="246">
        <v>5201</v>
      </c>
      <c r="D7" s="246"/>
      <c r="E7" s="246"/>
      <c r="F7" s="210"/>
    </row>
    <row r="8" spans="1:8" ht="18" customHeight="1" x14ac:dyDescent="0.55000000000000004">
      <c r="C8" s="211"/>
      <c r="D8" s="211"/>
      <c r="E8" s="211"/>
      <c r="F8" s="212"/>
    </row>
    <row r="9" spans="1:8" ht="18" customHeight="1" x14ac:dyDescent="0.55000000000000004">
      <c r="B9" s="180" t="s">
        <v>239</v>
      </c>
      <c r="C9" s="247" t="s">
        <v>388</v>
      </c>
      <c r="D9" s="247"/>
      <c r="E9" s="247"/>
      <c r="F9" s="208"/>
    </row>
    <row r="10" spans="1:8" ht="18" customHeight="1" x14ac:dyDescent="0.55000000000000004">
      <c r="B10" s="180" t="s">
        <v>241</v>
      </c>
      <c r="C10" s="248" t="s">
        <v>389</v>
      </c>
      <c r="D10" s="248"/>
      <c r="E10" s="248"/>
      <c r="F10" s="213"/>
    </row>
    <row r="11" spans="1:8" ht="18" customHeight="1" x14ac:dyDescent="0.55000000000000004">
      <c r="B11" s="180" t="s">
        <v>243</v>
      </c>
      <c r="C11" s="272" t="s">
        <v>390</v>
      </c>
      <c r="D11" s="247"/>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15831811.012824165</v>
      </c>
      <c r="E18" s="214"/>
      <c r="F18" s="214" t="s">
        <v>247</v>
      </c>
      <c r="G18" s="214">
        <v>13120932.449130751</v>
      </c>
      <c r="H18" s="249">
        <f>(D18+E18)-G18</f>
        <v>2710878.5636934135</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291543</v>
      </c>
      <c r="E21" s="216">
        <v>34985</v>
      </c>
      <c r="F21" s="216"/>
      <c r="G21" s="184">
        <v>137506</v>
      </c>
      <c r="H21" s="217">
        <f>(D21+E21)-F21-G21</f>
        <v>189022</v>
      </c>
    </row>
    <row r="22" spans="1:8" ht="18" customHeight="1" x14ac:dyDescent="0.55000000000000004">
      <c r="A22" s="180" t="s">
        <v>112</v>
      </c>
      <c r="B22" s="176" t="s">
        <v>113</v>
      </c>
      <c r="D22" s="184">
        <v>988</v>
      </c>
      <c r="E22" s="216">
        <v>752</v>
      </c>
      <c r="F22" s="216"/>
      <c r="G22" s="184"/>
      <c r="H22" s="217">
        <f t="shared" ref="H22:H34" si="0">(D22+E22)-F22-G22</f>
        <v>1740</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v>309286</v>
      </c>
      <c r="E24" s="216">
        <v>234426</v>
      </c>
      <c r="F24" s="216"/>
      <c r="G24" s="184">
        <v>212261</v>
      </c>
      <c r="H24" s="217">
        <f t="shared" si="0"/>
        <v>331451</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v>2373033</v>
      </c>
      <c r="E29" s="216">
        <v>219924</v>
      </c>
      <c r="F29" s="216"/>
      <c r="G29" s="184">
        <v>1331515</v>
      </c>
      <c r="H29" s="217">
        <f t="shared" si="0"/>
        <v>1261442</v>
      </c>
    </row>
    <row r="30" spans="1:8" ht="18" customHeight="1" x14ac:dyDescent="0.55000000000000004">
      <c r="A30" s="180" t="s">
        <v>128</v>
      </c>
      <c r="B30" s="185"/>
      <c r="D30" s="184"/>
      <c r="E30" s="216"/>
      <c r="F30" s="216"/>
      <c r="G30" s="184"/>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2974850</v>
      </c>
      <c r="E36" s="217">
        <f>SUM(E21:E34)</f>
        <v>490087</v>
      </c>
      <c r="F36" s="217">
        <f>SUM(F21:F34)</f>
        <v>0</v>
      </c>
      <c r="G36" s="217">
        <f>SUM(G21:G34)</f>
        <v>1681282</v>
      </c>
      <c r="H36" s="217">
        <f>SUM(H21:H34)</f>
        <v>1783655</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19239931</v>
      </c>
      <c r="E40" s="216">
        <v>14641588</v>
      </c>
      <c r="F40" s="184"/>
      <c r="G40" s="184"/>
      <c r="H40" s="217">
        <f>(D40+E40)-F40-G40</f>
        <v>33881519</v>
      </c>
    </row>
    <row r="41" spans="1:8" ht="18" customHeight="1" x14ac:dyDescent="0.55000000000000004">
      <c r="A41" s="180" t="s">
        <v>251</v>
      </c>
      <c r="B41" s="176" t="s">
        <v>141</v>
      </c>
      <c r="D41" s="184">
        <v>445729</v>
      </c>
      <c r="E41" s="216">
        <v>339200</v>
      </c>
      <c r="F41" s="216"/>
      <c r="G41" s="184"/>
      <c r="H41" s="217">
        <f t="shared" ref="H41:H47" si="1">(D41+E41)-F41-G41</f>
        <v>784929</v>
      </c>
    </row>
    <row r="42" spans="1:8" ht="18" customHeight="1" x14ac:dyDescent="0.55000000000000004">
      <c r="A42" s="180" t="s">
        <v>252</v>
      </c>
      <c r="B42" s="176" t="s">
        <v>143</v>
      </c>
      <c r="D42" s="184">
        <v>1122911</v>
      </c>
      <c r="E42" s="216">
        <v>854535</v>
      </c>
      <c r="F42" s="216"/>
      <c r="G42" s="184">
        <v>102000</v>
      </c>
      <c r="H42" s="217">
        <f t="shared" si="1"/>
        <v>1875446</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15" ht="18" customHeight="1" x14ac:dyDescent="0.55000000000000004">
      <c r="A49" s="183" t="s">
        <v>150</v>
      </c>
      <c r="B49" s="179" t="s">
        <v>254</v>
      </c>
      <c r="C49" s="179" t="s">
        <v>248</v>
      </c>
      <c r="D49" s="217">
        <f>SUM(D40:D47)</f>
        <v>20808571</v>
      </c>
      <c r="E49" s="217">
        <f>SUM(E40:E47)</f>
        <v>15835323</v>
      </c>
      <c r="F49" s="217">
        <f>SUM(F40:F47)</f>
        <v>0</v>
      </c>
      <c r="G49" s="217">
        <f>SUM(G40:G47)</f>
        <v>102000</v>
      </c>
      <c r="H49" s="217">
        <f>SUM(H40:H47)</f>
        <v>36541894</v>
      </c>
    </row>
    <row r="50" spans="1:15" ht="18" customHeight="1" thickBot="1" x14ac:dyDescent="0.6">
      <c r="D50" s="189"/>
      <c r="E50" s="189"/>
      <c r="F50" s="189"/>
      <c r="G50" s="189"/>
      <c r="H50" s="189"/>
    </row>
    <row r="51" spans="1:15" ht="42.75" customHeight="1" x14ac:dyDescent="0.55000000000000004">
      <c r="D51" s="182" t="s">
        <v>99</v>
      </c>
      <c r="E51" s="182" t="s">
        <v>100</v>
      </c>
      <c r="F51" s="182" t="s">
        <v>431</v>
      </c>
      <c r="G51" s="182" t="s">
        <v>432</v>
      </c>
      <c r="H51" s="182" t="s">
        <v>244</v>
      </c>
    </row>
    <row r="52" spans="1:15" ht="18" customHeight="1" x14ac:dyDescent="0.55000000000000004">
      <c r="A52" s="183" t="s">
        <v>255</v>
      </c>
      <c r="B52" s="221" t="s">
        <v>256</v>
      </c>
    </row>
    <row r="53" spans="1:15" ht="18" customHeight="1" x14ac:dyDescent="0.55000000000000004">
      <c r="A53" s="180" t="s">
        <v>257</v>
      </c>
      <c r="B53" s="176" t="s">
        <v>433</v>
      </c>
      <c r="D53" s="184">
        <v>20495552</v>
      </c>
      <c r="E53" s="273">
        <v>8942285</v>
      </c>
      <c r="F53" s="222">
        <v>0</v>
      </c>
      <c r="G53" s="274">
        <v>7220649</v>
      </c>
      <c r="H53" s="217">
        <f>(D53+E53)-F53-G53</f>
        <v>22217188</v>
      </c>
      <c r="J53" s="263"/>
      <c r="K53" s="263"/>
      <c r="L53" s="263"/>
      <c r="M53" s="263"/>
      <c r="N53" s="263"/>
      <c r="O53" s="263"/>
    </row>
    <row r="54" spans="1:15" ht="18" customHeight="1" x14ac:dyDescent="0.55000000000000004">
      <c r="A54" s="180" t="s">
        <v>259</v>
      </c>
      <c r="B54" s="193"/>
      <c r="D54" s="184"/>
      <c r="E54" s="216"/>
      <c r="F54" s="216"/>
      <c r="G54" s="184"/>
      <c r="H54" s="217"/>
    </row>
    <row r="55" spans="1:15" ht="18" customHeight="1" x14ac:dyDescent="0.55000000000000004">
      <c r="A55" s="180" t="s">
        <v>260</v>
      </c>
      <c r="B55" s="194"/>
      <c r="D55" s="184"/>
      <c r="E55" s="216"/>
      <c r="F55" s="216"/>
      <c r="G55" s="184"/>
      <c r="H55" s="217"/>
    </row>
    <row r="56" spans="1:15" ht="18" customHeight="1" x14ac:dyDescent="0.55000000000000004">
      <c r="A56" s="180" t="s">
        <v>261</v>
      </c>
      <c r="B56" s="193"/>
      <c r="D56" s="184"/>
      <c r="E56" s="216"/>
      <c r="F56" s="216"/>
      <c r="G56" s="184"/>
      <c r="H56" s="217"/>
    </row>
    <row r="57" spans="1:15" ht="18" customHeight="1" x14ac:dyDescent="0.55000000000000004">
      <c r="A57" s="180" t="s">
        <v>263</v>
      </c>
      <c r="B57" s="193"/>
      <c r="D57" s="184"/>
      <c r="E57" s="216"/>
      <c r="F57" s="216"/>
      <c r="G57" s="184"/>
      <c r="H57" s="217"/>
    </row>
    <row r="58" spans="1:15" ht="18" customHeight="1" x14ac:dyDescent="0.55000000000000004">
      <c r="A58" s="180" t="s">
        <v>264</v>
      </c>
      <c r="B58" s="193" t="s">
        <v>391</v>
      </c>
      <c r="D58" s="184">
        <f>5466431-2362268-485</f>
        <v>3103678</v>
      </c>
      <c r="E58" s="216">
        <f>2362268-369</f>
        <v>2361899</v>
      </c>
      <c r="F58" s="216"/>
      <c r="G58" s="184">
        <v>1639723</v>
      </c>
      <c r="H58" s="217">
        <f>(D58+E58)-F58-G58</f>
        <v>3825854</v>
      </c>
    </row>
    <row r="59" spans="1:15" ht="18" customHeight="1" x14ac:dyDescent="0.55000000000000004">
      <c r="A59" s="180" t="s">
        <v>265</v>
      </c>
      <c r="B59" s="223"/>
      <c r="D59" s="224"/>
      <c r="E59" s="225"/>
      <c r="F59" s="225"/>
      <c r="G59" s="224"/>
      <c r="H59" s="217"/>
      <c r="K59" s="176" t="s">
        <v>247</v>
      </c>
    </row>
    <row r="60" spans="1:15" ht="18" customHeight="1" x14ac:dyDescent="0.55000000000000004">
      <c r="A60" s="180" t="s">
        <v>266</v>
      </c>
      <c r="B60" s="226"/>
      <c r="C60" s="212"/>
      <c r="D60" s="222"/>
      <c r="E60" s="222"/>
      <c r="F60" s="222"/>
      <c r="G60" s="222"/>
      <c r="H60" s="217"/>
    </row>
    <row r="61" spans="1:15" ht="18" customHeight="1" x14ac:dyDescent="0.55000000000000004">
      <c r="A61" s="180" t="s">
        <v>267</v>
      </c>
      <c r="B61" s="226"/>
      <c r="C61" s="212"/>
      <c r="D61" s="222"/>
      <c r="E61" s="222"/>
      <c r="F61" s="222"/>
      <c r="G61" s="222"/>
      <c r="H61" s="217">
        <f>(D61+E61)-F61-G61</f>
        <v>0</v>
      </c>
    </row>
    <row r="62" spans="1:15" ht="18" customHeight="1" x14ac:dyDescent="0.55000000000000004">
      <c r="A62" s="180" t="s">
        <v>268</v>
      </c>
      <c r="B62" s="226"/>
      <c r="C62" s="212"/>
      <c r="D62" s="222"/>
      <c r="E62" s="222"/>
      <c r="F62" s="222"/>
      <c r="G62" s="222"/>
      <c r="H62" s="217">
        <f>(D62+E62)-F62-G62</f>
        <v>0</v>
      </c>
    </row>
    <row r="63" spans="1:15" ht="18" customHeight="1" x14ac:dyDescent="0.55000000000000004">
      <c r="A63" s="180"/>
      <c r="E63" s="227"/>
      <c r="F63" s="192"/>
    </row>
    <row r="64" spans="1:15" ht="18" customHeight="1" x14ac:dyDescent="0.55000000000000004">
      <c r="A64" s="180" t="s">
        <v>269</v>
      </c>
      <c r="B64" s="179" t="s">
        <v>270</v>
      </c>
      <c r="C64" s="179" t="s">
        <v>248</v>
      </c>
      <c r="D64" s="217">
        <f>SUM(D53:D62)</f>
        <v>23599230</v>
      </c>
      <c r="E64" s="217">
        <f>SUM(E53:E62)</f>
        <v>11304184</v>
      </c>
      <c r="F64" s="217">
        <f>SUM(F53:F62)</f>
        <v>0</v>
      </c>
      <c r="G64" s="217">
        <f>SUM(G53:G62)</f>
        <v>8860372</v>
      </c>
      <c r="H64" s="217">
        <f>SUM(H53:H62)</f>
        <v>26043042</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4">
        <v>1231329</v>
      </c>
      <c r="E68" s="216">
        <v>25637</v>
      </c>
      <c r="F68" s="216"/>
      <c r="G68" s="224">
        <v>559261</v>
      </c>
      <c r="H68" s="217">
        <f>(D68+E68)-F68-G68</f>
        <v>697705</v>
      </c>
      <c r="J68" s="254"/>
    </row>
    <row r="69" spans="1:10" ht="18" customHeight="1" x14ac:dyDescent="0.55000000000000004">
      <c r="A69" s="180" t="s">
        <v>273</v>
      </c>
      <c r="B69" s="176" t="s">
        <v>159</v>
      </c>
      <c r="D69" s="224">
        <v>1420244</v>
      </c>
      <c r="E69" s="216"/>
      <c r="F69" s="216"/>
      <c r="G69" s="228"/>
      <c r="H69" s="217">
        <f>(D69+E69)-F69-G69</f>
        <v>1420244</v>
      </c>
    </row>
    <row r="70" spans="1:10" ht="18" customHeight="1" x14ac:dyDescent="0.55000000000000004">
      <c r="A70" s="180" t="s">
        <v>274</v>
      </c>
      <c r="B70" s="204" t="s">
        <v>392</v>
      </c>
      <c r="C70" s="179"/>
      <c r="D70" s="224">
        <v>190681</v>
      </c>
      <c r="E70" s="216">
        <v>145108</v>
      </c>
      <c r="F70" s="225"/>
      <c r="G70" s="224"/>
      <c r="H70" s="217">
        <f>(D70+E70)-F70-G70</f>
        <v>335789</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2842254</v>
      </c>
      <c r="E74" s="229">
        <f>SUM(E68:E72)</f>
        <v>170745</v>
      </c>
      <c r="F74" s="229">
        <f>SUM(F68:F72)</f>
        <v>0</v>
      </c>
      <c r="G74" s="217">
        <f>SUM(G68:G72)</f>
        <v>559261</v>
      </c>
      <c r="H74" s="217">
        <f>SUM(H68:H72)</f>
        <v>2453738</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561320</v>
      </c>
      <c r="E77" s="230"/>
      <c r="F77" s="220"/>
      <c r="G77" s="184"/>
      <c r="H77" s="217">
        <f>(D77-F77-G77)</f>
        <v>561320</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v>408928</v>
      </c>
      <c r="E79" s="230"/>
      <c r="F79" s="220"/>
      <c r="G79" s="184"/>
      <c r="H79" s="217">
        <f>(D79-F79-G79)</f>
        <v>408928</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970248</v>
      </c>
      <c r="E82" s="231"/>
      <c r="F82" s="217">
        <f>SUM(F77:F80)</f>
        <v>0</v>
      </c>
      <c r="G82" s="217">
        <f>SUM(G77:G80)</f>
        <v>0</v>
      </c>
      <c r="H82" s="217">
        <f>SUM(H77:H80)</f>
        <v>970248</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v>50363</v>
      </c>
      <c r="E86" s="216">
        <v>6043</v>
      </c>
      <c r="F86" s="216"/>
      <c r="G86" s="184">
        <v>50277</v>
      </c>
      <c r="H86" s="217">
        <f>(D86+E86)-F86-G86</f>
        <v>6129</v>
      </c>
    </row>
    <row r="87" spans="1:8" ht="18" customHeight="1" x14ac:dyDescent="0.55000000000000004">
      <c r="A87" s="180" t="s">
        <v>287</v>
      </c>
      <c r="B87" s="176" t="s">
        <v>177</v>
      </c>
      <c r="D87" s="184"/>
      <c r="E87" s="216"/>
      <c r="F87" s="216"/>
      <c r="G87" s="184"/>
      <c r="H87" s="217">
        <f t="shared" ref="H87:H96" si="2">(D87+E87)-F87-G87</f>
        <v>0</v>
      </c>
    </row>
    <row r="88" spans="1:8" ht="18" customHeight="1" x14ac:dyDescent="0.55000000000000004">
      <c r="A88" s="180" t="s">
        <v>288</v>
      </c>
      <c r="B88" s="176" t="s">
        <v>289</v>
      </c>
      <c r="D88" s="184">
        <v>872793</v>
      </c>
      <c r="E88" s="216">
        <v>104822</v>
      </c>
      <c r="F88" s="216"/>
      <c r="G88" s="184">
        <v>860087</v>
      </c>
      <c r="H88" s="217">
        <f t="shared" si="2"/>
        <v>117528</v>
      </c>
    </row>
    <row r="89" spans="1:8" ht="18" customHeight="1" x14ac:dyDescent="0.55000000000000004">
      <c r="A89" s="180" t="s">
        <v>290</v>
      </c>
      <c r="B89" s="176" t="s">
        <v>181</v>
      </c>
      <c r="D89" s="184"/>
      <c r="E89" s="216"/>
      <c r="F89" s="216"/>
      <c r="G89" s="184"/>
      <c r="H89" s="217">
        <f t="shared" si="2"/>
        <v>0</v>
      </c>
    </row>
    <row r="90" spans="1:8" ht="18" customHeight="1" x14ac:dyDescent="0.55000000000000004">
      <c r="A90" s="180" t="s">
        <v>291</v>
      </c>
      <c r="B90" s="176" t="s">
        <v>183</v>
      </c>
      <c r="D90" s="184"/>
      <c r="E90" s="216"/>
      <c r="F90" s="216"/>
      <c r="G90" s="184"/>
      <c r="H90" s="217">
        <f t="shared" si="2"/>
        <v>0</v>
      </c>
    </row>
    <row r="91" spans="1:8" ht="18" customHeight="1" x14ac:dyDescent="0.55000000000000004">
      <c r="A91" s="180" t="s">
        <v>292</v>
      </c>
      <c r="B91" s="176" t="s">
        <v>185</v>
      </c>
      <c r="D91" s="184">
        <v>25000</v>
      </c>
      <c r="E91" s="216">
        <v>3000</v>
      </c>
      <c r="F91" s="216"/>
      <c r="G91" s="184">
        <v>23139</v>
      </c>
      <c r="H91" s="217">
        <f t="shared" si="2"/>
        <v>4861</v>
      </c>
    </row>
    <row r="92" spans="1:8" ht="18" customHeight="1" x14ac:dyDescent="0.55000000000000004">
      <c r="A92" s="180" t="s">
        <v>293</v>
      </c>
      <c r="B92" s="176" t="s">
        <v>294</v>
      </c>
      <c r="D92" s="233"/>
      <c r="E92" s="216"/>
      <c r="F92" s="234"/>
      <c r="G92" s="233"/>
      <c r="H92" s="217">
        <f t="shared" si="2"/>
        <v>0</v>
      </c>
    </row>
    <row r="93" spans="1:8" ht="18" customHeight="1" x14ac:dyDescent="0.55000000000000004">
      <c r="A93" s="180" t="s">
        <v>295</v>
      </c>
      <c r="B93" s="176" t="s">
        <v>296</v>
      </c>
      <c r="D93" s="184">
        <v>865324</v>
      </c>
      <c r="E93" s="216">
        <v>103839</v>
      </c>
      <c r="F93" s="216"/>
      <c r="G93" s="184">
        <v>520107</v>
      </c>
      <c r="H93" s="217">
        <f t="shared" si="2"/>
        <v>449056</v>
      </c>
    </row>
    <row r="94" spans="1:8" ht="18" customHeight="1" x14ac:dyDescent="0.55000000000000004">
      <c r="A94" s="180" t="s">
        <v>297</v>
      </c>
      <c r="B94" s="193" t="s">
        <v>129</v>
      </c>
      <c r="D94" s="184">
        <v>160000</v>
      </c>
      <c r="E94" s="216"/>
      <c r="F94" s="216"/>
      <c r="G94" s="184"/>
      <c r="H94" s="217">
        <f t="shared" si="2"/>
        <v>160000</v>
      </c>
    </row>
    <row r="95" spans="1:8" ht="18" customHeight="1" x14ac:dyDescent="0.55000000000000004">
      <c r="A95" s="180" t="s">
        <v>298</v>
      </c>
      <c r="B95" s="193"/>
      <c r="D95" s="184"/>
      <c r="E95" s="216"/>
      <c r="F95" s="216"/>
      <c r="G95" s="184"/>
      <c r="H95" s="217">
        <f t="shared" si="2"/>
        <v>0</v>
      </c>
    </row>
    <row r="96" spans="1:8" ht="18" customHeight="1" x14ac:dyDescent="0.55000000000000004">
      <c r="A96" s="180" t="s">
        <v>299</v>
      </c>
      <c r="B96" s="193"/>
      <c r="D96" s="184"/>
      <c r="E96" s="216"/>
      <c r="F96" s="216"/>
      <c r="G96" s="184"/>
      <c r="H96" s="217">
        <f t="shared" si="2"/>
        <v>0</v>
      </c>
    </row>
    <row r="97" spans="1:8" ht="18" customHeight="1" x14ac:dyDescent="0.55000000000000004">
      <c r="A97" s="180"/>
    </row>
    <row r="98" spans="1:8" ht="18" customHeight="1" x14ac:dyDescent="0.55000000000000004">
      <c r="A98" s="183" t="s">
        <v>193</v>
      </c>
      <c r="B98" s="179" t="s">
        <v>300</v>
      </c>
      <c r="C98" s="179" t="s">
        <v>248</v>
      </c>
      <c r="D98" s="217">
        <f>SUM(D86:D96)</f>
        <v>1973480</v>
      </c>
      <c r="E98" s="217">
        <f>SUM(E86:E96)</f>
        <v>217704</v>
      </c>
      <c r="F98" s="217">
        <f>SUM(F86:F96)</f>
        <v>0</v>
      </c>
      <c r="G98" s="217">
        <f>SUM(G86:G96)</f>
        <v>1453610</v>
      </c>
      <c r="H98" s="217">
        <f>SUM(H86:H96)</f>
        <v>737574</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804088</v>
      </c>
      <c r="E102" s="216">
        <v>611911</v>
      </c>
      <c r="F102" s="216">
        <v>179230</v>
      </c>
      <c r="G102" s="184"/>
      <c r="H102" s="217">
        <f>(D102+E102)-F102-G102</f>
        <v>1236769</v>
      </c>
    </row>
    <row r="103" spans="1:8" ht="18" customHeight="1" x14ac:dyDescent="0.55000000000000004">
      <c r="A103" s="180" t="s">
        <v>304</v>
      </c>
      <c r="B103" s="176" t="s">
        <v>199</v>
      </c>
      <c r="D103" s="184">
        <v>0</v>
      </c>
      <c r="E103" s="216"/>
      <c r="F103" s="216"/>
      <c r="G103" s="184"/>
      <c r="H103" s="217">
        <f>(D103+E103)-F103-G103</f>
        <v>0</v>
      </c>
    </row>
    <row r="104" spans="1:8" ht="18" customHeight="1" x14ac:dyDescent="0.55000000000000004">
      <c r="A104" s="180" t="s">
        <v>305</v>
      </c>
      <c r="B104" s="193"/>
      <c r="D104" s="184">
        <v>0</v>
      </c>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804088</v>
      </c>
      <c r="E108" s="217">
        <f>SUM(E102:E106)</f>
        <v>611911</v>
      </c>
      <c r="F108" s="217">
        <f>SUM(F102:F106)</f>
        <v>179230</v>
      </c>
      <c r="G108" s="217">
        <f>SUM(G102:G106)</f>
        <v>0</v>
      </c>
      <c r="H108" s="217">
        <f>SUM(H102:H106)</f>
        <v>1236769</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202">
        <v>3261955</v>
      </c>
      <c r="G111" s="184"/>
      <c r="H111" s="217">
        <f>F111-G111</f>
        <v>3261955</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0.76100000000000001</v>
      </c>
      <c r="F114" s="235" t="s">
        <v>429</v>
      </c>
      <c r="G114" s="236">
        <v>0.12</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202">
        <v>854990000</v>
      </c>
      <c r="F117" s="237"/>
    </row>
    <row r="118" spans="1:7" ht="18" customHeight="1" x14ac:dyDescent="0.55000000000000004">
      <c r="A118" s="180" t="s">
        <v>319</v>
      </c>
      <c r="B118" s="176" t="s">
        <v>320</v>
      </c>
      <c r="E118" s="202">
        <f>3166000+44058000</f>
        <v>47224000</v>
      </c>
      <c r="F118" s="237"/>
    </row>
    <row r="119" spans="1:7" ht="18" customHeight="1" x14ac:dyDescent="0.55000000000000004">
      <c r="A119" s="180" t="s">
        <v>321</v>
      </c>
      <c r="B119" s="179" t="s">
        <v>322</v>
      </c>
      <c r="E119" s="217">
        <f>SUM(E117:E118)</f>
        <v>902214000</v>
      </c>
      <c r="F119" s="238"/>
    </row>
    <row r="120" spans="1:7" ht="18" customHeight="1" x14ac:dyDescent="0.55000000000000004">
      <c r="A120" s="180"/>
      <c r="B120" s="179"/>
      <c r="F120" s="212"/>
    </row>
    <row r="121" spans="1:7" ht="18" customHeight="1" x14ac:dyDescent="0.55000000000000004">
      <c r="A121" s="180" t="s">
        <v>323</v>
      </c>
      <c r="B121" s="179" t="s">
        <v>324</v>
      </c>
      <c r="E121" s="202">
        <v>852535000</v>
      </c>
      <c r="F121" s="237"/>
    </row>
    <row r="122" spans="1:7" ht="18" customHeight="1" x14ac:dyDescent="0.55000000000000004">
      <c r="A122" s="180"/>
      <c r="F122" s="212"/>
    </row>
    <row r="123" spans="1:7" ht="18" customHeight="1" x14ac:dyDescent="0.55000000000000004">
      <c r="A123" s="180" t="s">
        <v>325</v>
      </c>
      <c r="B123" s="179" t="s">
        <v>326</v>
      </c>
      <c r="E123" s="202">
        <f>+E119-E121</f>
        <v>49679000</v>
      </c>
      <c r="F123" s="237"/>
    </row>
    <row r="124" spans="1:7" ht="18" customHeight="1" x14ac:dyDescent="0.55000000000000004">
      <c r="A124" s="180"/>
      <c r="F124" s="212"/>
    </row>
    <row r="125" spans="1:7" ht="18" customHeight="1" x14ac:dyDescent="0.55000000000000004">
      <c r="A125" s="180" t="s">
        <v>327</v>
      </c>
      <c r="B125" s="179" t="s">
        <v>328</v>
      </c>
      <c r="E125" s="202">
        <v>91437000</v>
      </c>
      <c r="F125" s="237"/>
    </row>
    <row r="126" spans="1:7" ht="18" customHeight="1" x14ac:dyDescent="0.55000000000000004">
      <c r="A126" s="180"/>
      <c r="F126" s="212"/>
    </row>
    <row r="127" spans="1:7" ht="18" customHeight="1" x14ac:dyDescent="0.55000000000000004">
      <c r="A127" s="180" t="s">
        <v>329</v>
      </c>
      <c r="B127" s="179" t="s">
        <v>330</v>
      </c>
      <c r="E127" s="202">
        <f>+E123+E125</f>
        <v>141116000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2974850</v>
      </c>
      <c r="E141" s="239">
        <f>E36</f>
        <v>490087</v>
      </c>
      <c r="F141" s="239">
        <f>F36</f>
        <v>0</v>
      </c>
      <c r="G141" s="239">
        <f>G36</f>
        <v>1681282</v>
      </c>
      <c r="H141" s="239">
        <f>H36</f>
        <v>1783655</v>
      </c>
    </row>
    <row r="142" spans="1:8" ht="18" customHeight="1" x14ac:dyDescent="0.55000000000000004">
      <c r="A142" s="180" t="s">
        <v>150</v>
      </c>
      <c r="B142" s="179" t="s">
        <v>220</v>
      </c>
      <c r="D142" s="239">
        <f>D49</f>
        <v>20808571</v>
      </c>
      <c r="E142" s="239">
        <f>E49</f>
        <v>15835323</v>
      </c>
      <c r="F142" s="239">
        <f>F49</f>
        <v>0</v>
      </c>
      <c r="G142" s="239">
        <f>G49</f>
        <v>102000</v>
      </c>
      <c r="H142" s="239">
        <f>H49</f>
        <v>36541894</v>
      </c>
    </row>
    <row r="143" spans="1:8" ht="18" customHeight="1" x14ac:dyDescent="0.55000000000000004">
      <c r="A143" s="180" t="s">
        <v>269</v>
      </c>
      <c r="B143" s="179" t="s">
        <v>222</v>
      </c>
      <c r="D143" s="239">
        <f>D64</f>
        <v>23599230</v>
      </c>
      <c r="E143" s="239">
        <f>E64</f>
        <v>11304184</v>
      </c>
      <c r="F143" s="239">
        <f>F64</f>
        <v>0</v>
      </c>
      <c r="G143" s="239">
        <f>G64</f>
        <v>8860372</v>
      </c>
      <c r="H143" s="239">
        <f>H64</f>
        <v>26043042</v>
      </c>
    </row>
    <row r="144" spans="1:8" ht="18" customHeight="1" x14ac:dyDescent="0.55000000000000004">
      <c r="A144" s="180" t="s">
        <v>161</v>
      </c>
      <c r="B144" s="179" t="s">
        <v>70</v>
      </c>
      <c r="D144" s="239">
        <f>D74</f>
        <v>2842254</v>
      </c>
      <c r="E144" s="239">
        <f>E74</f>
        <v>170745</v>
      </c>
      <c r="F144" s="239">
        <f>F74</f>
        <v>0</v>
      </c>
      <c r="G144" s="239">
        <f>G74</f>
        <v>559261</v>
      </c>
      <c r="H144" s="239">
        <f>H74</f>
        <v>2453738</v>
      </c>
    </row>
    <row r="145" spans="1:8" ht="18" customHeight="1" x14ac:dyDescent="0.55000000000000004">
      <c r="A145" s="180" t="s">
        <v>171</v>
      </c>
      <c r="B145" s="179" t="s">
        <v>69</v>
      </c>
      <c r="D145" s="239">
        <f>D82</f>
        <v>970248</v>
      </c>
      <c r="E145" s="239">
        <f>E82</f>
        <v>0</v>
      </c>
      <c r="F145" s="239">
        <f>F82</f>
        <v>0</v>
      </c>
      <c r="G145" s="239">
        <f>G82</f>
        <v>0</v>
      </c>
      <c r="H145" s="239">
        <f>H82</f>
        <v>970248</v>
      </c>
    </row>
    <row r="146" spans="1:8" ht="18" customHeight="1" x14ac:dyDescent="0.55000000000000004">
      <c r="A146" s="180" t="s">
        <v>193</v>
      </c>
      <c r="B146" s="179" t="s">
        <v>226</v>
      </c>
      <c r="D146" s="239">
        <f>D98</f>
        <v>1973480</v>
      </c>
      <c r="E146" s="239">
        <f>E98</f>
        <v>217704</v>
      </c>
      <c r="F146" s="239">
        <f>F98</f>
        <v>0</v>
      </c>
      <c r="G146" s="239">
        <f>G98</f>
        <v>1453610</v>
      </c>
      <c r="H146" s="239">
        <f>H98</f>
        <v>737574</v>
      </c>
    </row>
    <row r="147" spans="1:8" ht="18" customHeight="1" x14ac:dyDescent="0.55000000000000004">
      <c r="A147" s="180" t="s">
        <v>204</v>
      </c>
      <c r="B147" s="179" t="s">
        <v>71</v>
      </c>
      <c r="D147" s="217">
        <f>D108</f>
        <v>804088</v>
      </c>
      <c r="E147" s="217">
        <f>E108</f>
        <v>611911</v>
      </c>
      <c r="F147" s="217">
        <f>F108</f>
        <v>179230</v>
      </c>
      <c r="G147" s="217">
        <f>G108</f>
        <v>0</v>
      </c>
      <c r="H147" s="217">
        <f>H108</f>
        <v>1236769</v>
      </c>
    </row>
    <row r="148" spans="1:8" ht="18" customHeight="1" x14ac:dyDescent="0.55000000000000004">
      <c r="A148" s="180" t="s">
        <v>310</v>
      </c>
      <c r="B148" s="179" t="s">
        <v>58</v>
      </c>
      <c r="D148" s="240" t="s">
        <v>245</v>
      </c>
      <c r="E148" s="240" t="s">
        <v>245</v>
      </c>
      <c r="F148" s="240"/>
      <c r="G148" s="240" t="s">
        <v>245</v>
      </c>
      <c r="H148" s="239">
        <f>H111</f>
        <v>3261955</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15831811.012824165</v>
      </c>
      <c r="E150" s="217">
        <f>E18</f>
        <v>0</v>
      </c>
      <c r="F150" s="217" t="str">
        <f>F18</f>
        <v xml:space="preserve"> </v>
      </c>
      <c r="G150" s="217">
        <f>G18</f>
        <v>13120932.449130751</v>
      </c>
      <c r="H150" s="217">
        <f>H18</f>
        <v>2710878.5636934135</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69804532.012824163</v>
      </c>
      <c r="E152" s="241">
        <f>SUM(E141:E150)</f>
        <v>28629954</v>
      </c>
      <c r="F152" s="241">
        <f>SUM(F141:F150)</f>
        <v>179230</v>
      </c>
      <c r="G152" s="241">
        <f>SUM(G141:G150)</f>
        <v>25777457.449130751</v>
      </c>
      <c r="H152" s="241">
        <f>SUM(H141:H150)</f>
        <v>75739753.563693419</v>
      </c>
    </row>
    <row r="154" spans="1:8" ht="18" customHeight="1" x14ac:dyDescent="0.55000000000000004">
      <c r="A154" s="183" t="s">
        <v>339</v>
      </c>
      <c r="B154" s="179" t="s">
        <v>340</v>
      </c>
      <c r="D154" s="242">
        <f>H152/E121</f>
        <v>8.884063828897748E-2</v>
      </c>
      <c r="H154" s="176" t="s">
        <v>247</v>
      </c>
    </row>
    <row r="155" spans="1:8" ht="18" customHeight="1" x14ac:dyDescent="0.55000000000000004">
      <c r="A155" s="183" t="s">
        <v>341</v>
      </c>
      <c r="B155" s="179" t="s">
        <v>342</v>
      </c>
      <c r="D155" s="242">
        <f>H152/E127</f>
        <v>0.53671981606404251</v>
      </c>
      <c r="H155" s="275" t="s">
        <v>247</v>
      </c>
    </row>
  </sheetData>
  <mergeCells count="2">
    <mergeCell ref="C2:D2"/>
    <mergeCell ref="B13:D13"/>
  </mergeCells>
  <hyperlinks>
    <hyperlink ref="C11" r:id="rId1" xr:uid="{6B92E82A-3E62-41EF-BD51-C06D222CD687}"/>
  </hyperlinks>
  <printOptions headings="1" gridLines="1"/>
  <pageMargins left="0.17" right="0.16" top="0.35" bottom="0.32" header="0.17" footer="0.17"/>
  <pageSetup scale="59" fitToHeight="3" orientation="landscape" horizontalDpi="4294967294" r:id="rId2"/>
  <headerFooter alignWithMargins="0"/>
  <rowBreaks count="4" manualBreakCount="4">
    <brk id="37" max="16383" man="1"/>
    <brk id="74" max="16383" man="1"/>
    <brk id="109" max="16383" man="1"/>
    <brk id="13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20D68-A9D5-492C-9A96-6BBFD83870DE}">
  <sheetPr codeName="Sheet3"/>
  <dimension ref="A1:D54"/>
  <sheetViews>
    <sheetView workbookViewId="0"/>
  </sheetViews>
  <sheetFormatPr defaultColWidth="9.15625" defaultRowHeight="14.4" x14ac:dyDescent="0.55000000000000004"/>
  <cols>
    <col min="1" max="1" width="22.83984375" style="7" customWidth="1"/>
    <col min="2" max="2" width="51.68359375" style="7" bestFit="1" customWidth="1"/>
    <col min="3" max="3" width="14.578125" style="7" customWidth="1"/>
    <col min="4" max="4" width="10.68359375" style="7" bestFit="1" customWidth="1"/>
    <col min="5" max="16384" width="9.15625" style="7"/>
  </cols>
  <sheetData>
    <row r="1" spans="1:4" x14ac:dyDescent="0.55000000000000004">
      <c r="A1" s="20" t="s">
        <v>712</v>
      </c>
    </row>
    <row r="2" spans="1:4" x14ac:dyDescent="0.55000000000000004">
      <c r="A2" s="21" t="s">
        <v>0</v>
      </c>
      <c r="B2" s="21" t="s">
        <v>1</v>
      </c>
      <c r="C2" s="21" t="s">
        <v>58</v>
      </c>
    </row>
    <row r="3" spans="1:4" x14ac:dyDescent="0.55000000000000004">
      <c r="A3" s="8">
        <v>210001</v>
      </c>
      <c r="B3" s="8" t="s">
        <v>5</v>
      </c>
      <c r="C3" s="9">
        <v>5964504.3399999999</v>
      </c>
    </row>
    <row r="4" spans="1:4" x14ac:dyDescent="0.55000000000000004">
      <c r="A4" s="11" t="s">
        <v>6</v>
      </c>
      <c r="B4" s="8" t="s">
        <v>7</v>
      </c>
      <c r="C4" s="9">
        <v>20877000</v>
      </c>
      <c r="D4" s="26"/>
    </row>
    <row r="5" spans="1:4" x14ac:dyDescent="0.55000000000000004">
      <c r="A5" s="11" t="s">
        <v>8</v>
      </c>
      <c r="B5" s="8" t="s">
        <v>9</v>
      </c>
      <c r="C5" s="9">
        <v>10022746.237809654</v>
      </c>
      <c r="D5" s="26"/>
    </row>
    <row r="6" spans="1:4" x14ac:dyDescent="0.55000000000000004">
      <c r="A6" s="8">
        <v>210004</v>
      </c>
      <c r="B6" s="8" t="s">
        <v>10</v>
      </c>
      <c r="C6" s="9">
        <v>24306971.979999997</v>
      </c>
    </row>
    <row r="7" spans="1:4" x14ac:dyDescent="0.55000000000000004">
      <c r="A7" s="8">
        <v>210005</v>
      </c>
      <c r="B7" s="8" t="s">
        <v>11</v>
      </c>
      <c r="C7" s="9">
        <v>4832900</v>
      </c>
      <c r="D7" s="20"/>
    </row>
    <row r="8" spans="1:4" x14ac:dyDescent="0.55000000000000004">
      <c r="A8" s="8">
        <v>210006</v>
      </c>
      <c r="B8" s="8" t="s">
        <v>12</v>
      </c>
      <c r="C8" s="9">
        <v>1430000</v>
      </c>
    </row>
    <row r="9" spans="1:4" x14ac:dyDescent="0.55000000000000004">
      <c r="A9" s="8">
        <v>210008</v>
      </c>
      <c r="B9" s="8" t="s">
        <v>13</v>
      </c>
      <c r="C9" s="9">
        <v>22257214</v>
      </c>
    </row>
    <row r="10" spans="1:4" x14ac:dyDescent="0.55000000000000004">
      <c r="A10" s="8">
        <v>210009</v>
      </c>
      <c r="B10" s="8" t="s">
        <v>14</v>
      </c>
      <c r="C10" s="9">
        <v>37793300</v>
      </c>
    </row>
    <row r="11" spans="1:4" x14ac:dyDescent="0.55000000000000004">
      <c r="A11" s="8">
        <v>210010</v>
      </c>
      <c r="B11" s="8" t="s">
        <v>15</v>
      </c>
      <c r="C11" s="9">
        <v>682626.2200000002</v>
      </c>
    </row>
    <row r="12" spans="1:4" x14ac:dyDescent="0.55000000000000004">
      <c r="A12" s="8">
        <v>210011</v>
      </c>
      <c r="B12" s="8" t="s">
        <v>16</v>
      </c>
      <c r="C12" s="9">
        <v>15371696.41</v>
      </c>
    </row>
    <row r="13" spans="1:4" x14ac:dyDescent="0.55000000000000004">
      <c r="A13" s="8">
        <v>210012</v>
      </c>
      <c r="B13" s="8" t="s">
        <v>17</v>
      </c>
      <c r="C13" s="9">
        <v>3243100</v>
      </c>
    </row>
    <row r="14" spans="1:4" x14ac:dyDescent="0.55000000000000004">
      <c r="A14" s="8">
        <v>210013</v>
      </c>
      <c r="B14" s="8" t="s">
        <v>18</v>
      </c>
      <c r="C14" s="9">
        <v>545409.95000000007</v>
      </c>
    </row>
    <row r="15" spans="1:4" x14ac:dyDescent="0.55000000000000004">
      <c r="A15" s="8">
        <v>210015</v>
      </c>
      <c r="B15" s="8" t="s">
        <v>19</v>
      </c>
      <c r="C15" s="9">
        <v>9875731.7999999989</v>
      </c>
    </row>
    <row r="16" spans="1:4" x14ac:dyDescent="0.55000000000000004">
      <c r="A16" s="8">
        <v>210016</v>
      </c>
      <c r="B16" s="8" t="s">
        <v>59</v>
      </c>
      <c r="C16" s="9">
        <v>11912200.75</v>
      </c>
    </row>
    <row r="17" spans="1:3" x14ac:dyDescent="0.55000000000000004">
      <c r="A17" s="8">
        <v>210017</v>
      </c>
      <c r="B17" s="8" t="s">
        <v>21</v>
      </c>
      <c r="C17" s="9">
        <v>2866759.5121730058</v>
      </c>
    </row>
    <row r="18" spans="1:3" x14ac:dyDescent="0.55000000000000004">
      <c r="A18" s="8">
        <v>210018</v>
      </c>
      <c r="B18" s="8" t="s">
        <v>22</v>
      </c>
      <c r="C18" s="9">
        <v>3346776.2100000004</v>
      </c>
    </row>
    <row r="19" spans="1:3" x14ac:dyDescent="0.55000000000000004">
      <c r="A19" s="8">
        <v>210019</v>
      </c>
      <c r="B19" s="8" t="s">
        <v>23</v>
      </c>
      <c r="C19" s="9">
        <v>12739920.999999998</v>
      </c>
    </row>
    <row r="20" spans="1:3" x14ac:dyDescent="0.55000000000000004">
      <c r="A20" s="8">
        <v>210022</v>
      </c>
      <c r="B20" s="8" t="s">
        <v>24</v>
      </c>
      <c r="C20" s="9">
        <v>5868370</v>
      </c>
    </row>
    <row r="21" spans="1:3" x14ac:dyDescent="0.55000000000000004">
      <c r="A21" s="8">
        <v>210023</v>
      </c>
      <c r="B21" s="8" t="s">
        <v>25</v>
      </c>
      <c r="C21" s="9">
        <v>3806489.0800000005</v>
      </c>
    </row>
    <row r="22" spans="1:3" x14ac:dyDescent="0.55000000000000004">
      <c r="A22" s="8">
        <v>210024</v>
      </c>
      <c r="B22" s="8" t="s">
        <v>26</v>
      </c>
      <c r="C22" s="9">
        <v>7263944.6399999997</v>
      </c>
    </row>
    <row r="23" spans="1:3" x14ac:dyDescent="0.55000000000000004">
      <c r="A23" s="8">
        <v>210027</v>
      </c>
      <c r="B23" s="8" t="s">
        <v>27</v>
      </c>
      <c r="C23" s="9">
        <v>12026960</v>
      </c>
    </row>
    <row r="24" spans="1:3" x14ac:dyDescent="0.55000000000000004">
      <c r="A24" s="8">
        <v>210028</v>
      </c>
      <c r="B24" s="8" t="s">
        <v>28</v>
      </c>
      <c r="C24" s="9">
        <v>3483120.0799999996</v>
      </c>
    </row>
    <row r="25" spans="1:3" x14ac:dyDescent="0.55000000000000004">
      <c r="A25" s="8">
        <v>210029</v>
      </c>
      <c r="B25" s="8" t="s">
        <v>29</v>
      </c>
      <c r="C25" s="9">
        <v>22241000</v>
      </c>
    </row>
    <row r="26" spans="1:3" x14ac:dyDescent="0.55000000000000004">
      <c r="A26" s="8">
        <v>210030</v>
      </c>
      <c r="B26" s="8" t="s">
        <v>30</v>
      </c>
      <c r="C26" s="9">
        <v>619435.73</v>
      </c>
    </row>
    <row r="27" spans="1:3" x14ac:dyDescent="0.55000000000000004">
      <c r="A27" s="8">
        <v>210032</v>
      </c>
      <c r="B27" s="8" t="s">
        <v>31</v>
      </c>
      <c r="C27" s="9">
        <v>1763814.2200000028</v>
      </c>
    </row>
    <row r="28" spans="1:3" x14ac:dyDescent="0.55000000000000004">
      <c r="A28" s="8">
        <v>210033</v>
      </c>
      <c r="B28" s="8" t="s">
        <v>32</v>
      </c>
      <c r="C28" s="9">
        <v>857000</v>
      </c>
    </row>
    <row r="29" spans="1:3" x14ac:dyDescent="0.55000000000000004">
      <c r="A29" s="8">
        <v>210034</v>
      </c>
      <c r="B29" s="8" t="s">
        <v>33</v>
      </c>
      <c r="C29" s="9">
        <v>3598222.98</v>
      </c>
    </row>
    <row r="30" spans="1:3" x14ac:dyDescent="0.55000000000000004">
      <c r="A30" s="8">
        <v>210035</v>
      </c>
      <c r="B30" s="8" t="s">
        <v>34</v>
      </c>
      <c r="C30" s="9">
        <v>1355000</v>
      </c>
    </row>
    <row r="31" spans="1:3" x14ac:dyDescent="0.55000000000000004">
      <c r="A31" s="8">
        <v>210037</v>
      </c>
      <c r="B31" s="8" t="s">
        <v>35</v>
      </c>
      <c r="C31" s="9">
        <v>3056991.0899999994</v>
      </c>
    </row>
    <row r="32" spans="1:3" x14ac:dyDescent="0.55000000000000004">
      <c r="A32" s="8">
        <v>210038</v>
      </c>
      <c r="B32" s="8" t="s">
        <v>36</v>
      </c>
      <c r="C32" s="9">
        <v>3929000</v>
      </c>
    </row>
    <row r="33" spans="1:3" x14ac:dyDescent="0.55000000000000004">
      <c r="A33" s="8">
        <v>210039</v>
      </c>
      <c r="B33" s="8" t="s">
        <v>37</v>
      </c>
      <c r="C33" s="9">
        <v>3510406</v>
      </c>
    </row>
    <row r="34" spans="1:3" x14ac:dyDescent="0.55000000000000004">
      <c r="A34" s="8">
        <v>210040</v>
      </c>
      <c r="B34" s="8" t="s">
        <v>38</v>
      </c>
      <c r="C34" s="9">
        <v>1379379</v>
      </c>
    </row>
    <row r="35" spans="1:3" x14ac:dyDescent="0.55000000000000004">
      <c r="A35" s="8">
        <v>210043</v>
      </c>
      <c r="B35" s="8" t="s">
        <v>39</v>
      </c>
      <c r="C35" s="9">
        <v>6901000</v>
      </c>
    </row>
    <row r="36" spans="1:3" x14ac:dyDescent="0.55000000000000004">
      <c r="A36" s="8">
        <v>210044</v>
      </c>
      <c r="B36" s="8" t="s">
        <v>40</v>
      </c>
      <c r="C36" s="9">
        <v>4545000</v>
      </c>
    </row>
    <row r="37" spans="1:3" x14ac:dyDescent="0.55000000000000004">
      <c r="A37" s="8">
        <v>210045</v>
      </c>
      <c r="B37" s="8" t="s">
        <v>41</v>
      </c>
      <c r="C37" s="22">
        <v>166400</v>
      </c>
    </row>
    <row r="38" spans="1:3" x14ac:dyDescent="0.55000000000000004">
      <c r="A38" s="8">
        <v>210048</v>
      </c>
      <c r="B38" s="8" t="s">
        <v>42</v>
      </c>
      <c r="C38" s="9">
        <v>5129000</v>
      </c>
    </row>
    <row r="39" spans="1:3" x14ac:dyDescent="0.55000000000000004">
      <c r="A39" s="8">
        <v>210049</v>
      </c>
      <c r="B39" s="8" t="s">
        <v>43</v>
      </c>
      <c r="C39" s="9">
        <v>3671000</v>
      </c>
    </row>
    <row r="40" spans="1:3" x14ac:dyDescent="0.55000000000000004">
      <c r="A40" s="8">
        <v>210051</v>
      </c>
      <c r="B40" s="8" t="s">
        <v>44</v>
      </c>
      <c r="C40" s="9">
        <v>6776100</v>
      </c>
    </row>
    <row r="41" spans="1:3" x14ac:dyDescent="0.55000000000000004">
      <c r="A41" s="8">
        <v>210056</v>
      </c>
      <c r="B41" s="14" t="s">
        <v>45</v>
      </c>
      <c r="C41" s="9">
        <v>5827941.2599999998</v>
      </c>
    </row>
    <row r="42" spans="1:3" x14ac:dyDescent="0.55000000000000004">
      <c r="A42" s="8">
        <v>210057</v>
      </c>
      <c r="B42" s="14" t="s">
        <v>46</v>
      </c>
      <c r="C42" s="9">
        <v>7659260.9999999981</v>
      </c>
    </row>
    <row r="43" spans="1:3" x14ac:dyDescent="0.55000000000000004">
      <c r="A43" s="8">
        <v>210058</v>
      </c>
      <c r="B43" s="14" t="s">
        <v>47</v>
      </c>
      <c r="C43" s="9">
        <v>1884000</v>
      </c>
    </row>
    <row r="44" spans="1:3" x14ac:dyDescent="0.55000000000000004">
      <c r="A44" s="8">
        <v>210060</v>
      </c>
      <c r="B44" s="14" t="s">
        <v>48</v>
      </c>
      <c r="C44" s="9">
        <v>613542.59</v>
      </c>
    </row>
    <row r="45" spans="1:3" x14ac:dyDescent="0.55000000000000004">
      <c r="A45" s="8">
        <v>210061</v>
      </c>
      <c r="B45" s="14" t="s">
        <v>49</v>
      </c>
      <c r="C45" s="9">
        <v>1099600</v>
      </c>
    </row>
    <row r="46" spans="1:3" x14ac:dyDescent="0.55000000000000004">
      <c r="A46" s="8">
        <v>210062</v>
      </c>
      <c r="B46" s="14" t="s">
        <v>50</v>
      </c>
      <c r="C46" s="9">
        <v>5579397.3100000005</v>
      </c>
    </row>
    <row r="47" spans="1:3" x14ac:dyDescent="0.55000000000000004">
      <c r="A47" s="8">
        <v>210063</v>
      </c>
      <c r="B47" s="14" t="s">
        <v>51</v>
      </c>
      <c r="C47" s="9">
        <v>6367648.54</v>
      </c>
    </row>
    <row r="48" spans="1:3" x14ac:dyDescent="0.55000000000000004">
      <c r="A48" s="8">
        <v>210064</v>
      </c>
      <c r="B48" s="14" t="s">
        <v>52</v>
      </c>
      <c r="C48" s="9">
        <v>918967</v>
      </c>
    </row>
    <row r="49" spans="1:3" x14ac:dyDescent="0.55000000000000004">
      <c r="A49" s="8">
        <v>210065</v>
      </c>
      <c r="B49" s="14" t="s">
        <v>53</v>
      </c>
      <c r="C49" s="9">
        <v>4743424.8000000007</v>
      </c>
    </row>
    <row r="50" spans="1:3" x14ac:dyDescent="0.55000000000000004">
      <c r="A50" s="8">
        <v>213300</v>
      </c>
      <c r="B50" s="14" t="s">
        <v>54</v>
      </c>
      <c r="C50" s="9">
        <v>33672.57999999998</v>
      </c>
    </row>
    <row r="51" spans="1:3" x14ac:dyDescent="0.55000000000000004">
      <c r="A51" s="8">
        <v>214000</v>
      </c>
      <c r="B51" s="14" t="s">
        <v>55</v>
      </c>
      <c r="C51" s="9">
        <v>4629792.5399999991</v>
      </c>
    </row>
    <row r="52" spans="1:3" x14ac:dyDescent="0.55000000000000004">
      <c r="A52" s="8">
        <v>214020</v>
      </c>
      <c r="B52" s="14" t="s">
        <v>694</v>
      </c>
      <c r="C52" s="9">
        <v>37631.85</v>
      </c>
    </row>
    <row r="53" spans="1:3" x14ac:dyDescent="0.55000000000000004">
      <c r="A53" s="8">
        <v>213029</v>
      </c>
      <c r="B53" s="14" t="s">
        <v>56</v>
      </c>
      <c r="C53" s="9">
        <v>0</v>
      </c>
    </row>
    <row r="54" spans="1:3" x14ac:dyDescent="0.55000000000000004">
      <c r="A54" s="23"/>
      <c r="B54" s="24" t="s">
        <v>57</v>
      </c>
      <c r="C54" s="25">
        <f>SUM(C3:C53)</f>
        <v>329411370.69998264</v>
      </c>
    </row>
  </sheetData>
  <pageMargins left="0.7" right="0.7" top="0.75" bottom="0.75" header="0.3" footer="0.3"/>
  <pageSetup orientation="portrait" horizontalDpi="4294967295" verticalDpi="4294967295"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F05FD-EC15-4A81-9068-41F35E3B317A}">
  <sheetPr codeName="Sheet21"/>
  <dimension ref="A1:K155"/>
  <sheetViews>
    <sheetView zoomScaleNormal="100" workbookViewId="0"/>
  </sheetViews>
  <sheetFormatPr defaultColWidth="9" defaultRowHeight="18" customHeight="1"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272" t="s">
        <v>393</v>
      </c>
      <c r="D5" s="247"/>
      <c r="E5" s="247"/>
      <c r="F5" s="208"/>
    </row>
    <row r="6" spans="1:8" ht="18" customHeight="1" x14ac:dyDescent="0.55000000000000004">
      <c r="B6" s="180" t="s">
        <v>237</v>
      </c>
      <c r="C6" s="276">
        <v>13</v>
      </c>
      <c r="D6" s="244"/>
      <c r="E6" s="244"/>
      <c r="F6" s="209"/>
    </row>
    <row r="7" spans="1:8" ht="18" customHeight="1" x14ac:dyDescent="0.55000000000000004">
      <c r="B7" s="180" t="s">
        <v>238</v>
      </c>
      <c r="C7" s="277">
        <v>406</v>
      </c>
      <c r="D7" s="246"/>
      <c r="E7" s="246"/>
      <c r="F7" s="210"/>
    </row>
    <row r="8" spans="1:8" ht="18" customHeight="1" x14ac:dyDescent="0.55000000000000004">
      <c r="C8" s="211"/>
      <c r="D8" s="211"/>
      <c r="E8" s="211"/>
      <c r="F8" s="212"/>
    </row>
    <row r="9" spans="1:8" ht="18" customHeight="1" x14ac:dyDescent="0.55000000000000004">
      <c r="B9" s="180" t="s">
        <v>239</v>
      </c>
      <c r="C9" s="277" t="s">
        <v>388</v>
      </c>
      <c r="D9" s="246"/>
      <c r="E9" s="246"/>
      <c r="F9" s="210"/>
    </row>
    <row r="10" spans="1:8" ht="18" customHeight="1" x14ac:dyDescent="0.55000000000000004">
      <c r="B10" s="180" t="s">
        <v>241</v>
      </c>
      <c r="C10" s="277" t="s">
        <v>389</v>
      </c>
      <c r="D10" s="246"/>
      <c r="E10" s="246"/>
      <c r="F10" s="210"/>
    </row>
    <row r="11" spans="1:8" ht="18" customHeight="1" x14ac:dyDescent="0.55000000000000004">
      <c r="B11" s="180" t="s">
        <v>243</v>
      </c>
      <c r="C11" s="277" t="s">
        <v>390</v>
      </c>
      <c r="D11" s="246"/>
      <c r="E11" s="246"/>
      <c r="F11" s="210"/>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10" ht="18" customHeight="1" x14ac:dyDescent="0.55000000000000004">
      <c r="A17" s="183" t="s">
        <v>101</v>
      </c>
      <c r="B17" s="179" t="s">
        <v>102</v>
      </c>
    </row>
    <row r="18" spans="1:10" ht="18" customHeight="1" x14ac:dyDescent="0.55000000000000004">
      <c r="A18" s="180" t="s">
        <v>103</v>
      </c>
      <c r="B18" s="176" t="s">
        <v>104</v>
      </c>
      <c r="D18" s="214">
        <v>866476.87255335809</v>
      </c>
      <c r="E18" s="214"/>
      <c r="F18" s="214" t="s">
        <v>247</v>
      </c>
      <c r="G18" s="214">
        <v>718110.17099038919</v>
      </c>
      <c r="H18" s="249">
        <f>(D18+E18)-G18</f>
        <v>148366.7015629689</v>
      </c>
    </row>
    <row r="19" spans="1:10" ht="45" customHeight="1" x14ac:dyDescent="0.55000000000000004">
      <c r="A19" s="178" t="s">
        <v>105</v>
      </c>
      <c r="B19" s="177"/>
      <c r="C19" s="177"/>
      <c r="D19" s="182" t="s">
        <v>99</v>
      </c>
      <c r="E19" s="182" t="s">
        <v>100</v>
      </c>
      <c r="F19" s="182" t="s">
        <v>431</v>
      </c>
      <c r="G19" s="182" t="s">
        <v>432</v>
      </c>
      <c r="H19" s="182" t="s">
        <v>244</v>
      </c>
    </row>
    <row r="20" spans="1:10" ht="18" customHeight="1" x14ac:dyDescent="0.55000000000000004">
      <c r="A20" s="183" t="s">
        <v>108</v>
      </c>
      <c r="B20" s="179" t="s">
        <v>109</v>
      </c>
    </row>
    <row r="21" spans="1:10" ht="18" customHeight="1" x14ac:dyDescent="0.55000000000000004">
      <c r="A21" s="180" t="s">
        <v>110</v>
      </c>
      <c r="B21" s="176" t="s">
        <v>111</v>
      </c>
      <c r="D21" s="184">
        <f>284967+1830+29391-E21</f>
        <v>272581</v>
      </c>
      <c r="E21" s="216">
        <f>30532+196+12879</f>
        <v>43607</v>
      </c>
      <c r="F21" s="216"/>
      <c r="G21" s="184">
        <v>2246</v>
      </c>
      <c r="H21" s="217">
        <f>(D21+E21)-F21-G21</f>
        <v>313942</v>
      </c>
    </row>
    <row r="22" spans="1:10" ht="18" customHeight="1" x14ac:dyDescent="0.55000000000000004">
      <c r="A22" s="180" t="s">
        <v>112</v>
      </c>
      <c r="B22" s="176" t="s">
        <v>113</v>
      </c>
      <c r="D22" s="184"/>
      <c r="E22" s="216"/>
      <c r="F22" s="216"/>
      <c r="G22" s="184"/>
      <c r="H22" s="217">
        <f t="shared" ref="H22:H34" si="0">(D22+E22)-F22-G22</f>
        <v>0</v>
      </c>
    </row>
    <row r="23" spans="1:10" ht="18" customHeight="1" x14ac:dyDescent="0.55000000000000004">
      <c r="A23" s="180" t="s">
        <v>114</v>
      </c>
      <c r="B23" s="176" t="s">
        <v>115</v>
      </c>
      <c r="D23" s="184"/>
      <c r="E23" s="216"/>
      <c r="F23" s="216"/>
      <c r="G23" s="184"/>
      <c r="H23" s="217">
        <f t="shared" si="0"/>
        <v>0</v>
      </c>
    </row>
    <row r="24" spans="1:10" ht="18" customHeight="1" x14ac:dyDescent="0.55000000000000004">
      <c r="A24" s="180" t="s">
        <v>116</v>
      </c>
      <c r="B24" s="176" t="s">
        <v>117</v>
      </c>
      <c r="D24" s="184">
        <f>179574-78690</f>
        <v>100884</v>
      </c>
      <c r="E24" s="216">
        <v>78690</v>
      </c>
      <c r="F24" s="216"/>
      <c r="G24" s="184">
        <v>111965</v>
      </c>
      <c r="H24" s="217">
        <f t="shared" si="0"/>
        <v>67609</v>
      </c>
      <c r="I24" s="278" t="s">
        <v>247</v>
      </c>
    </row>
    <row r="25" spans="1:10" ht="18" customHeight="1" x14ac:dyDescent="0.55000000000000004">
      <c r="A25" s="180" t="s">
        <v>118</v>
      </c>
      <c r="B25" s="176" t="s">
        <v>119</v>
      </c>
      <c r="D25" s="184"/>
      <c r="E25" s="216"/>
      <c r="F25" s="216"/>
      <c r="G25" s="184"/>
      <c r="H25" s="217">
        <f t="shared" si="0"/>
        <v>0</v>
      </c>
      <c r="I25" t="s">
        <v>247</v>
      </c>
    </row>
    <row r="26" spans="1:10" ht="18" customHeight="1" x14ac:dyDescent="0.55000000000000004">
      <c r="A26" s="180" t="s">
        <v>120</v>
      </c>
      <c r="B26" s="176" t="s">
        <v>121</v>
      </c>
      <c r="D26" s="184"/>
      <c r="E26" s="216"/>
      <c r="F26" s="216"/>
      <c r="G26" s="184"/>
      <c r="H26" s="217">
        <f t="shared" si="0"/>
        <v>0</v>
      </c>
      <c r="I26" s="278" t="s">
        <v>247</v>
      </c>
    </row>
    <row r="27" spans="1:10" ht="18" customHeight="1" x14ac:dyDescent="0.55000000000000004">
      <c r="A27" s="180" t="s">
        <v>122</v>
      </c>
      <c r="B27" s="176" t="s">
        <v>246</v>
      </c>
      <c r="D27" s="184"/>
      <c r="E27" s="216"/>
      <c r="F27" s="216"/>
      <c r="G27" s="184"/>
      <c r="H27" s="217">
        <f t="shared" si="0"/>
        <v>0</v>
      </c>
    </row>
    <row r="28" spans="1:10" ht="18" customHeight="1" x14ac:dyDescent="0.55000000000000004">
      <c r="A28" s="180" t="s">
        <v>124</v>
      </c>
      <c r="B28" s="176" t="s">
        <v>125</v>
      </c>
      <c r="D28" s="184"/>
      <c r="E28" s="216"/>
      <c r="F28" s="216"/>
      <c r="G28" s="184"/>
      <c r="H28" s="217">
        <f t="shared" si="0"/>
        <v>0</v>
      </c>
    </row>
    <row r="29" spans="1:10" ht="18" customHeight="1" x14ac:dyDescent="0.55000000000000004">
      <c r="A29" s="180" t="s">
        <v>126</v>
      </c>
      <c r="B29" s="176" t="s">
        <v>127</v>
      </c>
      <c r="D29" s="184">
        <f>64183</f>
        <v>64183</v>
      </c>
      <c r="E29" s="216"/>
      <c r="F29" s="216"/>
      <c r="G29" s="184"/>
      <c r="H29" s="217">
        <f t="shared" si="0"/>
        <v>64183</v>
      </c>
    </row>
    <row r="30" spans="1:10" ht="18" customHeight="1" x14ac:dyDescent="0.55000000000000004">
      <c r="A30" s="180" t="s">
        <v>128</v>
      </c>
      <c r="B30" s="185"/>
      <c r="D30" s="184"/>
      <c r="E30" s="216"/>
      <c r="F30" s="216"/>
      <c r="G30" s="184"/>
      <c r="H30" s="217">
        <f t="shared" si="0"/>
        <v>0</v>
      </c>
    </row>
    <row r="31" spans="1:10" ht="18" customHeight="1" x14ac:dyDescent="0.55000000000000004">
      <c r="A31" s="180" t="s">
        <v>130</v>
      </c>
      <c r="B31" s="185"/>
      <c r="D31" s="184"/>
      <c r="E31" s="216"/>
      <c r="F31" s="216"/>
      <c r="G31" s="184"/>
      <c r="H31" s="217">
        <f t="shared" si="0"/>
        <v>0</v>
      </c>
    </row>
    <row r="32" spans="1:10" ht="18" customHeight="1" x14ac:dyDescent="0.55000000000000004">
      <c r="A32" s="180" t="s">
        <v>131</v>
      </c>
      <c r="B32" s="185"/>
      <c r="D32" s="184"/>
      <c r="E32" s="216"/>
      <c r="F32" s="216"/>
      <c r="G32" s="184"/>
      <c r="H32" s="217">
        <f t="shared" si="0"/>
        <v>0</v>
      </c>
      <c r="J32" s="275" t="s">
        <v>247</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437648</v>
      </c>
      <c r="E36" s="217">
        <f>SUM(E21:E34)</f>
        <v>122297</v>
      </c>
      <c r="F36" s="217">
        <f>SUM(F21:F34)</f>
        <v>0</v>
      </c>
      <c r="G36" s="217">
        <f>SUM(G21:G34)</f>
        <v>114211</v>
      </c>
      <c r="H36" s="217">
        <f>SUM(H21:H34)</f>
        <v>445734</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f>142035-E41</f>
        <v>79795</v>
      </c>
      <c r="E41" s="216">
        <v>62240</v>
      </c>
      <c r="F41" s="216"/>
      <c r="G41" s="184"/>
      <c r="H41" s="217">
        <f t="shared" ref="H41:H47" si="1">(D41+E41)-F41-G41</f>
        <v>142035</v>
      </c>
    </row>
    <row r="42" spans="1:8" ht="18" customHeight="1" x14ac:dyDescent="0.55000000000000004">
      <c r="A42" s="180" t="s">
        <v>252</v>
      </c>
      <c r="B42" s="176" t="s">
        <v>143</v>
      </c>
      <c r="D42" s="184"/>
      <c r="E42" s="216"/>
      <c r="F42" s="216"/>
      <c r="G42" s="184"/>
      <c r="H42" s="217">
        <f t="shared" si="1"/>
        <v>0</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79795</v>
      </c>
      <c r="E49" s="217">
        <f>SUM(E40:E47)</f>
        <v>62240</v>
      </c>
      <c r="F49" s="217">
        <f>SUM(F40:F47)</f>
        <v>0</v>
      </c>
      <c r="G49" s="217">
        <f>SUM(G40:G47)</f>
        <v>0</v>
      </c>
      <c r="H49" s="217">
        <f>SUM(H40:H47)</f>
        <v>142035</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79">
        <f>282579+1648406</f>
        <v>1930985</v>
      </c>
      <c r="E53" s="222"/>
      <c r="F53" s="222"/>
      <c r="G53" s="222"/>
      <c r="H53" s="217">
        <f>(D53+E53)-F53-G53</f>
        <v>1930985</v>
      </c>
    </row>
    <row r="54" spans="1:8" ht="18" customHeight="1" x14ac:dyDescent="0.55000000000000004">
      <c r="A54" s="180" t="s">
        <v>259</v>
      </c>
      <c r="B54" s="193" t="s">
        <v>472</v>
      </c>
      <c r="D54" s="184">
        <f>9314514-2564866</f>
        <v>6749648</v>
      </c>
      <c r="E54" s="216">
        <v>2564866</v>
      </c>
      <c r="F54" s="216"/>
      <c r="G54" s="184">
        <v>6439640</v>
      </c>
      <c r="H54" s="217">
        <f t="shared" ref="H54:H62" si="2">(D54+E54)-F54-G54</f>
        <v>2874874</v>
      </c>
    </row>
    <row r="55" spans="1:8" ht="18" customHeight="1" x14ac:dyDescent="0.55000000000000004">
      <c r="A55" s="180" t="s">
        <v>260</v>
      </c>
      <c r="B55" s="194"/>
      <c r="D55" s="184"/>
      <c r="E55" s="216"/>
      <c r="F55" s="216"/>
      <c r="G55" s="184"/>
      <c r="H55" s="217">
        <f t="shared" si="2"/>
        <v>0</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8680633</v>
      </c>
      <c r="E64" s="217">
        <f>SUM(E53:E62)</f>
        <v>2564866</v>
      </c>
      <c r="F64" s="217">
        <f>SUM(F53:F62)</f>
        <v>0</v>
      </c>
      <c r="G64" s="217">
        <f>SUM(G53:G62)</f>
        <v>6439640</v>
      </c>
      <c r="H64" s="217">
        <f>SUM(H53:H62)</f>
        <v>4805859</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v>60145</v>
      </c>
      <c r="E79" s="230"/>
      <c r="F79" s="220"/>
      <c r="G79" s="184"/>
      <c r="H79" s="217">
        <f>(D79-F79-G79)+E79</f>
        <v>60145</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60145</v>
      </c>
      <c r="E82" s="231">
        <f>SUM(E77:E81)</f>
        <v>0</v>
      </c>
      <c r="F82" s="217">
        <f>SUM(F77:F80)</f>
        <v>0</v>
      </c>
      <c r="G82" s="217">
        <f>SUM(G77:G80)</f>
        <v>0</v>
      </c>
      <c r="H82" s="217">
        <f>SUM(H77:H80)</f>
        <v>60145</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c r="E88" s="216"/>
      <c r="F88" s="216"/>
      <c r="G88" s="184"/>
      <c r="H88" s="217">
        <f t="shared" si="3"/>
        <v>0</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c r="E91" s="216"/>
      <c r="F91" s="216"/>
      <c r="G91" s="184"/>
      <c r="H91" s="217">
        <f t="shared" si="3"/>
        <v>0</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0</v>
      </c>
      <c r="E98" s="217">
        <f>SUM(E86:E96)</f>
        <v>0</v>
      </c>
      <c r="F98" s="217">
        <f>SUM(F86:F96)</f>
        <v>0</v>
      </c>
      <c r="G98" s="217">
        <f>SUM(G86:G96)</f>
        <v>0</v>
      </c>
      <c r="H98" s="217">
        <f>SUM(H86:H96)</f>
        <v>0</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c r="E102" s="216"/>
      <c r="F102" s="216"/>
      <c r="G102" s="184"/>
      <c r="H102" s="217">
        <f>(D102+E102)-F102-G102</f>
        <v>0</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0</v>
      </c>
      <c r="E108" s="217">
        <f>SUM(E102:E106)</f>
        <v>0</v>
      </c>
      <c r="F108" s="217">
        <f>SUM(F102:F106)</f>
        <v>0</v>
      </c>
      <c r="G108" s="217">
        <f>SUM(G102:G106)</f>
        <v>0</v>
      </c>
      <c r="H108" s="217">
        <f>SUM(H102:H106)</f>
        <v>0</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f>195925+9401-60612+41171+359392</f>
        <v>545277</v>
      </c>
      <c r="G111" s="184"/>
      <c r="H111" s="217">
        <f>F111-G111</f>
        <v>545277</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0.78</v>
      </c>
      <c r="F114" s="235" t="s">
        <v>429</v>
      </c>
      <c r="G114" s="236">
        <v>0.12</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33924000</v>
      </c>
      <c r="F117" s="237"/>
    </row>
    <row r="118" spans="1:7" ht="18" customHeight="1" x14ac:dyDescent="0.55000000000000004">
      <c r="A118" s="180" t="s">
        <v>319</v>
      </c>
      <c r="B118" s="176" t="s">
        <v>320</v>
      </c>
      <c r="E118" s="184">
        <v>8135000</v>
      </c>
      <c r="F118" s="237"/>
    </row>
    <row r="119" spans="1:7" ht="18" customHeight="1" x14ac:dyDescent="0.55000000000000004">
      <c r="A119" s="180" t="s">
        <v>321</v>
      </c>
      <c r="B119" s="179" t="s">
        <v>322</v>
      </c>
      <c r="E119" s="217">
        <f>SUM(E117:E118)</f>
        <v>42059000</v>
      </c>
      <c r="F119" s="238"/>
    </row>
    <row r="120" spans="1:7" ht="18" customHeight="1" x14ac:dyDescent="0.55000000000000004">
      <c r="A120" s="180"/>
      <c r="B120" s="179"/>
      <c r="F120" s="212"/>
    </row>
    <row r="121" spans="1:7" ht="18" customHeight="1" x14ac:dyDescent="0.55000000000000004">
      <c r="A121" s="180" t="s">
        <v>323</v>
      </c>
      <c r="B121" s="179" t="s">
        <v>324</v>
      </c>
      <c r="E121" s="184">
        <v>66425000</v>
      </c>
      <c r="F121" s="237"/>
    </row>
    <row r="122" spans="1:7" ht="18" customHeight="1" x14ac:dyDescent="0.55000000000000004">
      <c r="A122" s="180"/>
      <c r="F122" s="212"/>
    </row>
    <row r="123" spans="1:7" ht="18" customHeight="1" x14ac:dyDescent="0.55000000000000004">
      <c r="A123" s="180" t="s">
        <v>325</v>
      </c>
      <c r="B123" s="179" t="s">
        <v>326</v>
      </c>
      <c r="E123" s="184">
        <f>E119-E121</f>
        <v>-24366000</v>
      </c>
      <c r="F123" s="237"/>
    </row>
    <row r="124" spans="1:7" ht="18" customHeight="1" x14ac:dyDescent="0.55000000000000004">
      <c r="A124" s="180"/>
      <c r="F124" s="212"/>
    </row>
    <row r="125" spans="1:7" ht="18" customHeight="1" x14ac:dyDescent="0.55000000000000004">
      <c r="A125" s="180" t="s">
        <v>327</v>
      </c>
      <c r="B125" s="179" t="s">
        <v>328</v>
      </c>
      <c r="E125" s="184">
        <v>-78000</v>
      </c>
      <c r="F125" s="237"/>
    </row>
    <row r="126" spans="1:7" ht="18" customHeight="1" x14ac:dyDescent="0.55000000000000004">
      <c r="A126" s="180"/>
      <c r="F126" s="212"/>
    </row>
    <row r="127" spans="1:7" ht="18" customHeight="1" x14ac:dyDescent="0.55000000000000004">
      <c r="A127" s="180" t="s">
        <v>329</v>
      </c>
      <c r="B127" s="179" t="s">
        <v>330</v>
      </c>
      <c r="E127" s="184">
        <f>E123+E125</f>
        <v>-24444000</v>
      </c>
      <c r="F127" s="237"/>
    </row>
    <row r="128" spans="1:7" ht="18" customHeight="1" x14ac:dyDescent="0.55000000000000004">
      <c r="A128" s="180"/>
    </row>
    <row r="129" spans="1:11" ht="42.75" customHeight="1" x14ac:dyDescent="0.55000000000000004">
      <c r="D129" s="182" t="s">
        <v>99</v>
      </c>
      <c r="E129" s="182" t="s">
        <v>100</v>
      </c>
      <c r="F129" s="182" t="s">
        <v>431</v>
      </c>
      <c r="G129" s="182" t="s">
        <v>432</v>
      </c>
      <c r="H129" s="182" t="s">
        <v>244</v>
      </c>
    </row>
    <row r="130" spans="1:11" ht="18" customHeight="1" x14ac:dyDescent="0.55000000000000004">
      <c r="A130" s="183" t="s">
        <v>331</v>
      </c>
      <c r="B130" s="179" t="s">
        <v>208</v>
      </c>
    </row>
    <row r="131" spans="1:11" ht="18" customHeight="1" x14ac:dyDescent="0.55000000000000004">
      <c r="A131" s="180" t="s">
        <v>332</v>
      </c>
      <c r="B131" s="176" t="s">
        <v>210</v>
      </c>
      <c r="D131" s="184"/>
      <c r="E131" s="216"/>
      <c r="F131" s="216"/>
      <c r="G131" s="184"/>
      <c r="H131" s="217">
        <f>(D131+E131)-F131-G131</f>
        <v>0</v>
      </c>
    </row>
    <row r="132" spans="1:11" ht="18" customHeight="1" x14ac:dyDescent="0.55000000000000004">
      <c r="A132" s="180" t="s">
        <v>333</v>
      </c>
      <c r="B132" s="176" t="s">
        <v>68</v>
      </c>
      <c r="D132" s="184"/>
      <c r="E132" s="216"/>
      <c r="F132" s="216"/>
      <c r="G132" s="184"/>
      <c r="H132" s="217">
        <f>(D132+E132)-F132-G132</f>
        <v>0</v>
      </c>
    </row>
    <row r="133" spans="1:11" ht="18" customHeight="1" x14ac:dyDescent="0.55000000000000004">
      <c r="A133" s="180" t="s">
        <v>334</v>
      </c>
      <c r="B133" s="185"/>
      <c r="D133" s="184"/>
      <c r="E133" s="216"/>
      <c r="F133" s="216"/>
      <c r="G133" s="184"/>
      <c r="H133" s="217">
        <f>(D133+E133)-F133-G133</f>
        <v>0</v>
      </c>
    </row>
    <row r="134" spans="1:11" ht="18" customHeight="1" x14ac:dyDescent="0.55000000000000004">
      <c r="A134" s="180" t="s">
        <v>335</v>
      </c>
      <c r="B134" s="185"/>
      <c r="D134" s="184"/>
      <c r="E134" s="216"/>
      <c r="F134" s="216"/>
      <c r="G134" s="184"/>
      <c r="H134" s="217">
        <f>(D134+E134)-F134-G134</f>
        <v>0</v>
      </c>
    </row>
    <row r="135" spans="1:11" ht="18" customHeight="1" x14ac:dyDescent="0.55000000000000004">
      <c r="A135" s="180" t="s">
        <v>336</v>
      </c>
      <c r="B135" s="185"/>
      <c r="D135" s="184"/>
      <c r="E135" s="216"/>
      <c r="F135" s="216"/>
      <c r="G135" s="184"/>
      <c r="H135" s="217">
        <f>(D135+E135)-F135-G135</f>
        <v>0</v>
      </c>
    </row>
    <row r="136" spans="1:11" ht="18" customHeight="1" x14ac:dyDescent="0.55000000000000004">
      <c r="A136" s="183"/>
    </row>
    <row r="137" spans="1:11"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11" ht="18" customHeight="1" x14ac:dyDescent="0.55000000000000004">
      <c r="A138" s="176"/>
    </row>
    <row r="139" spans="1:11" ht="42.75" customHeight="1" x14ac:dyDescent="0.55000000000000004">
      <c r="D139" s="182" t="s">
        <v>99</v>
      </c>
      <c r="E139" s="182" t="s">
        <v>100</v>
      </c>
      <c r="F139" s="182" t="s">
        <v>431</v>
      </c>
      <c r="G139" s="182" t="s">
        <v>432</v>
      </c>
      <c r="H139" s="182" t="s">
        <v>244</v>
      </c>
    </row>
    <row r="140" spans="1:11" ht="18" customHeight="1" x14ac:dyDescent="0.55000000000000004">
      <c r="A140" s="183" t="s">
        <v>338</v>
      </c>
      <c r="B140" s="179" t="s">
        <v>217</v>
      </c>
    </row>
    <row r="141" spans="1:11" ht="18" customHeight="1" x14ac:dyDescent="0.55000000000000004">
      <c r="A141" s="180" t="s">
        <v>134</v>
      </c>
      <c r="B141" s="179" t="s">
        <v>66</v>
      </c>
      <c r="D141" s="239">
        <f>D36</f>
        <v>437648</v>
      </c>
      <c r="E141" s="239">
        <f>E36</f>
        <v>122297</v>
      </c>
      <c r="F141" s="239">
        <f>F36</f>
        <v>0</v>
      </c>
      <c r="G141" s="239">
        <f>G36</f>
        <v>114211</v>
      </c>
      <c r="H141" s="239">
        <f>H36</f>
        <v>445734</v>
      </c>
      <c r="I141" s="280" t="s">
        <v>247</v>
      </c>
      <c r="J141" s="176" t="s">
        <v>247</v>
      </c>
      <c r="K141" s="275" t="s">
        <v>247</v>
      </c>
    </row>
    <row r="142" spans="1:11" ht="18" customHeight="1" x14ac:dyDescent="0.55000000000000004">
      <c r="A142" s="180" t="s">
        <v>150</v>
      </c>
      <c r="B142" s="179" t="s">
        <v>220</v>
      </c>
      <c r="D142" s="239">
        <f>D49</f>
        <v>79795</v>
      </c>
      <c r="E142" s="239">
        <f>E49</f>
        <v>62240</v>
      </c>
      <c r="F142" s="239">
        <f>F49</f>
        <v>0</v>
      </c>
      <c r="G142" s="239">
        <f>G49</f>
        <v>0</v>
      </c>
      <c r="H142" s="239">
        <f>H49</f>
        <v>142035</v>
      </c>
    </row>
    <row r="143" spans="1:11" ht="18" customHeight="1" x14ac:dyDescent="0.55000000000000004">
      <c r="A143" s="180" t="s">
        <v>269</v>
      </c>
      <c r="B143" s="179" t="s">
        <v>222</v>
      </c>
      <c r="D143" s="239">
        <f>D64</f>
        <v>8680633</v>
      </c>
      <c r="E143" s="239">
        <f>E64</f>
        <v>2564866</v>
      </c>
      <c r="F143" s="239">
        <f>F64</f>
        <v>0</v>
      </c>
      <c r="G143" s="239">
        <f>G64</f>
        <v>6439640</v>
      </c>
      <c r="H143" s="239">
        <f>H64</f>
        <v>4805859</v>
      </c>
    </row>
    <row r="144" spans="1:11"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60145</v>
      </c>
      <c r="E145" s="239">
        <f>E82</f>
        <v>0</v>
      </c>
      <c r="F145" s="239">
        <f>F82</f>
        <v>0</v>
      </c>
      <c r="G145" s="239">
        <f>G82</f>
        <v>0</v>
      </c>
      <c r="H145" s="239">
        <f>H82</f>
        <v>60145</v>
      </c>
    </row>
    <row r="146" spans="1:8" ht="18" customHeight="1" x14ac:dyDescent="0.55000000000000004">
      <c r="A146" s="180" t="s">
        <v>193</v>
      </c>
      <c r="B146" s="179" t="s">
        <v>226</v>
      </c>
      <c r="D146" s="239">
        <f>D98</f>
        <v>0</v>
      </c>
      <c r="E146" s="239">
        <f>E98</f>
        <v>0</v>
      </c>
      <c r="F146" s="239">
        <f>F98</f>
        <v>0</v>
      </c>
      <c r="G146" s="239">
        <f>G98</f>
        <v>0</v>
      </c>
      <c r="H146" s="239">
        <f>H98</f>
        <v>0</v>
      </c>
    </row>
    <row r="147" spans="1:8" ht="18" customHeight="1" x14ac:dyDescent="0.55000000000000004">
      <c r="A147" s="180" t="s">
        <v>204</v>
      </c>
      <c r="B147" s="179" t="s">
        <v>71</v>
      </c>
      <c r="D147" s="217">
        <f>D108</f>
        <v>0</v>
      </c>
      <c r="E147" s="217">
        <f>E108</f>
        <v>0</v>
      </c>
      <c r="F147" s="217">
        <f>F108</f>
        <v>0</v>
      </c>
      <c r="G147" s="217">
        <f>G108</f>
        <v>0</v>
      </c>
      <c r="H147" s="217">
        <f>H108</f>
        <v>0</v>
      </c>
    </row>
    <row r="148" spans="1:8" ht="18" customHeight="1" x14ac:dyDescent="0.55000000000000004">
      <c r="A148" s="180" t="s">
        <v>310</v>
      </c>
      <c r="B148" s="179" t="s">
        <v>58</v>
      </c>
      <c r="D148" s="240" t="s">
        <v>245</v>
      </c>
      <c r="E148" s="240" t="s">
        <v>245</v>
      </c>
      <c r="F148" s="240"/>
      <c r="G148" s="240" t="s">
        <v>245</v>
      </c>
      <c r="H148" s="239">
        <f>H111</f>
        <v>545277</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866476.87255335809</v>
      </c>
      <c r="E150" s="217">
        <f>E18</f>
        <v>0</v>
      </c>
      <c r="F150" s="217" t="str">
        <f>F18</f>
        <v xml:space="preserve"> </v>
      </c>
      <c r="G150" s="217">
        <f>G18</f>
        <v>718110.17099038919</v>
      </c>
      <c r="H150" s="217">
        <f>H18</f>
        <v>148366.7015629689</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10124697.872553358</v>
      </c>
      <c r="E152" s="241">
        <f>SUM(E141:E150)</f>
        <v>2749403</v>
      </c>
      <c r="F152" s="241">
        <f>SUM(F141:F150)</f>
        <v>0</v>
      </c>
      <c r="G152" s="241">
        <f>SUM(G141:G150)</f>
        <v>7271961.1709903888</v>
      </c>
      <c r="H152" s="241">
        <f>SUM(H141:H150)</f>
        <v>6147416.701562969</v>
      </c>
    </row>
    <row r="154" spans="1:8" ht="18" customHeight="1" x14ac:dyDescent="0.55000000000000004">
      <c r="A154" s="183" t="s">
        <v>339</v>
      </c>
      <c r="B154" s="179" t="s">
        <v>340</v>
      </c>
      <c r="D154" s="242">
        <f>H152/E121</f>
        <v>9.2546732428497841E-2</v>
      </c>
      <c r="E154" s="275" t="s">
        <v>247</v>
      </c>
    </row>
    <row r="155" spans="1:8" ht="18" customHeight="1" x14ac:dyDescent="0.55000000000000004">
      <c r="A155" s="183" t="s">
        <v>341</v>
      </c>
      <c r="B155" s="179" t="s">
        <v>342</v>
      </c>
      <c r="D155" s="242">
        <f>H152/E127</f>
        <v>-0.25148980124214404</v>
      </c>
    </row>
  </sheetData>
  <mergeCells count="2">
    <mergeCell ref="C2:D2"/>
    <mergeCell ref="B13:D13"/>
  </mergeCells>
  <hyperlinks>
    <hyperlink ref="C11" r:id="rId1" xr:uid="{8C1CA0F6-173F-45A7-B123-813262A85593}"/>
  </hyperlinks>
  <printOptions headings="1" gridLines="1"/>
  <pageMargins left="0.17" right="0.16" top="0.35" bottom="0.32" header="0.17" footer="0.17"/>
  <pageSetup scale="59" fitToHeight="3" orientation="landscape" horizontalDpi="4294967294" r:id="rId2"/>
  <headerFooter alignWithMargins="0"/>
  <rowBreaks count="4" manualBreakCount="4">
    <brk id="37" max="16383" man="1"/>
    <brk id="74" max="16383" man="1"/>
    <brk id="109" max="16383" man="1"/>
    <brk id="13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3F45-7EF1-44EB-A6D8-79AC92EA3362}">
  <sheetPr codeName="Sheet22"/>
  <dimension ref="A1:J155"/>
  <sheetViews>
    <sheetView zoomScaleNormal="100" workbookViewId="0"/>
  </sheetViews>
  <sheetFormatPr defaultColWidth="9" defaultRowHeight="18" customHeight="1"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514" t="s">
        <v>699</v>
      </c>
      <c r="D2" s="515"/>
      <c r="E2" s="515"/>
      <c r="F2" s="515"/>
      <c r="G2" s="515"/>
    </row>
    <row r="3" spans="1:8" ht="18" customHeight="1" x14ac:dyDescent="0.55000000000000004">
      <c r="B3" s="179" t="s">
        <v>235</v>
      </c>
    </row>
    <row r="5" spans="1:8" ht="18" customHeight="1" x14ac:dyDescent="0.55000000000000004">
      <c r="B5" s="180" t="s">
        <v>236</v>
      </c>
      <c r="C5" s="501" t="s">
        <v>709</v>
      </c>
      <c r="D5" s="501"/>
      <c r="E5" s="501"/>
      <c r="F5" s="208"/>
    </row>
    <row r="6" spans="1:8" ht="18" customHeight="1" x14ac:dyDescent="0.55000000000000004">
      <c r="B6" s="180" t="s">
        <v>237</v>
      </c>
      <c r="C6" s="243">
        <v>210015</v>
      </c>
      <c r="D6" s="244"/>
      <c r="E6" s="244"/>
      <c r="F6" s="209"/>
    </row>
    <row r="7" spans="1:8" ht="18" customHeight="1" x14ac:dyDescent="0.55000000000000004">
      <c r="B7" s="180" t="s">
        <v>238</v>
      </c>
      <c r="C7" s="245">
        <v>2843</v>
      </c>
      <c r="D7" s="246"/>
      <c r="E7" s="246"/>
      <c r="F7" s="210"/>
    </row>
    <row r="8" spans="1:8" ht="18" customHeight="1" x14ac:dyDescent="0.55000000000000004">
      <c r="C8" s="211"/>
      <c r="D8" s="211"/>
      <c r="E8" s="211"/>
      <c r="F8" s="212"/>
    </row>
    <row r="9" spans="1:8" ht="18" customHeight="1" x14ac:dyDescent="0.55000000000000004">
      <c r="B9" s="180" t="s">
        <v>239</v>
      </c>
      <c r="C9" s="247" t="s">
        <v>701</v>
      </c>
      <c r="D9" s="247"/>
      <c r="E9" s="247"/>
      <c r="F9" s="208"/>
    </row>
    <row r="10" spans="1:8" ht="18" customHeight="1" x14ac:dyDescent="0.55000000000000004">
      <c r="B10" s="180" t="s">
        <v>241</v>
      </c>
      <c r="C10" s="248" t="s">
        <v>702</v>
      </c>
      <c r="D10" s="248"/>
      <c r="E10" s="248"/>
      <c r="F10" s="213"/>
    </row>
    <row r="11" spans="1:8" ht="18" customHeight="1" x14ac:dyDescent="0.55000000000000004">
      <c r="B11" s="180" t="s">
        <v>243</v>
      </c>
      <c r="C11" s="501" t="s">
        <v>706</v>
      </c>
      <c r="D11" s="501"/>
      <c r="E11" s="50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10676970.063673409</v>
      </c>
      <c r="E18" s="214"/>
      <c r="F18" s="214"/>
      <c r="G18" s="214">
        <v>8848754.1225304026</v>
      </c>
      <c r="H18" s="249">
        <f>(D18+E18)-G18</f>
        <v>1828215.9411430061</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23388</v>
      </c>
      <c r="E21" s="184">
        <v>3625</v>
      </c>
      <c r="F21" s="216"/>
      <c r="G21" s="184">
        <v>0</v>
      </c>
      <c r="H21" s="217">
        <v>27013</v>
      </c>
    </row>
    <row r="22" spans="1:8" ht="18" customHeight="1" x14ac:dyDescent="0.55000000000000004">
      <c r="A22" s="180" t="s">
        <v>112</v>
      </c>
      <c r="B22" s="176" t="s">
        <v>113</v>
      </c>
      <c r="D22" s="184">
        <v>20785</v>
      </c>
      <c r="E22" s="184">
        <v>0</v>
      </c>
      <c r="F22" s="216"/>
      <c r="G22" s="184">
        <v>0</v>
      </c>
      <c r="H22" s="217">
        <v>20785</v>
      </c>
    </row>
    <row r="23" spans="1:8" ht="18" customHeight="1" x14ac:dyDescent="0.55000000000000004">
      <c r="A23" s="180" t="s">
        <v>114</v>
      </c>
      <c r="B23" s="176" t="s">
        <v>115</v>
      </c>
      <c r="D23" s="184"/>
      <c r="E23" s="216"/>
      <c r="F23" s="216"/>
      <c r="G23" s="184"/>
      <c r="H23" s="217">
        <v>0</v>
      </c>
    </row>
    <row r="24" spans="1:8" ht="18" customHeight="1" x14ac:dyDescent="0.55000000000000004">
      <c r="A24" s="180" t="s">
        <v>116</v>
      </c>
      <c r="B24" s="176" t="s">
        <v>117</v>
      </c>
      <c r="D24" s="184"/>
      <c r="E24" s="216"/>
      <c r="F24" s="216"/>
      <c r="G24" s="184"/>
      <c r="H24" s="217">
        <v>0</v>
      </c>
    </row>
    <row r="25" spans="1:8" ht="18" customHeight="1" x14ac:dyDescent="0.55000000000000004">
      <c r="A25" s="180" t="s">
        <v>118</v>
      </c>
      <c r="B25" s="176" t="s">
        <v>119</v>
      </c>
      <c r="D25" s="184">
        <v>587238</v>
      </c>
      <c r="E25" s="184">
        <v>441217</v>
      </c>
      <c r="F25" s="216"/>
      <c r="G25" s="184">
        <v>267726</v>
      </c>
      <c r="H25" s="217">
        <v>760729</v>
      </c>
    </row>
    <row r="26" spans="1:8" ht="18" customHeight="1" x14ac:dyDescent="0.55000000000000004">
      <c r="A26" s="180" t="s">
        <v>120</v>
      </c>
      <c r="B26" s="176" t="s">
        <v>121</v>
      </c>
      <c r="D26" s="184"/>
      <c r="E26" s="184"/>
      <c r="F26" s="216"/>
      <c r="G26" s="184"/>
      <c r="H26" s="217">
        <v>0</v>
      </c>
    </row>
    <row r="27" spans="1:8" ht="18" customHeight="1" x14ac:dyDescent="0.55000000000000004">
      <c r="A27" s="180" t="s">
        <v>122</v>
      </c>
      <c r="B27" s="176" t="s">
        <v>246</v>
      </c>
      <c r="D27" s="184"/>
      <c r="E27" s="216"/>
      <c r="F27" s="216"/>
      <c r="G27" s="184"/>
      <c r="H27" s="217">
        <v>0</v>
      </c>
    </row>
    <row r="28" spans="1:8" ht="18" customHeight="1" x14ac:dyDescent="0.55000000000000004">
      <c r="A28" s="180" t="s">
        <v>124</v>
      </c>
      <c r="B28" s="176" t="s">
        <v>125</v>
      </c>
      <c r="D28" s="184"/>
      <c r="E28" s="216"/>
      <c r="F28" s="216"/>
      <c r="G28" s="184"/>
      <c r="H28" s="217">
        <v>0</v>
      </c>
    </row>
    <row r="29" spans="1:8" ht="18" customHeight="1" x14ac:dyDescent="0.55000000000000004">
      <c r="A29" s="180" t="s">
        <v>126</v>
      </c>
      <c r="B29" s="176" t="s">
        <v>127</v>
      </c>
      <c r="D29" s="184">
        <v>729988</v>
      </c>
      <c r="E29" s="184">
        <v>0</v>
      </c>
      <c r="F29" s="216"/>
      <c r="G29" s="184">
        <v>0</v>
      </c>
      <c r="H29" s="217">
        <v>729988</v>
      </c>
    </row>
    <row r="30" spans="1:8" ht="18" customHeight="1" x14ac:dyDescent="0.55000000000000004">
      <c r="A30" s="180" t="s">
        <v>128</v>
      </c>
      <c r="B30" s="185"/>
      <c r="D30" s="184"/>
      <c r="E30" s="216"/>
      <c r="F30" s="216"/>
      <c r="G30" s="184"/>
      <c r="H30" s="217">
        <v>0</v>
      </c>
    </row>
    <row r="31" spans="1:8" ht="18" customHeight="1" x14ac:dyDescent="0.55000000000000004">
      <c r="A31" s="180" t="s">
        <v>130</v>
      </c>
      <c r="B31" s="185"/>
      <c r="D31" s="184"/>
      <c r="E31" s="216"/>
      <c r="F31" s="216"/>
      <c r="G31" s="184"/>
      <c r="H31" s="217">
        <v>0</v>
      </c>
    </row>
    <row r="32" spans="1:8" ht="18" customHeight="1" x14ac:dyDescent="0.55000000000000004">
      <c r="A32" s="180" t="s">
        <v>131</v>
      </c>
      <c r="B32" s="185"/>
      <c r="D32" s="184"/>
      <c r="E32" s="216"/>
      <c r="F32" s="216"/>
      <c r="G32" s="184"/>
      <c r="H32" s="217">
        <v>0</v>
      </c>
    </row>
    <row r="33" spans="1:8" ht="18" customHeight="1" x14ac:dyDescent="0.55000000000000004">
      <c r="A33" s="180" t="s">
        <v>132</v>
      </c>
      <c r="B33" s="185"/>
      <c r="D33" s="184"/>
      <c r="E33" s="216"/>
      <c r="F33" s="216"/>
      <c r="G33" s="184"/>
      <c r="H33" s="217">
        <v>0</v>
      </c>
    </row>
    <row r="34" spans="1:8" ht="18" customHeight="1" x14ac:dyDescent="0.55000000000000004">
      <c r="A34" s="180" t="s">
        <v>133</v>
      </c>
      <c r="B34" s="185"/>
      <c r="D34" s="184"/>
      <c r="E34" s="216"/>
      <c r="F34" s="216"/>
      <c r="G34" s="184"/>
      <c r="H34" s="217">
        <v>0</v>
      </c>
    </row>
    <row r="35" spans="1:8" ht="18" customHeight="1" x14ac:dyDescent="0.55000000000000004">
      <c r="H35" s="186"/>
    </row>
    <row r="36" spans="1:8" ht="18" customHeight="1" x14ac:dyDescent="0.55000000000000004">
      <c r="A36" s="183" t="s">
        <v>134</v>
      </c>
      <c r="B36" s="179" t="s">
        <v>135</v>
      </c>
      <c r="C36" s="179" t="s">
        <v>248</v>
      </c>
      <c r="D36" s="217">
        <v>1361399</v>
      </c>
      <c r="E36" s="217">
        <v>444842</v>
      </c>
      <c r="F36" s="217">
        <v>0</v>
      </c>
      <c r="G36" s="217">
        <v>267726</v>
      </c>
      <c r="H36" s="217">
        <v>1538515</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11032887</v>
      </c>
      <c r="E40" s="184">
        <v>8329832</v>
      </c>
      <c r="F40" s="216"/>
      <c r="G40" s="184">
        <v>0</v>
      </c>
      <c r="H40" s="217">
        <v>19362719</v>
      </c>
    </row>
    <row r="41" spans="1:8" ht="18" customHeight="1" x14ac:dyDescent="0.55000000000000004">
      <c r="A41" s="180" t="s">
        <v>251</v>
      </c>
      <c r="B41" s="176" t="s">
        <v>141</v>
      </c>
      <c r="D41" s="184">
        <v>734210</v>
      </c>
      <c r="E41" s="184">
        <v>554329</v>
      </c>
      <c r="F41" s="216"/>
      <c r="G41" s="184">
        <v>0</v>
      </c>
      <c r="H41" s="217">
        <v>1288539</v>
      </c>
    </row>
    <row r="42" spans="1:8" ht="18" customHeight="1" x14ac:dyDescent="0.55000000000000004">
      <c r="A42" s="180" t="s">
        <v>252</v>
      </c>
      <c r="B42" s="176" t="s">
        <v>143</v>
      </c>
      <c r="D42" s="184">
        <v>93905</v>
      </c>
      <c r="E42" s="184">
        <v>70898</v>
      </c>
      <c r="F42" s="216"/>
      <c r="G42" s="184">
        <v>0</v>
      </c>
      <c r="H42" s="217">
        <v>164803</v>
      </c>
    </row>
    <row r="43" spans="1:8" ht="18" customHeight="1" x14ac:dyDescent="0.55000000000000004">
      <c r="A43" s="180" t="s">
        <v>253</v>
      </c>
      <c r="B43" s="176" t="s">
        <v>145</v>
      </c>
      <c r="D43" s="184"/>
      <c r="E43" s="216"/>
      <c r="F43" s="216"/>
      <c r="G43" s="184"/>
      <c r="H43" s="217">
        <v>0</v>
      </c>
    </row>
    <row r="44" spans="1:8" ht="18" customHeight="1" x14ac:dyDescent="0.55000000000000004">
      <c r="A44" s="180" t="s">
        <v>146</v>
      </c>
      <c r="B44" s="185"/>
      <c r="D44" s="219"/>
      <c r="E44" s="220"/>
      <c r="F44" s="220"/>
      <c r="G44" s="219"/>
      <c r="H44" s="217">
        <v>0</v>
      </c>
    </row>
    <row r="45" spans="1:8" ht="18" customHeight="1" x14ac:dyDescent="0.55000000000000004">
      <c r="A45" s="180" t="s">
        <v>147</v>
      </c>
      <c r="B45" s="185"/>
      <c r="D45" s="184"/>
      <c r="E45" s="216"/>
      <c r="F45" s="216"/>
      <c r="G45" s="184"/>
      <c r="H45" s="217">
        <v>0</v>
      </c>
    </row>
    <row r="46" spans="1:8" ht="18" customHeight="1" x14ac:dyDescent="0.55000000000000004">
      <c r="A46" s="180" t="s">
        <v>148</v>
      </c>
      <c r="B46" s="185"/>
      <c r="D46" s="184"/>
      <c r="E46" s="216"/>
      <c r="F46" s="216"/>
      <c r="G46" s="184"/>
      <c r="H46" s="217">
        <v>0</v>
      </c>
    </row>
    <row r="47" spans="1:8" ht="18" customHeight="1" x14ac:dyDescent="0.55000000000000004">
      <c r="A47" s="180" t="s">
        <v>149</v>
      </c>
      <c r="B47" s="185"/>
      <c r="D47" s="184"/>
      <c r="E47" s="216"/>
      <c r="F47" s="216"/>
      <c r="G47" s="184"/>
      <c r="H47" s="217">
        <v>0</v>
      </c>
    </row>
    <row r="49" spans="1:8" ht="18" customHeight="1" x14ac:dyDescent="0.55000000000000004">
      <c r="A49" s="183" t="s">
        <v>150</v>
      </c>
      <c r="B49" s="179" t="s">
        <v>254</v>
      </c>
      <c r="C49" s="179" t="s">
        <v>248</v>
      </c>
      <c r="D49" s="217">
        <v>11861002</v>
      </c>
      <c r="E49" s="217">
        <v>8955059</v>
      </c>
      <c r="F49" s="217">
        <v>0</v>
      </c>
      <c r="G49" s="217">
        <v>0</v>
      </c>
      <c r="H49" s="217">
        <v>20816061</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74">
        <v>34953780</v>
      </c>
      <c r="E53" s="274">
        <v>0</v>
      </c>
      <c r="F53" s="274">
        <v>0</v>
      </c>
      <c r="G53" s="274">
        <v>18721494</v>
      </c>
      <c r="H53" s="217">
        <v>16232286</v>
      </c>
    </row>
    <row r="54" spans="1:8" ht="18" customHeight="1" x14ac:dyDescent="0.55000000000000004">
      <c r="A54" s="180" t="s">
        <v>259</v>
      </c>
      <c r="B54" s="193"/>
      <c r="D54" s="184"/>
      <c r="E54" s="216"/>
      <c r="F54" s="216"/>
      <c r="G54" s="184"/>
      <c r="H54" s="217">
        <v>0</v>
      </c>
    </row>
    <row r="55" spans="1:8" ht="18" customHeight="1" x14ac:dyDescent="0.55000000000000004">
      <c r="A55" s="180" t="s">
        <v>260</v>
      </c>
      <c r="B55" s="194"/>
      <c r="D55" s="184"/>
      <c r="E55" s="216"/>
      <c r="F55" s="216"/>
      <c r="G55" s="184"/>
      <c r="H55" s="217">
        <v>0</v>
      </c>
    </row>
    <row r="56" spans="1:8" ht="18" customHeight="1" x14ac:dyDescent="0.55000000000000004">
      <c r="A56" s="180" t="s">
        <v>261</v>
      </c>
      <c r="B56" s="193"/>
      <c r="D56" s="184"/>
      <c r="E56" s="216"/>
      <c r="F56" s="216"/>
      <c r="G56" s="184"/>
      <c r="H56" s="217">
        <v>0</v>
      </c>
    </row>
    <row r="57" spans="1:8" ht="18" customHeight="1" x14ac:dyDescent="0.55000000000000004">
      <c r="A57" s="180" t="s">
        <v>263</v>
      </c>
      <c r="B57" s="193"/>
      <c r="D57" s="184"/>
      <c r="E57" s="216"/>
      <c r="F57" s="216"/>
      <c r="G57" s="184"/>
      <c r="H57" s="217">
        <v>0</v>
      </c>
    </row>
    <row r="58" spans="1:8" ht="18" customHeight="1" x14ac:dyDescent="0.55000000000000004">
      <c r="A58" s="180" t="s">
        <v>264</v>
      </c>
      <c r="B58" s="193"/>
      <c r="D58" s="184"/>
      <c r="E58" s="216"/>
      <c r="F58" s="216"/>
      <c r="G58" s="184"/>
      <c r="H58" s="217">
        <v>0</v>
      </c>
    </row>
    <row r="59" spans="1:8" ht="18" customHeight="1" x14ac:dyDescent="0.55000000000000004">
      <c r="A59" s="180" t="s">
        <v>265</v>
      </c>
      <c r="B59" s="223"/>
      <c r="D59" s="224"/>
      <c r="E59" s="225"/>
      <c r="F59" s="225"/>
      <c r="G59" s="224"/>
      <c r="H59" s="217">
        <v>0</v>
      </c>
    </row>
    <row r="60" spans="1:8" ht="18" customHeight="1" x14ac:dyDescent="0.55000000000000004">
      <c r="A60" s="180" t="s">
        <v>266</v>
      </c>
      <c r="B60" s="226"/>
      <c r="C60" s="212"/>
      <c r="D60" s="222"/>
      <c r="E60" s="222"/>
      <c r="F60" s="222"/>
      <c r="G60" s="222"/>
      <c r="H60" s="217">
        <v>0</v>
      </c>
    </row>
    <row r="61" spans="1:8" ht="18" customHeight="1" x14ac:dyDescent="0.55000000000000004">
      <c r="A61" s="180" t="s">
        <v>267</v>
      </c>
      <c r="B61" s="226"/>
      <c r="C61" s="212"/>
      <c r="D61" s="222"/>
      <c r="E61" s="222"/>
      <c r="F61" s="222"/>
      <c r="G61" s="222"/>
      <c r="H61" s="217">
        <v>0</v>
      </c>
    </row>
    <row r="62" spans="1:8" ht="18" customHeight="1" x14ac:dyDescent="0.55000000000000004">
      <c r="A62" s="180" t="s">
        <v>268</v>
      </c>
      <c r="B62" s="226"/>
      <c r="C62" s="212"/>
      <c r="D62" s="222"/>
      <c r="E62" s="222"/>
      <c r="F62" s="222"/>
      <c r="G62" s="222"/>
      <c r="H62" s="217">
        <v>0</v>
      </c>
    </row>
    <row r="63" spans="1:8" ht="18" customHeight="1" x14ac:dyDescent="0.55000000000000004">
      <c r="A63" s="180"/>
      <c r="E63" s="227"/>
      <c r="F63" s="192"/>
    </row>
    <row r="64" spans="1:8" ht="18" customHeight="1" x14ac:dyDescent="0.55000000000000004">
      <c r="A64" s="180" t="s">
        <v>269</v>
      </c>
      <c r="B64" s="179" t="s">
        <v>270</v>
      </c>
      <c r="C64" s="179" t="s">
        <v>248</v>
      </c>
      <c r="D64" s="217">
        <v>34953780</v>
      </c>
      <c r="E64" s="217">
        <v>0</v>
      </c>
      <c r="F64" s="217">
        <v>0</v>
      </c>
      <c r="G64" s="217">
        <v>18721494</v>
      </c>
      <c r="H64" s="217">
        <v>16232286</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v>0</v>
      </c>
      <c r="J68" s="254"/>
    </row>
    <row r="69" spans="1:10" ht="18" customHeight="1" x14ac:dyDescent="0.55000000000000004">
      <c r="A69" s="180" t="s">
        <v>273</v>
      </c>
      <c r="B69" s="176" t="s">
        <v>159</v>
      </c>
      <c r="D69" s="228"/>
      <c r="E69" s="216"/>
      <c r="F69" s="216"/>
      <c r="G69" s="228"/>
      <c r="H69" s="217">
        <v>0</v>
      </c>
    </row>
    <row r="70" spans="1:10" ht="18" customHeight="1" x14ac:dyDescent="0.55000000000000004">
      <c r="A70" s="180" t="s">
        <v>274</v>
      </c>
      <c r="B70" s="193"/>
      <c r="C70" s="179"/>
      <c r="D70" s="224"/>
      <c r="E70" s="216"/>
      <c r="F70" s="225"/>
      <c r="G70" s="224"/>
      <c r="H70" s="217">
        <v>0</v>
      </c>
    </row>
    <row r="71" spans="1:10" ht="18" customHeight="1" x14ac:dyDescent="0.55000000000000004">
      <c r="A71" s="180" t="s">
        <v>275</v>
      </c>
      <c r="B71" s="193"/>
      <c r="C71" s="179"/>
      <c r="D71" s="224"/>
      <c r="E71" s="216"/>
      <c r="F71" s="225"/>
      <c r="G71" s="224"/>
      <c r="H71" s="217">
        <v>0</v>
      </c>
    </row>
    <row r="72" spans="1:10" ht="18" customHeight="1" x14ac:dyDescent="0.55000000000000004">
      <c r="A72" s="180" t="s">
        <v>276</v>
      </c>
      <c r="B72" s="194"/>
      <c r="C72" s="179"/>
      <c r="D72" s="184"/>
      <c r="E72" s="216"/>
      <c r="F72" s="216"/>
      <c r="G72" s="184"/>
      <c r="H72" s="217">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v>0</v>
      </c>
      <c r="E74" s="229">
        <v>0</v>
      </c>
      <c r="F74" s="229">
        <v>0</v>
      </c>
      <c r="G74" s="217">
        <v>0</v>
      </c>
      <c r="H74" s="217">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12537</v>
      </c>
      <c r="E77" s="230">
        <v>0</v>
      </c>
      <c r="F77" s="220"/>
      <c r="G77" s="184">
        <v>0</v>
      </c>
      <c r="H77" s="217">
        <f>D77-G77</f>
        <v>12537</v>
      </c>
    </row>
    <row r="78" spans="1:10" ht="18" customHeight="1" x14ac:dyDescent="0.55000000000000004">
      <c r="A78" s="180" t="s">
        <v>281</v>
      </c>
      <c r="B78" s="176" t="s">
        <v>166</v>
      </c>
      <c r="D78" s="184">
        <v>293862</v>
      </c>
      <c r="E78" s="230">
        <v>0</v>
      </c>
      <c r="F78" s="220"/>
      <c r="G78" s="184">
        <v>0</v>
      </c>
      <c r="H78" s="217">
        <f>D78-G78</f>
        <v>293862</v>
      </c>
    </row>
    <row r="79" spans="1:10" ht="18" customHeight="1" x14ac:dyDescent="0.55000000000000004">
      <c r="A79" s="180" t="s">
        <v>282</v>
      </c>
      <c r="B79" s="176" t="s">
        <v>168</v>
      </c>
      <c r="D79" s="184">
        <v>153876</v>
      </c>
      <c r="E79" s="230">
        <v>5163</v>
      </c>
      <c r="F79" s="220"/>
      <c r="G79" s="184">
        <v>0</v>
      </c>
      <c r="H79" s="217">
        <f>D79-G79</f>
        <v>153876</v>
      </c>
    </row>
    <row r="80" spans="1:10" ht="18" customHeight="1" x14ac:dyDescent="0.55000000000000004">
      <c r="A80" s="180" t="s">
        <v>283</v>
      </c>
      <c r="B80" s="176" t="s">
        <v>170</v>
      </c>
      <c r="D80" s="184"/>
      <c r="E80" s="230"/>
      <c r="F80" s="220"/>
      <c r="G80" s="184"/>
      <c r="H80" s="217">
        <f>D80-G80</f>
        <v>0</v>
      </c>
    </row>
    <row r="81" spans="1:8" ht="18" customHeight="1" x14ac:dyDescent="0.55000000000000004">
      <c r="A81" s="180"/>
    </row>
    <row r="82" spans="1:8" ht="18" customHeight="1" x14ac:dyDescent="0.55000000000000004">
      <c r="A82" s="180" t="s">
        <v>171</v>
      </c>
      <c r="B82" s="179" t="s">
        <v>284</v>
      </c>
      <c r="C82" s="179" t="s">
        <v>248</v>
      </c>
      <c r="D82" s="217">
        <v>460275</v>
      </c>
      <c r="E82" s="230">
        <v>5163</v>
      </c>
      <c r="F82" s="217">
        <v>0</v>
      </c>
      <c r="G82" s="217">
        <v>0</v>
      </c>
      <c r="H82" s="217">
        <f>SUM(H77:H80)</f>
        <v>460275</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v>0</v>
      </c>
    </row>
    <row r="87" spans="1:8" ht="18" customHeight="1" x14ac:dyDescent="0.55000000000000004">
      <c r="A87" s="180" t="s">
        <v>287</v>
      </c>
      <c r="B87" s="176" t="s">
        <v>177</v>
      </c>
      <c r="D87" s="184"/>
      <c r="E87" s="216"/>
      <c r="F87" s="216"/>
      <c r="G87" s="184"/>
      <c r="H87" s="217">
        <v>0</v>
      </c>
    </row>
    <row r="88" spans="1:8" ht="18" customHeight="1" x14ac:dyDescent="0.55000000000000004">
      <c r="A88" s="180" t="s">
        <v>288</v>
      </c>
      <c r="B88" s="176" t="s">
        <v>289</v>
      </c>
      <c r="D88" s="184">
        <v>74004</v>
      </c>
      <c r="E88" s="184">
        <v>1383</v>
      </c>
      <c r="F88" s="216"/>
      <c r="G88" s="184">
        <v>29005</v>
      </c>
      <c r="H88" s="217">
        <v>46382</v>
      </c>
    </row>
    <row r="89" spans="1:8" ht="18" customHeight="1" x14ac:dyDescent="0.55000000000000004">
      <c r="A89" s="180" t="s">
        <v>290</v>
      </c>
      <c r="B89" s="176" t="s">
        <v>181</v>
      </c>
      <c r="D89" s="184"/>
      <c r="E89" s="216"/>
      <c r="F89" s="216"/>
      <c r="G89" s="184"/>
      <c r="H89" s="217">
        <v>0</v>
      </c>
    </row>
    <row r="90" spans="1:8" ht="18" customHeight="1" x14ac:dyDescent="0.55000000000000004">
      <c r="A90" s="180" t="s">
        <v>291</v>
      </c>
      <c r="B90" s="176" t="s">
        <v>183</v>
      </c>
      <c r="D90" s="184"/>
      <c r="E90" s="216"/>
      <c r="F90" s="216"/>
      <c r="G90" s="184"/>
      <c r="H90" s="217">
        <v>0</v>
      </c>
    </row>
    <row r="91" spans="1:8" ht="18" customHeight="1" x14ac:dyDescent="0.55000000000000004">
      <c r="A91" s="180" t="s">
        <v>292</v>
      </c>
      <c r="B91" s="176" t="s">
        <v>185</v>
      </c>
      <c r="D91" s="184"/>
      <c r="E91" s="216"/>
      <c r="F91" s="216"/>
      <c r="G91" s="184"/>
      <c r="H91" s="217">
        <v>0</v>
      </c>
    </row>
    <row r="92" spans="1:8" ht="18" customHeight="1" x14ac:dyDescent="0.55000000000000004">
      <c r="A92" s="180" t="s">
        <v>293</v>
      </c>
      <c r="B92" s="176" t="s">
        <v>294</v>
      </c>
      <c r="D92" s="233">
        <v>43625</v>
      </c>
      <c r="E92" s="233">
        <v>0</v>
      </c>
      <c r="F92" s="234"/>
      <c r="G92" s="233">
        <v>0</v>
      </c>
      <c r="H92" s="217">
        <v>43625</v>
      </c>
    </row>
    <row r="93" spans="1:8" ht="18" customHeight="1" x14ac:dyDescent="0.55000000000000004">
      <c r="A93" s="180" t="s">
        <v>295</v>
      </c>
      <c r="B93" s="176" t="s">
        <v>296</v>
      </c>
      <c r="D93" s="184">
        <v>164510</v>
      </c>
      <c r="E93" s="184">
        <v>0</v>
      </c>
      <c r="F93" s="216"/>
      <c r="G93" s="233">
        <v>0</v>
      </c>
      <c r="H93" s="217">
        <v>164510</v>
      </c>
    </row>
    <row r="94" spans="1:8" ht="18" customHeight="1" x14ac:dyDescent="0.55000000000000004">
      <c r="A94" s="180" t="s">
        <v>297</v>
      </c>
      <c r="B94" s="193" t="s">
        <v>129</v>
      </c>
      <c r="D94" s="184">
        <v>12449</v>
      </c>
      <c r="E94" s="184">
        <v>9399</v>
      </c>
      <c r="F94" s="216"/>
      <c r="G94" s="233">
        <v>0</v>
      </c>
      <c r="H94" s="217">
        <v>21848</v>
      </c>
    </row>
    <row r="95" spans="1:8" ht="18" customHeight="1" x14ac:dyDescent="0.55000000000000004">
      <c r="A95" s="180" t="s">
        <v>298</v>
      </c>
      <c r="B95" s="193"/>
      <c r="D95" s="184"/>
      <c r="E95" s="216"/>
      <c r="F95" s="216"/>
      <c r="G95" s="184"/>
      <c r="H95" s="217">
        <v>0</v>
      </c>
    </row>
    <row r="96" spans="1:8" ht="18" customHeight="1" x14ac:dyDescent="0.55000000000000004">
      <c r="A96" s="180" t="s">
        <v>299</v>
      </c>
      <c r="B96" s="193"/>
      <c r="D96" s="184"/>
      <c r="E96" s="216"/>
      <c r="F96" s="216"/>
      <c r="G96" s="184"/>
      <c r="H96" s="217">
        <v>0</v>
      </c>
    </row>
    <row r="97" spans="1:8" ht="18" customHeight="1" x14ac:dyDescent="0.55000000000000004">
      <c r="A97" s="180"/>
    </row>
    <row r="98" spans="1:8" ht="18" customHeight="1" x14ac:dyDescent="0.55000000000000004">
      <c r="A98" s="183" t="s">
        <v>193</v>
      </c>
      <c r="B98" s="179" t="s">
        <v>300</v>
      </c>
      <c r="C98" s="179" t="s">
        <v>248</v>
      </c>
      <c r="D98" s="217">
        <v>294588</v>
      </c>
      <c r="E98" s="217">
        <v>10782</v>
      </c>
      <c r="F98" s="217">
        <v>0</v>
      </c>
      <c r="G98" s="217">
        <v>29005</v>
      </c>
      <c r="H98" s="217">
        <v>276365</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210318</v>
      </c>
      <c r="E102" s="184">
        <v>114932</v>
      </c>
      <c r="F102" s="216"/>
      <c r="G102" s="184">
        <v>0</v>
      </c>
      <c r="H102" s="217">
        <v>325250</v>
      </c>
    </row>
    <row r="103" spans="1:8" ht="18" customHeight="1" x14ac:dyDescent="0.55000000000000004">
      <c r="A103" s="180" t="s">
        <v>304</v>
      </c>
      <c r="B103" s="176" t="s">
        <v>199</v>
      </c>
      <c r="D103" s="184">
        <v>7259</v>
      </c>
      <c r="E103" s="184">
        <v>0</v>
      </c>
      <c r="F103" s="216"/>
      <c r="G103" s="184">
        <v>0</v>
      </c>
      <c r="H103" s="217">
        <v>7259</v>
      </c>
    </row>
    <row r="104" spans="1:8" ht="18" customHeight="1" x14ac:dyDescent="0.55000000000000004">
      <c r="A104" s="180" t="s">
        <v>305</v>
      </c>
      <c r="B104" s="193" t="s">
        <v>129</v>
      </c>
      <c r="D104" s="184">
        <v>64304</v>
      </c>
      <c r="E104" s="184">
        <v>0</v>
      </c>
      <c r="F104" s="216"/>
      <c r="G104" s="184">
        <v>0</v>
      </c>
      <c r="H104" s="217">
        <v>64304</v>
      </c>
    </row>
    <row r="105" spans="1:8" ht="18" customHeight="1" x14ac:dyDescent="0.55000000000000004">
      <c r="A105" s="180" t="s">
        <v>306</v>
      </c>
      <c r="B105" s="193"/>
      <c r="D105" s="184"/>
      <c r="E105" s="216"/>
      <c r="F105" s="216"/>
      <c r="G105" s="184"/>
      <c r="H105" s="217">
        <v>0</v>
      </c>
    </row>
    <row r="106" spans="1:8" ht="18" customHeight="1" x14ac:dyDescent="0.55000000000000004">
      <c r="A106" s="180" t="s">
        <v>307</v>
      </c>
      <c r="B106" s="193"/>
      <c r="D106" s="184"/>
      <c r="E106" s="216"/>
      <c r="F106" s="216"/>
      <c r="G106" s="184"/>
      <c r="H106" s="217">
        <v>0</v>
      </c>
    </row>
    <row r="107" spans="1:8" ht="18" customHeight="1" x14ac:dyDescent="0.55000000000000004">
      <c r="B107" s="179"/>
    </row>
    <row r="108" spans="1:8" ht="18" customHeight="1" x14ac:dyDescent="0.55000000000000004">
      <c r="A108" s="183" t="s">
        <v>204</v>
      </c>
      <c r="B108" s="179" t="s">
        <v>308</v>
      </c>
      <c r="C108" s="179" t="s">
        <v>248</v>
      </c>
      <c r="D108" s="217">
        <v>281881</v>
      </c>
      <c r="E108" s="217">
        <v>114932</v>
      </c>
      <c r="F108" s="217">
        <v>0</v>
      </c>
      <c r="G108" s="217">
        <v>0</v>
      </c>
      <c r="H108" s="217">
        <v>396813</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9875732</v>
      </c>
      <c r="G111" s="184"/>
      <c r="H111" s="217">
        <v>9875732</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0.75480000000000003</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583365001</v>
      </c>
      <c r="F117" s="237"/>
    </row>
    <row r="118" spans="1:7" ht="18" customHeight="1" x14ac:dyDescent="0.55000000000000004">
      <c r="A118" s="180" t="s">
        <v>319</v>
      </c>
      <c r="B118" s="176" t="s">
        <v>320</v>
      </c>
      <c r="E118" s="184">
        <v>34325553</v>
      </c>
      <c r="F118" s="237"/>
    </row>
    <row r="119" spans="1:7" ht="18" customHeight="1" x14ac:dyDescent="0.55000000000000004">
      <c r="A119" s="180" t="s">
        <v>321</v>
      </c>
      <c r="B119" s="179" t="s">
        <v>322</v>
      </c>
      <c r="E119" s="217">
        <v>617690554</v>
      </c>
      <c r="F119" s="238"/>
    </row>
    <row r="120" spans="1:7" ht="18" customHeight="1" x14ac:dyDescent="0.55000000000000004">
      <c r="A120" s="180"/>
      <c r="B120" s="179"/>
      <c r="F120" s="212"/>
    </row>
    <row r="121" spans="1:7" ht="18" customHeight="1" x14ac:dyDescent="0.55000000000000004">
      <c r="A121" s="180" t="s">
        <v>323</v>
      </c>
      <c r="B121" s="179" t="s">
        <v>324</v>
      </c>
      <c r="E121" s="184">
        <v>613396845</v>
      </c>
      <c r="F121" s="237"/>
    </row>
    <row r="122" spans="1:7" ht="18" customHeight="1" x14ac:dyDescent="0.55000000000000004">
      <c r="A122" s="180"/>
      <c r="F122" s="212"/>
    </row>
    <row r="123" spans="1:7" ht="18" customHeight="1" x14ac:dyDescent="0.55000000000000004">
      <c r="A123" s="180" t="s">
        <v>325</v>
      </c>
      <c r="B123" s="179" t="s">
        <v>326</v>
      </c>
      <c r="E123" s="202">
        <v>4293709</v>
      </c>
      <c r="F123" s="237"/>
    </row>
    <row r="124" spans="1:7" ht="18" customHeight="1" x14ac:dyDescent="0.55000000000000004">
      <c r="A124" s="180"/>
      <c r="F124" s="212"/>
    </row>
    <row r="125" spans="1:7" ht="18" customHeight="1" x14ac:dyDescent="0.55000000000000004">
      <c r="A125" s="180" t="s">
        <v>327</v>
      </c>
      <c r="B125" s="179" t="s">
        <v>328</v>
      </c>
      <c r="E125" s="184">
        <v>1241350</v>
      </c>
      <c r="F125" s="237"/>
    </row>
    <row r="126" spans="1:7" ht="18" customHeight="1" x14ac:dyDescent="0.55000000000000004">
      <c r="A126" s="180"/>
      <c r="F126" s="212"/>
    </row>
    <row r="127" spans="1:7" ht="18" customHeight="1" x14ac:dyDescent="0.55000000000000004">
      <c r="A127" s="180" t="s">
        <v>329</v>
      </c>
      <c r="B127" s="179" t="s">
        <v>330</v>
      </c>
      <c r="E127" s="202">
        <v>5535059</v>
      </c>
      <c r="F127" s="212"/>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v>0</v>
      </c>
    </row>
    <row r="132" spans="1:8" ht="18" customHeight="1" x14ac:dyDescent="0.55000000000000004">
      <c r="A132" s="180" t="s">
        <v>333</v>
      </c>
      <c r="B132" s="176" t="s">
        <v>68</v>
      </c>
      <c r="D132" s="184"/>
      <c r="E132" s="216"/>
      <c r="F132" s="216"/>
      <c r="G132" s="184"/>
      <c r="H132" s="217">
        <v>0</v>
      </c>
    </row>
    <row r="133" spans="1:8" ht="18" customHeight="1" x14ac:dyDescent="0.55000000000000004">
      <c r="A133" s="180" t="s">
        <v>334</v>
      </c>
      <c r="B133" s="185"/>
      <c r="D133" s="184"/>
      <c r="E133" s="216"/>
      <c r="F133" s="216"/>
      <c r="G133" s="184"/>
      <c r="H133" s="217">
        <v>0</v>
      </c>
    </row>
    <row r="134" spans="1:8" ht="18" customHeight="1" x14ac:dyDescent="0.55000000000000004">
      <c r="A134" s="180" t="s">
        <v>335</v>
      </c>
      <c r="B134" s="185"/>
      <c r="D134" s="184"/>
      <c r="E134" s="216"/>
      <c r="F134" s="216"/>
      <c r="G134" s="184"/>
      <c r="H134" s="217">
        <v>0</v>
      </c>
    </row>
    <row r="135" spans="1:8" ht="18" customHeight="1" x14ac:dyDescent="0.55000000000000004">
      <c r="A135" s="180" t="s">
        <v>336</v>
      </c>
      <c r="B135" s="185"/>
      <c r="D135" s="184"/>
      <c r="E135" s="216"/>
      <c r="F135" s="216"/>
      <c r="G135" s="184"/>
      <c r="H135" s="217">
        <v>0</v>
      </c>
    </row>
    <row r="136" spans="1:8" ht="18" customHeight="1" x14ac:dyDescent="0.55000000000000004">
      <c r="A136" s="183"/>
    </row>
    <row r="137" spans="1:8" ht="18" customHeight="1" x14ac:dyDescent="0.55000000000000004">
      <c r="A137" s="183" t="s">
        <v>215</v>
      </c>
      <c r="B137" s="179" t="s">
        <v>337</v>
      </c>
      <c r="D137" s="217">
        <v>0</v>
      </c>
      <c r="E137" s="217">
        <v>0</v>
      </c>
      <c r="F137" s="217">
        <v>0</v>
      </c>
      <c r="G137" s="217">
        <v>0</v>
      </c>
      <c r="H137" s="217">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v>1361399</v>
      </c>
      <c r="E141" s="239">
        <v>444842</v>
      </c>
      <c r="F141" s="239">
        <v>0</v>
      </c>
      <c r="G141" s="239">
        <v>267726</v>
      </c>
      <c r="H141" s="239">
        <v>1538515</v>
      </c>
    </row>
    <row r="142" spans="1:8" ht="18" customHeight="1" x14ac:dyDescent="0.55000000000000004">
      <c r="A142" s="180" t="s">
        <v>150</v>
      </c>
      <c r="B142" s="179" t="s">
        <v>220</v>
      </c>
      <c r="D142" s="239">
        <v>11861002</v>
      </c>
      <c r="E142" s="239">
        <v>8955059</v>
      </c>
      <c r="F142" s="239">
        <v>0</v>
      </c>
      <c r="G142" s="239">
        <v>0</v>
      </c>
      <c r="H142" s="239">
        <v>20816061</v>
      </c>
    </row>
    <row r="143" spans="1:8" ht="18" customHeight="1" x14ac:dyDescent="0.55000000000000004">
      <c r="A143" s="180" t="s">
        <v>269</v>
      </c>
      <c r="B143" s="179" t="s">
        <v>222</v>
      </c>
      <c r="D143" s="239">
        <v>34953780</v>
      </c>
      <c r="E143" s="239">
        <v>0</v>
      </c>
      <c r="F143" s="239">
        <v>0</v>
      </c>
      <c r="G143" s="239">
        <v>18721494</v>
      </c>
      <c r="H143" s="239">
        <v>16232286</v>
      </c>
    </row>
    <row r="144" spans="1:8" ht="18" customHeight="1" x14ac:dyDescent="0.55000000000000004">
      <c r="A144" s="180" t="s">
        <v>161</v>
      </c>
      <c r="B144" s="179" t="s">
        <v>70</v>
      </c>
      <c r="D144" s="239">
        <v>0</v>
      </c>
      <c r="E144" s="239">
        <v>0</v>
      </c>
      <c r="F144" s="239">
        <v>0</v>
      </c>
      <c r="G144" s="239">
        <v>0</v>
      </c>
      <c r="H144" s="239">
        <v>0</v>
      </c>
    </row>
    <row r="145" spans="1:8" ht="18" customHeight="1" x14ac:dyDescent="0.55000000000000004">
      <c r="A145" s="180" t="s">
        <v>171</v>
      </c>
      <c r="B145" s="179" t="s">
        <v>69</v>
      </c>
      <c r="D145" s="239">
        <v>460275</v>
      </c>
      <c r="E145" s="239">
        <v>5163</v>
      </c>
      <c r="F145" s="239">
        <v>0</v>
      </c>
      <c r="G145" s="239">
        <v>0</v>
      </c>
      <c r="H145" s="239">
        <f>H82</f>
        <v>460275</v>
      </c>
    </row>
    <row r="146" spans="1:8" ht="18" customHeight="1" x14ac:dyDescent="0.55000000000000004">
      <c r="A146" s="180" t="s">
        <v>193</v>
      </c>
      <c r="B146" s="179" t="s">
        <v>226</v>
      </c>
      <c r="D146" s="239">
        <v>294588</v>
      </c>
      <c r="E146" s="239">
        <v>10782</v>
      </c>
      <c r="F146" s="239">
        <v>0</v>
      </c>
      <c r="G146" s="239">
        <v>29005</v>
      </c>
      <c r="H146" s="239">
        <v>276365</v>
      </c>
    </row>
    <row r="147" spans="1:8" ht="18" customHeight="1" x14ac:dyDescent="0.55000000000000004">
      <c r="A147" s="180" t="s">
        <v>204</v>
      </c>
      <c r="B147" s="179" t="s">
        <v>71</v>
      </c>
      <c r="D147" s="217">
        <v>281881</v>
      </c>
      <c r="E147" s="217">
        <v>114932</v>
      </c>
      <c r="F147" s="217">
        <v>0</v>
      </c>
      <c r="G147" s="217">
        <v>0</v>
      </c>
      <c r="H147" s="217">
        <v>396813</v>
      </c>
    </row>
    <row r="148" spans="1:8" ht="18" customHeight="1" x14ac:dyDescent="0.55000000000000004">
      <c r="A148" s="180" t="s">
        <v>310</v>
      </c>
      <c r="B148" s="179" t="s">
        <v>58</v>
      </c>
      <c r="D148" s="240" t="s">
        <v>245</v>
      </c>
      <c r="E148" s="240" t="s">
        <v>245</v>
      </c>
      <c r="F148" s="240"/>
      <c r="G148" s="240" t="s">
        <v>245</v>
      </c>
      <c r="H148" s="239">
        <v>9875732</v>
      </c>
    </row>
    <row r="149" spans="1:8" ht="18" customHeight="1" x14ac:dyDescent="0.55000000000000004">
      <c r="A149" s="180" t="s">
        <v>215</v>
      </c>
      <c r="B149" s="179" t="s">
        <v>230</v>
      </c>
      <c r="D149" s="217">
        <v>0</v>
      </c>
      <c r="E149" s="217">
        <v>0</v>
      </c>
      <c r="F149" s="217">
        <v>0</v>
      </c>
      <c r="G149" s="217">
        <v>0</v>
      </c>
      <c r="H149" s="217">
        <v>0</v>
      </c>
    </row>
    <row r="150" spans="1:8" ht="18" customHeight="1" x14ac:dyDescent="0.55000000000000004">
      <c r="A150" s="180" t="s">
        <v>103</v>
      </c>
      <c r="B150" s="179" t="s">
        <v>104</v>
      </c>
      <c r="D150" s="217">
        <f>D18</f>
        <v>10676970.063673409</v>
      </c>
      <c r="E150" s="217">
        <f>E18</f>
        <v>0</v>
      </c>
      <c r="F150" s="217">
        <f>F18</f>
        <v>0</v>
      </c>
      <c r="G150" s="217">
        <f>G18</f>
        <v>8848754.1225304026</v>
      </c>
      <c r="H150" s="217">
        <f>H18</f>
        <v>1828215.9411430061</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v>58756888</v>
      </c>
      <c r="E152" s="241">
        <v>9530778</v>
      </c>
      <c r="F152" s="241">
        <v>0</v>
      </c>
      <c r="G152" s="241">
        <v>26733972</v>
      </c>
      <c r="H152" s="241">
        <f>SUM(H141:H150)</f>
        <v>51424262.941143006</v>
      </c>
    </row>
    <row r="153" spans="1:8" ht="18" customHeight="1" x14ac:dyDescent="0.55000000000000004">
      <c r="E153" s="275"/>
    </row>
    <row r="154" spans="1:8" ht="18" customHeight="1" x14ac:dyDescent="0.55000000000000004">
      <c r="A154" s="183" t="s">
        <v>339</v>
      </c>
      <c r="B154" s="179" t="s">
        <v>340</v>
      </c>
      <c r="D154" s="242">
        <v>8.3843642854080871E-2</v>
      </c>
    </row>
    <row r="155" spans="1:8" ht="18" customHeight="1" x14ac:dyDescent="0.55000000000000004">
      <c r="A155" s="183" t="s">
        <v>341</v>
      </c>
      <c r="B155" s="179" t="s">
        <v>342</v>
      </c>
      <c r="D155" s="242">
        <v>9.2915768377536718</v>
      </c>
    </row>
  </sheetData>
  <mergeCells count="4">
    <mergeCell ref="C2:G2"/>
    <mergeCell ref="C5:E5"/>
    <mergeCell ref="C11:E11"/>
    <mergeCell ref="B13:D13"/>
  </mergeCells>
  <printOptions headings="1" gridLines="1"/>
  <pageMargins left="0.17" right="0.16" top="0.35" bottom="0.32" header="0.17" footer="0.17"/>
  <pageSetup scale="59" fitToHeight="3" orientation="landscape" horizontalDpi="4294967294" r:id="rId1"/>
  <headerFooter alignWithMargins="0"/>
  <rowBreaks count="4" manualBreakCount="4">
    <brk id="37" max="16383" man="1"/>
    <brk id="74" max="16383" man="1"/>
    <brk id="109" max="16383" man="1"/>
    <brk id="13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5E45F-6F1F-483E-9494-40A154D75D7F}">
  <sheetPr codeName="Sheet23"/>
  <dimension ref="A1:J155"/>
  <sheetViews>
    <sheetView zoomScaleNormal="100" workbookViewId="0"/>
  </sheetViews>
  <sheetFormatPr defaultColWidth="9" defaultRowHeight="18" customHeight="1"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01" t="s">
        <v>394</v>
      </c>
      <c r="D5" s="501"/>
      <c r="E5" s="501"/>
      <c r="F5" s="208"/>
    </row>
    <row r="6" spans="1:8" ht="18" customHeight="1" x14ac:dyDescent="0.55000000000000004">
      <c r="B6" s="180" t="s">
        <v>237</v>
      </c>
      <c r="C6" s="516">
        <v>210016</v>
      </c>
      <c r="D6" s="516"/>
      <c r="E6" s="516"/>
      <c r="F6" s="209"/>
    </row>
    <row r="7" spans="1:8" ht="18" customHeight="1" x14ac:dyDescent="0.55000000000000004">
      <c r="B7" s="180" t="s">
        <v>238</v>
      </c>
      <c r="C7" s="512">
        <v>1267</v>
      </c>
      <c r="D7" s="512"/>
      <c r="E7" s="512"/>
      <c r="F7" s="210"/>
    </row>
    <row r="8" spans="1:8" ht="18" customHeight="1" x14ac:dyDescent="0.55000000000000004">
      <c r="B8" s="180"/>
      <c r="C8" s="245"/>
      <c r="D8" s="245"/>
      <c r="E8" s="245"/>
      <c r="F8" s="210"/>
    </row>
    <row r="9" spans="1:8" ht="18" customHeight="1" x14ac:dyDescent="0.55000000000000004">
      <c r="B9" s="180" t="s">
        <v>239</v>
      </c>
      <c r="C9" s="501" t="s">
        <v>473</v>
      </c>
      <c r="D9" s="501"/>
      <c r="E9" s="501"/>
      <c r="F9" s="208"/>
    </row>
    <row r="10" spans="1:8" ht="18" customHeight="1" x14ac:dyDescent="0.55000000000000004">
      <c r="B10" s="180" t="s">
        <v>241</v>
      </c>
      <c r="C10" s="513" t="s">
        <v>395</v>
      </c>
      <c r="D10" s="513"/>
      <c r="E10" s="513"/>
      <c r="F10" s="213"/>
    </row>
    <row r="11" spans="1:8" ht="18" customHeight="1" x14ac:dyDescent="0.55000000000000004">
      <c r="B11" s="180" t="s">
        <v>243</v>
      </c>
      <c r="C11" s="503" t="s">
        <v>396</v>
      </c>
      <c r="D11" s="501"/>
      <c r="E11" s="50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5532933.8868030375</v>
      </c>
      <c r="E18" s="214"/>
      <c r="F18" s="214"/>
      <c r="G18" s="214">
        <v>4585530.4687153921</v>
      </c>
      <c r="H18" s="249">
        <f>(D18+E18)-G18</f>
        <v>947403.41808764543</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251">
        <v>209042.5347288</v>
      </c>
      <c r="E21" s="252">
        <v>163320.77243717032</v>
      </c>
      <c r="F21" s="252"/>
      <c r="G21" s="251"/>
      <c r="H21" s="217">
        <f>(D21+E21)-F21-G21</f>
        <v>372363.30716597033</v>
      </c>
    </row>
    <row r="22" spans="1:8" ht="18" customHeight="1" x14ac:dyDescent="0.55000000000000004">
      <c r="A22" s="180" t="s">
        <v>112</v>
      </c>
      <c r="B22" s="176" t="s">
        <v>113</v>
      </c>
      <c r="D22" s="251">
        <v>59124.377378000005</v>
      </c>
      <c r="E22" s="252">
        <v>46192.699470321575</v>
      </c>
      <c r="F22" s="252"/>
      <c r="G22" s="251"/>
      <c r="H22" s="217">
        <f t="shared" ref="H22:H34" si="0">(D22+E22)-F22-G22</f>
        <v>105317.07684832158</v>
      </c>
    </row>
    <row r="23" spans="1:8" ht="18" customHeight="1" x14ac:dyDescent="0.55000000000000004">
      <c r="A23" s="180" t="s">
        <v>114</v>
      </c>
      <c r="B23" s="176" t="s">
        <v>115</v>
      </c>
      <c r="D23" s="251"/>
      <c r="E23" s="252"/>
      <c r="F23" s="252"/>
      <c r="G23" s="251"/>
      <c r="H23" s="217">
        <f t="shared" si="0"/>
        <v>0</v>
      </c>
    </row>
    <row r="24" spans="1:8" ht="18" customHeight="1" x14ac:dyDescent="0.55000000000000004">
      <c r="A24" s="180" t="s">
        <v>116</v>
      </c>
      <c r="B24" s="176" t="s">
        <v>117</v>
      </c>
      <c r="D24" s="251">
        <v>739019.93</v>
      </c>
      <c r="E24" s="252">
        <v>577381.56481239304</v>
      </c>
      <c r="F24" s="252"/>
      <c r="G24" s="251"/>
      <c r="H24" s="217">
        <f t="shared" si="0"/>
        <v>1316401.4948123931</v>
      </c>
    </row>
    <row r="25" spans="1:8" ht="18" customHeight="1" x14ac:dyDescent="0.55000000000000004">
      <c r="A25" s="180" t="s">
        <v>118</v>
      </c>
      <c r="B25" s="176" t="s">
        <v>119</v>
      </c>
      <c r="D25" s="251">
        <v>63905.262568000006</v>
      </c>
      <c r="E25" s="252">
        <v>49927.909929653302</v>
      </c>
      <c r="F25" s="252"/>
      <c r="G25" s="251"/>
      <c r="H25" s="217">
        <f t="shared" si="0"/>
        <v>113833.17249765332</v>
      </c>
    </row>
    <row r="26" spans="1:8" ht="18" customHeight="1" x14ac:dyDescent="0.55000000000000004">
      <c r="A26" s="180" t="s">
        <v>120</v>
      </c>
      <c r="B26" s="176" t="s">
        <v>121</v>
      </c>
      <c r="D26" s="251"/>
      <c r="E26" s="252"/>
      <c r="F26" s="252"/>
      <c r="G26" s="251"/>
      <c r="H26" s="217">
        <f t="shared" si="0"/>
        <v>0</v>
      </c>
    </row>
    <row r="27" spans="1:8" ht="18" customHeight="1" x14ac:dyDescent="0.55000000000000004">
      <c r="A27" s="180" t="s">
        <v>122</v>
      </c>
      <c r="B27" s="176" t="s">
        <v>246</v>
      </c>
      <c r="D27" s="251"/>
      <c r="E27" s="252"/>
      <c r="F27" s="252"/>
      <c r="G27" s="251"/>
      <c r="H27" s="217">
        <f t="shared" si="0"/>
        <v>0</v>
      </c>
    </row>
    <row r="28" spans="1:8" ht="18" customHeight="1" x14ac:dyDescent="0.55000000000000004">
      <c r="A28" s="180" t="s">
        <v>124</v>
      </c>
      <c r="B28" s="176" t="s">
        <v>125</v>
      </c>
      <c r="D28" s="251"/>
      <c r="E28" s="252"/>
      <c r="F28" s="252"/>
      <c r="G28" s="251"/>
      <c r="H28" s="217">
        <f t="shared" si="0"/>
        <v>0</v>
      </c>
    </row>
    <row r="29" spans="1:8" ht="18" customHeight="1" x14ac:dyDescent="0.55000000000000004">
      <c r="A29" s="180" t="s">
        <v>126</v>
      </c>
      <c r="B29" s="176" t="s">
        <v>127</v>
      </c>
      <c r="D29" s="251">
        <v>2245338.9851377504</v>
      </c>
      <c r="E29" s="252">
        <v>745130.09409259888</v>
      </c>
      <c r="F29" s="252">
        <v>213047.53000000009</v>
      </c>
      <c r="G29" s="251">
        <v>55962.130000000005</v>
      </c>
      <c r="H29" s="217">
        <f t="shared" si="0"/>
        <v>2721459.4192303494</v>
      </c>
    </row>
    <row r="30" spans="1:8" ht="18" customHeight="1" x14ac:dyDescent="0.55000000000000004">
      <c r="A30" s="180" t="s">
        <v>128</v>
      </c>
      <c r="B30" s="185"/>
      <c r="D30" s="184"/>
      <c r="E30" s="216"/>
      <c r="F30" s="216"/>
      <c r="G30" s="184"/>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3316431.0898125507</v>
      </c>
      <c r="E36" s="217">
        <f>SUM(E21:E34)</f>
        <v>1581953.040742137</v>
      </c>
      <c r="F36" s="217">
        <f>SUM(F21:F34)</f>
        <v>213047.53000000009</v>
      </c>
      <c r="G36" s="217">
        <f>SUM(G21:G34)</f>
        <v>55962.130000000005</v>
      </c>
      <c r="H36" s="217">
        <f>SUM(H21:H34)</f>
        <v>4629374.470554688</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251">
        <v>100661.40000000005</v>
      </c>
      <c r="E40" s="252">
        <v>78644.748658140044</v>
      </c>
      <c r="F40" s="252"/>
      <c r="G40" s="251">
        <v>42065.589999999967</v>
      </c>
      <c r="H40" s="217">
        <f>(D40+E40)-F40-G40</f>
        <v>137240.55865814013</v>
      </c>
    </row>
    <row r="41" spans="1:8" ht="18" customHeight="1" x14ac:dyDescent="0.55000000000000004">
      <c r="A41" s="180" t="s">
        <v>251</v>
      </c>
      <c r="B41" s="176" t="s">
        <v>141</v>
      </c>
      <c r="D41" s="251">
        <v>111675.33198097999</v>
      </c>
      <c r="E41" s="252">
        <v>87249.714537633248</v>
      </c>
      <c r="F41" s="252"/>
      <c r="G41" s="251"/>
      <c r="H41" s="217">
        <f t="shared" ref="H41:H47" si="1">(D41+E41)-F41-G41</f>
        <v>198925.04651861324</v>
      </c>
    </row>
    <row r="42" spans="1:8" ht="18" customHeight="1" x14ac:dyDescent="0.55000000000000004">
      <c r="A42" s="180" t="s">
        <v>252</v>
      </c>
      <c r="B42" s="176" t="s">
        <v>143</v>
      </c>
      <c r="D42" s="251">
        <v>142623.10579220002</v>
      </c>
      <c r="E42" s="252">
        <v>111428.59435564061</v>
      </c>
      <c r="F42" s="252"/>
      <c r="G42" s="251"/>
      <c r="H42" s="217">
        <f t="shared" si="1"/>
        <v>254051.70014784063</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354959.83777318004</v>
      </c>
      <c r="E49" s="217">
        <f>SUM(E40:E47)</f>
        <v>277323.05755141389</v>
      </c>
      <c r="F49" s="217">
        <f>SUM(F40:F47)</f>
        <v>0</v>
      </c>
      <c r="G49" s="217">
        <f>SUM(G40:G47)</f>
        <v>42065.589999999967</v>
      </c>
      <c r="H49" s="217">
        <f>SUM(H40:H47)</f>
        <v>590217.30532459402</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81">
        <v>7394961.1100000003</v>
      </c>
      <c r="E53" s="282"/>
      <c r="F53" s="282"/>
      <c r="G53" s="282"/>
      <c r="H53" s="217">
        <f>(D53+E53)-F53-G53</f>
        <v>7394961.1100000003</v>
      </c>
    </row>
    <row r="54" spans="1:8" ht="18" customHeight="1" x14ac:dyDescent="0.55000000000000004">
      <c r="A54" s="180" t="s">
        <v>259</v>
      </c>
      <c r="B54" s="193" t="s">
        <v>474</v>
      </c>
      <c r="D54" s="283">
        <v>19268621.780000001</v>
      </c>
      <c r="E54" s="284"/>
      <c r="F54" s="284"/>
      <c r="G54" s="283">
        <v>19268621.780000001</v>
      </c>
      <c r="H54" s="217">
        <f t="shared" ref="H54:H62" si="2">(D54+E54)-F54-G54</f>
        <v>0</v>
      </c>
    </row>
    <row r="55" spans="1:8" ht="18" customHeight="1" x14ac:dyDescent="0.55000000000000004">
      <c r="A55" s="180" t="s">
        <v>260</v>
      </c>
      <c r="B55" s="194" t="s">
        <v>475</v>
      </c>
      <c r="D55" s="283">
        <v>8619667.0485420544</v>
      </c>
      <c r="E55" s="284"/>
      <c r="F55" s="284"/>
      <c r="G55" s="283"/>
      <c r="H55" s="217">
        <f t="shared" si="2"/>
        <v>8619667.0485420544</v>
      </c>
    </row>
    <row r="56" spans="1:8" ht="18" customHeight="1" x14ac:dyDescent="0.55000000000000004">
      <c r="A56" s="180" t="s">
        <v>261</v>
      </c>
      <c r="B56" s="193" t="s">
        <v>476</v>
      </c>
      <c r="D56" s="283">
        <v>335269.11320000002</v>
      </c>
      <c r="E56" s="283">
        <v>261939.08628780735</v>
      </c>
      <c r="F56" s="284"/>
      <c r="G56" s="283"/>
      <c r="H56" s="217">
        <f t="shared" si="2"/>
        <v>597208.19948780735</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22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35618519.051742055</v>
      </c>
      <c r="E64" s="217">
        <f>SUM(E53:E62)</f>
        <v>261939.08628780735</v>
      </c>
      <c r="F64" s="217">
        <f>SUM(F53:F62)</f>
        <v>0</v>
      </c>
      <c r="G64" s="217">
        <f>SUM(G53:G62)</f>
        <v>19268621.780000001</v>
      </c>
      <c r="H64" s="217">
        <f>SUM(H53:H62)</f>
        <v>16611836.358029863</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85">
        <v>1166131.6800000002</v>
      </c>
      <c r="E68" s="285">
        <v>911075.47556356818</v>
      </c>
      <c r="F68" s="284"/>
      <c r="G68" s="285">
        <v>753541</v>
      </c>
      <c r="H68" s="217">
        <f>(D68+E68)-F68-G68</f>
        <v>1323666.1555635682</v>
      </c>
      <c r="J68" s="254"/>
    </row>
    <row r="69" spans="1:10" ht="18" customHeight="1" x14ac:dyDescent="0.55000000000000004">
      <c r="A69" s="180" t="s">
        <v>273</v>
      </c>
      <c r="B69" s="176" t="s">
        <v>159</v>
      </c>
      <c r="D69" s="285">
        <v>17179.085000000003</v>
      </c>
      <c r="E69" s="285">
        <v>13421.677246708503</v>
      </c>
      <c r="F69" s="284"/>
      <c r="G69" s="283"/>
      <c r="H69" s="217">
        <f>(D69+E69)-F69-G69</f>
        <v>30600.762246708506</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1183310.7650000001</v>
      </c>
      <c r="E74" s="229">
        <f>SUM(E68:E72)</f>
        <v>924497.15281027672</v>
      </c>
      <c r="F74" s="229">
        <f>SUM(F68:F72)</f>
        <v>0</v>
      </c>
      <c r="G74" s="217">
        <f>SUM(G68:G72)</f>
        <v>753541</v>
      </c>
      <c r="H74" s="217">
        <f>SUM(H68:H72)</f>
        <v>1354266.9178102768</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251">
        <v>4343</v>
      </c>
      <c r="E77" s="230"/>
      <c r="F77" s="220"/>
      <c r="G77" s="184"/>
      <c r="H77" s="217">
        <f>(D77-F77-G77)</f>
        <v>4343</v>
      </c>
    </row>
    <row r="78" spans="1:10" ht="18" customHeight="1" x14ac:dyDescent="0.55000000000000004">
      <c r="A78" s="180" t="s">
        <v>281</v>
      </c>
      <c r="B78" s="176" t="s">
        <v>166</v>
      </c>
      <c r="D78" s="251">
        <v>185602.29800000001</v>
      </c>
      <c r="E78" s="230"/>
      <c r="F78" s="220"/>
      <c r="G78" s="184"/>
      <c r="H78" s="217">
        <f>(D78-F78-G78)</f>
        <v>185602.29800000001</v>
      </c>
    </row>
    <row r="79" spans="1:10" ht="18" customHeight="1" x14ac:dyDescent="0.55000000000000004">
      <c r="A79" s="180" t="s">
        <v>282</v>
      </c>
      <c r="B79" s="176" t="s">
        <v>168</v>
      </c>
      <c r="D79" s="251">
        <v>47471.237284040006</v>
      </c>
      <c r="E79" s="230"/>
      <c r="F79" s="220"/>
      <c r="G79" s="184"/>
      <c r="H79" s="217">
        <f>(D79-F79-G79)</f>
        <v>47471.237284040006</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237416.53528404003</v>
      </c>
      <c r="E82" s="231"/>
      <c r="F82" s="217">
        <f>SUM(F77:F80)</f>
        <v>0</v>
      </c>
      <c r="G82" s="217">
        <f>SUM(G77:G80)</f>
        <v>0</v>
      </c>
      <c r="H82" s="217">
        <f>SUM(H77:H80)</f>
        <v>237416.53528404003</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251">
        <v>45194.531627840006</v>
      </c>
      <c r="E88" s="252">
        <v>35309.588189652008</v>
      </c>
      <c r="F88" s="252"/>
      <c r="G88" s="251"/>
      <c r="H88" s="217">
        <f t="shared" si="3"/>
        <v>80504.119817492014</v>
      </c>
    </row>
    <row r="89" spans="1:8" ht="18" customHeight="1" x14ac:dyDescent="0.55000000000000004">
      <c r="A89" s="180" t="s">
        <v>290</v>
      </c>
      <c r="B89" s="176" t="s">
        <v>181</v>
      </c>
      <c r="D89" s="251"/>
      <c r="E89" s="252"/>
      <c r="F89" s="252"/>
      <c r="G89" s="251"/>
      <c r="H89" s="217">
        <f t="shared" si="3"/>
        <v>0</v>
      </c>
    </row>
    <row r="90" spans="1:8" ht="18" customHeight="1" x14ac:dyDescent="0.55000000000000004">
      <c r="A90" s="180" t="s">
        <v>291</v>
      </c>
      <c r="B90" s="176" t="s">
        <v>183</v>
      </c>
      <c r="D90" s="251"/>
      <c r="E90" s="252"/>
      <c r="F90" s="252"/>
      <c r="G90" s="251"/>
      <c r="H90" s="217">
        <f t="shared" si="3"/>
        <v>0</v>
      </c>
    </row>
    <row r="91" spans="1:8" ht="18" customHeight="1" x14ac:dyDescent="0.55000000000000004">
      <c r="A91" s="180" t="s">
        <v>292</v>
      </c>
      <c r="B91" s="176" t="s">
        <v>185</v>
      </c>
      <c r="D91" s="251">
        <v>113291.70768300002</v>
      </c>
      <c r="E91" s="252">
        <v>88512.55670774501</v>
      </c>
      <c r="F91" s="252"/>
      <c r="G91" s="251"/>
      <c r="H91" s="217">
        <f t="shared" si="3"/>
        <v>201804.26439074503</v>
      </c>
    </row>
    <row r="92" spans="1:8" ht="18" customHeight="1" x14ac:dyDescent="0.55000000000000004">
      <c r="A92" s="180" t="s">
        <v>293</v>
      </c>
      <c r="B92" s="176" t="s">
        <v>294</v>
      </c>
      <c r="D92" s="286">
        <v>52171.128492000011</v>
      </c>
      <c r="E92" s="252">
        <v>40760.264485342617</v>
      </c>
      <c r="F92" s="287"/>
      <c r="G92" s="286"/>
      <c r="H92" s="217">
        <f t="shared" si="3"/>
        <v>92931.392977342621</v>
      </c>
    </row>
    <row r="93" spans="1:8" ht="18" customHeight="1" x14ac:dyDescent="0.55000000000000004">
      <c r="A93" s="180" t="s">
        <v>295</v>
      </c>
      <c r="B93" s="176" t="s">
        <v>296</v>
      </c>
      <c r="D93" s="251"/>
      <c r="E93" s="252"/>
      <c r="F93" s="252"/>
      <c r="G93" s="251"/>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210657.36780284005</v>
      </c>
      <c r="E98" s="217">
        <f>SUM(E86:E96)</f>
        <v>164582.40938273963</v>
      </c>
      <c r="F98" s="217">
        <f>SUM(F86:F96)</f>
        <v>0</v>
      </c>
      <c r="G98" s="217">
        <f>SUM(G86:G96)</f>
        <v>0</v>
      </c>
      <c r="H98" s="217">
        <f>SUM(H86:H96)</f>
        <v>375239.77718557965</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251">
        <v>85477.135409120005</v>
      </c>
      <c r="E102" s="252">
        <v>66781.584900150818</v>
      </c>
      <c r="F102" s="252"/>
      <c r="G102" s="251"/>
      <c r="H102" s="217">
        <f>(D102+E102)-F102-G102</f>
        <v>152258.72030927084</v>
      </c>
    </row>
    <row r="103" spans="1:8" ht="18" customHeight="1" x14ac:dyDescent="0.55000000000000004">
      <c r="A103" s="180" t="s">
        <v>304</v>
      </c>
      <c r="B103" s="176" t="s">
        <v>199</v>
      </c>
      <c r="D103" s="251">
        <v>69864.731356000004</v>
      </c>
      <c r="E103" s="252">
        <v>54583.924300288818</v>
      </c>
      <c r="F103" s="252"/>
      <c r="G103" s="251"/>
      <c r="H103" s="217">
        <f>(D103+E103)-F103-G103</f>
        <v>124448.65565628881</v>
      </c>
    </row>
    <row r="104" spans="1:8" ht="18" customHeight="1" x14ac:dyDescent="0.55000000000000004">
      <c r="A104" s="180" t="s">
        <v>305</v>
      </c>
      <c r="B104" s="193" t="s">
        <v>477</v>
      </c>
      <c r="D104" s="251">
        <v>57975.136665600003</v>
      </c>
      <c r="E104" s="252">
        <v>45294.820571613636</v>
      </c>
      <c r="F104" s="252"/>
      <c r="G104" s="251"/>
      <c r="H104" s="217">
        <f>(D104+E104)-F104-G104</f>
        <v>103269.95723721365</v>
      </c>
    </row>
    <row r="105" spans="1:8" ht="18" customHeight="1" x14ac:dyDescent="0.55000000000000004">
      <c r="A105" s="180" t="s">
        <v>306</v>
      </c>
      <c r="B105" s="193" t="s">
        <v>478</v>
      </c>
      <c r="D105" s="251">
        <v>5035.5084849834029</v>
      </c>
      <c r="E105" s="252"/>
      <c r="F105" s="252"/>
      <c r="G105" s="251"/>
      <c r="H105" s="217">
        <f>(D105+E105)-F105-G105</f>
        <v>5035.5084849834029</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218352.51191570342</v>
      </c>
      <c r="E108" s="217">
        <f>SUM(E102:E106)</f>
        <v>166660.32977205329</v>
      </c>
      <c r="F108" s="217">
        <f>SUM(F102:F106)</f>
        <v>0</v>
      </c>
      <c r="G108" s="217">
        <f>SUM(G102:G106)</f>
        <v>0</v>
      </c>
      <c r="H108" s="217">
        <f>SUM(H102:H106)</f>
        <v>385012.84168775665</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251">
        <v>9252382.9700000007</v>
      </c>
      <c r="G111" s="251">
        <v>6569461.067473297</v>
      </c>
      <c r="H111" s="217">
        <f>F111-G111</f>
        <v>2682921.9025267037</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0.78128010000000003</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251">
        <v>287095343.54000008</v>
      </c>
      <c r="F117" s="237"/>
    </row>
    <row r="118" spans="1:7" ht="18" customHeight="1" x14ac:dyDescent="0.55000000000000004">
      <c r="A118" s="180" t="s">
        <v>319</v>
      </c>
      <c r="B118" s="176" t="s">
        <v>320</v>
      </c>
      <c r="E118" s="251">
        <v>13296215.739999998</v>
      </c>
      <c r="F118" s="288" t="s">
        <v>479</v>
      </c>
    </row>
    <row r="119" spans="1:7" ht="18" customHeight="1" x14ac:dyDescent="0.55000000000000004">
      <c r="A119" s="180" t="s">
        <v>321</v>
      </c>
      <c r="B119" s="179" t="s">
        <v>322</v>
      </c>
      <c r="E119" s="217">
        <f>SUM(E117:E118)</f>
        <v>300391559.28000009</v>
      </c>
      <c r="F119" s="238"/>
    </row>
    <row r="120" spans="1:7" ht="18" customHeight="1" x14ac:dyDescent="0.55000000000000004">
      <c r="A120" s="180"/>
      <c r="B120" s="179"/>
      <c r="E120" s="275"/>
      <c r="F120" s="212"/>
    </row>
    <row r="121" spans="1:7" ht="18" customHeight="1" x14ac:dyDescent="0.55000000000000004">
      <c r="A121" s="180" t="s">
        <v>323</v>
      </c>
      <c r="B121" s="179" t="s">
        <v>324</v>
      </c>
      <c r="E121" s="251">
        <v>297894223.96999997</v>
      </c>
      <c r="F121" s="237"/>
    </row>
    <row r="122" spans="1:7" ht="18" customHeight="1" x14ac:dyDescent="0.55000000000000004">
      <c r="A122" s="180"/>
      <c r="E122" s="275"/>
      <c r="F122" s="212"/>
    </row>
    <row r="123" spans="1:7" ht="18" customHeight="1" x14ac:dyDescent="0.55000000000000004">
      <c r="A123" s="180" t="s">
        <v>325</v>
      </c>
      <c r="B123" s="179" t="s">
        <v>326</v>
      </c>
      <c r="E123" s="251">
        <f>E119-E121</f>
        <v>2497335.3100001216</v>
      </c>
      <c r="F123" s="237"/>
    </row>
    <row r="124" spans="1:7" ht="18" customHeight="1" x14ac:dyDescent="0.55000000000000004">
      <c r="A124" s="180"/>
      <c r="E124" s="275"/>
      <c r="F124" s="212"/>
    </row>
    <row r="125" spans="1:7" ht="18" customHeight="1" x14ac:dyDescent="0.55000000000000004">
      <c r="A125" s="180" t="s">
        <v>327</v>
      </c>
      <c r="B125" s="179" t="s">
        <v>328</v>
      </c>
      <c r="E125" s="251">
        <v>349854.57000000007</v>
      </c>
      <c r="F125" s="237"/>
    </row>
    <row r="126" spans="1:7" ht="18" customHeight="1" x14ac:dyDescent="0.55000000000000004">
      <c r="A126" s="180"/>
      <c r="E126" s="275"/>
      <c r="F126" s="212"/>
    </row>
    <row r="127" spans="1:7" ht="18" customHeight="1" x14ac:dyDescent="0.55000000000000004">
      <c r="A127" s="180" t="s">
        <v>329</v>
      </c>
      <c r="B127" s="179" t="s">
        <v>330</v>
      </c>
      <c r="E127" s="251">
        <f>E123+E125</f>
        <v>2847189.8800001219</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3316431.0898125507</v>
      </c>
      <c r="E141" s="239">
        <f>E36</f>
        <v>1581953.040742137</v>
      </c>
      <c r="F141" s="239">
        <f>F36</f>
        <v>213047.53000000009</v>
      </c>
      <c r="G141" s="239">
        <f>G36</f>
        <v>55962.130000000005</v>
      </c>
      <c r="H141" s="239">
        <f>H36</f>
        <v>4629374.470554688</v>
      </c>
    </row>
    <row r="142" spans="1:8" ht="18" customHeight="1" x14ac:dyDescent="0.55000000000000004">
      <c r="A142" s="180" t="s">
        <v>150</v>
      </c>
      <c r="B142" s="179" t="s">
        <v>220</v>
      </c>
      <c r="D142" s="239">
        <f>D49</f>
        <v>354959.83777318004</v>
      </c>
      <c r="E142" s="239">
        <f>E49</f>
        <v>277323.05755141389</v>
      </c>
      <c r="F142" s="239">
        <f>F49</f>
        <v>0</v>
      </c>
      <c r="G142" s="239">
        <f>G49</f>
        <v>42065.589999999967</v>
      </c>
      <c r="H142" s="239">
        <f>H49</f>
        <v>590217.30532459402</v>
      </c>
    </row>
    <row r="143" spans="1:8" ht="18" customHeight="1" x14ac:dyDescent="0.55000000000000004">
      <c r="A143" s="180" t="s">
        <v>269</v>
      </c>
      <c r="B143" s="179" t="s">
        <v>222</v>
      </c>
      <c r="D143" s="239">
        <f>D64</f>
        <v>35618519.051742055</v>
      </c>
      <c r="E143" s="239">
        <f>E64</f>
        <v>261939.08628780735</v>
      </c>
      <c r="F143" s="239">
        <f>F64</f>
        <v>0</v>
      </c>
      <c r="G143" s="239">
        <f>G64</f>
        <v>19268621.780000001</v>
      </c>
      <c r="H143" s="239">
        <f>H64</f>
        <v>16611836.358029863</v>
      </c>
    </row>
    <row r="144" spans="1:8" ht="18" customHeight="1" x14ac:dyDescent="0.55000000000000004">
      <c r="A144" s="180" t="s">
        <v>161</v>
      </c>
      <c r="B144" s="179" t="s">
        <v>70</v>
      </c>
      <c r="D144" s="239">
        <f>D74</f>
        <v>1183310.7650000001</v>
      </c>
      <c r="E144" s="239">
        <f>E74</f>
        <v>924497.15281027672</v>
      </c>
      <c r="F144" s="239">
        <f>F74</f>
        <v>0</v>
      </c>
      <c r="G144" s="239">
        <f>G74</f>
        <v>753541</v>
      </c>
      <c r="H144" s="239">
        <f>H74</f>
        <v>1354266.9178102768</v>
      </c>
    </row>
    <row r="145" spans="1:8" ht="18" customHeight="1" x14ac:dyDescent="0.55000000000000004">
      <c r="A145" s="180" t="s">
        <v>171</v>
      </c>
      <c r="B145" s="179" t="s">
        <v>69</v>
      </c>
      <c r="D145" s="239">
        <f>D82</f>
        <v>237416.53528404003</v>
      </c>
      <c r="E145" s="239">
        <f>E82</f>
        <v>0</v>
      </c>
      <c r="F145" s="239">
        <f>F82</f>
        <v>0</v>
      </c>
      <c r="G145" s="239">
        <f>G82</f>
        <v>0</v>
      </c>
      <c r="H145" s="239">
        <f>H82</f>
        <v>237416.53528404003</v>
      </c>
    </row>
    <row r="146" spans="1:8" ht="18" customHeight="1" x14ac:dyDescent="0.55000000000000004">
      <c r="A146" s="180" t="s">
        <v>193</v>
      </c>
      <c r="B146" s="179" t="s">
        <v>226</v>
      </c>
      <c r="D146" s="239">
        <f>D98</f>
        <v>210657.36780284005</v>
      </c>
      <c r="E146" s="239">
        <f>E98</f>
        <v>164582.40938273963</v>
      </c>
      <c r="F146" s="239">
        <f>F98</f>
        <v>0</v>
      </c>
      <c r="G146" s="239">
        <f>G98</f>
        <v>0</v>
      </c>
      <c r="H146" s="239">
        <f>H98</f>
        <v>375239.77718557965</v>
      </c>
    </row>
    <row r="147" spans="1:8" ht="18" customHeight="1" x14ac:dyDescent="0.55000000000000004">
      <c r="A147" s="180" t="s">
        <v>204</v>
      </c>
      <c r="B147" s="179" t="s">
        <v>71</v>
      </c>
      <c r="D147" s="217">
        <f>D108</f>
        <v>218352.51191570342</v>
      </c>
      <c r="E147" s="217">
        <f>E108</f>
        <v>166660.32977205329</v>
      </c>
      <c r="F147" s="217">
        <f>F108</f>
        <v>0</v>
      </c>
      <c r="G147" s="217">
        <f>G108</f>
        <v>0</v>
      </c>
      <c r="H147" s="217">
        <f>H108</f>
        <v>385012.84168775665</v>
      </c>
    </row>
    <row r="148" spans="1:8" ht="18" customHeight="1" x14ac:dyDescent="0.55000000000000004">
      <c r="A148" s="180" t="s">
        <v>310</v>
      </c>
      <c r="B148" s="179" t="s">
        <v>58</v>
      </c>
      <c r="D148" s="240" t="s">
        <v>245</v>
      </c>
      <c r="E148" s="240" t="s">
        <v>245</v>
      </c>
      <c r="F148" s="240"/>
      <c r="G148" s="240" t="s">
        <v>245</v>
      </c>
      <c r="H148" s="239">
        <f>H111</f>
        <v>2682921.9025267037</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5532933.8868030375</v>
      </c>
      <c r="E150" s="217">
        <f>E18</f>
        <v>0</v>
      </c>
      <c r="F150" s="217">
        <f>F18</f>
        <v>0</v>
      </c>
      <c r="G150" s="217">
        <f>G18</f>
        <v>4585530.4687153921</v>
      </c>
      <c r="H150" s="217">
        <f>H18</f>
        <v>947403.41808764543</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46672581.046133414</v>
      </c>
      <c r="E152" s="241">
        <f>SUM(E141:E150)</f>
        <v>3376955.0765464273</v>
      </c>
      <c r="F152" s="241">
        <f>SUM(F141:F150)</f>
        <v>213047.53000000009</v>
      </c>
      <c r="G152" s="241">
        <f>SUM(G141:G150)</f>
        <v>24705720.968715392</v>
      </c>
      <c r="H152" s="241">
        <f>SUM(H141:H150)</f>
        <v>27813689.526491143</v>
      </c>
    </row>
    <row r="154" spans="1:8" ht="18" customHeight="1" x14ac:dyDescent="0.55000000000000004">
      <c r="A154" s="183" t="s">
        <v>339</v>
      </c>
      <c r="B154" s="179" t="s">
        <v>340</v>
      </c>
      <c r="D154" s="242">
        <f>H152/E121</f>
        <v>9.3367669758149377E-2</v>
      </c>
    </row>
    <row r="155" spans="1:8" ht="18" customHeight="1" x14ac:dyDescent="0.55000000000000004">
      <c r="A155" s="183" t="s">
        <v>341</v>
      </c>
      <c r="B155" s="179" t="s">
        <v>342</v>
      </c>
      <c r="D155" s="242">
        <f>H152/E127</f>
        <v>9.7688214340274175</v>
      </c>
    </row>
  </sheetData>
  <mergeCells count="8">
    <mergeCell ref="C10:E10"/>
    <mergeCell ref="C11:E11"/>
    <mergeCell ref="B13:D13"/>
    <mergeCell ref="C2:D2"/>
    <mergeCell ref="C5:E5"/>
    <mergeCell ref="C6:E6"/>
    <mergeCell ref="C7:E7"/>
    <mergeCell ref="C9:E9"/>
  </mergeCells>
  <hyperlinks>
    <hyperlink ref="C11" r:id="rId1" xr:uid="{D0C524FE-AC5F-4BDE-AB7B-5EDF1F1F8474}"/>
  </hyperlinks>
  <printOptions headings="1" gridLines="1"/>
  <pageMargins left="0.17" right="0.16" top="0.35" bottom="0.32" header="0.17" footer="0.17"/>
  <pageSetup scale="59" fitToHeight="3" orientation="landscape" horizontalDpi="4294967294" r:id="rId2"/>
  <headerFooter alignWithMargins="0"/>
  <rowBreaks count="4" manualBreakCount="4">
    <brk id="37" max="16383" man="1"/>
    <brk id="74" max="16383" man="1"/>
    <brk id="109" max="16383" man="1"/>
    <brk id="138"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B7D8C-9B9B-457D-BBA8-52ECCF180FFE}">
  <sheetPr codeName="Sheet24"/>
  <dimension ref="A1:O155"/>
  <sheetViews>
    <sheetView zoomScaleNormal="100" workbookViewId="0"/>
  </sheetViews>
  <sheetFormatPr defaultColWidth="9" defaultRowHeight="18" customHeight="1"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0" width="47.41796875" style="176" customWidth="1"/>
    <col min="11" max="11" width="17.15625" style="176" customWidth="1"/>
    <col min="12" max="13" width="21.15625" style="176" customWidth="1"/>
    <col min="14" max="14" width="19.83984375" style="176" customWidth="1"/>
    <col min="15" max="15" width="17.578125" style="176" customWidth="1"/>
    <col min="16"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01" t="s">
        <v>397</v>
      </c>
      <c r="D5" s="501"/>
      <c r="E5" s="501"/>
      <c r="F5" s="208"/>
    </row>
    <row r="6" spans="1:8" ht="18" customHeight="1" x14ac:dyDescent="0.55000000000000004">
      <c r="B6" s="180" t="s">
        <v>237</v>
      </c>
      <c r="C6" s="244" t="s">
        <v>398</v>
      </c>
      <c r="D6" s="244"/>
      <c r="E6" s="244"/>
      <c r="F6" s="209"/>
    </row>
    <row r="7" spans="1:8" ht="18" customHeight="1" x14ac:dyDescent="0.55000000000000004">
      <c r="B7" s="180" t="s">
        <v>238</v>
      </c>
      <c r="C7" s="245">
        <v>461</v>
      </c>
      <c r="D7" s="246"/>
      <c r="E7" s="246"/>
      <c r="F7" s="210"/>
    </row>
    <row r="8" spans="1:8" ht="18" customHeight="1" x14ac:dyDescent="0.55000000000000004">
      <c r="C8" s="211"/>
      <c r="D8" s="211"/>
      <c r="E8" s="211"/>
      <c r="F8" s="212"/>
    </row>
    <row r="9" spans="1:8" ht="18" customHeight="1" x14ac:dyDescent="0.55000000000000004">
      <c r="B9" s="180" t="s">
        <v>239</v>
      </c>
      <c r="C9" s="247" t="s">
        <v>480</v>
      </c>
      <c r="D9" s="247"/>
      <c r="E9" s="247"/>
      <c r="F9" s="208"/>
    </row>
    <row r="10" spans="1:8" ht="18" customHeight="1" x14ac:dyDescent="0.55000000000000004">
      <c r="B10" s="180" t="s">
        <v>241</v>
      </c>
      <c r="C10" s="248" t="s">
        <v>481</v>
      </c>
      <c r="D10" s="248"/>
      <c r="E10" s="248"/>
      <c r="F10" s="213"/>
    </row>
    <row r="11" spans="1:8" ht="18" customHeight="1" x14ac:dyDescent="0.55000000000000004">
      <c r="B11" s="180" t="s">
        <v>243</v>
      </c>
      <c r="C11" s="503" t="s">
        <v>399</v>
      </c>
      <c r="D11" s="503"/>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1157463.304381985</v>
      </c>
      <c r="E18" s="214"/>
      <c r="F18" s="214"/>
      <c r="G18" s="214">
        <v>959271.04087093018</v>
      </c>
      <c r="H18" s="249">
        <f>(D18+E18)-G18</f>
        <v>198192.2635110548</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12354</v>
      </c>
      <c r="E21" s="216">
        <f>D21*$E$114</f>
        <v>7941.1512000000002</v>
      </c>
      <c r="F21" s="216"/>
      <c r="G21" s="184">
        <v>1449</v>
      </c>
      <c r="H21" s="217">
        <f>(D21+E21)-F21-G21</f>
        <v>18846.1512</v>
      </c>
    </row>
    <row r="22" spans="1:8" ht="18" customHeight="1" x14ac:dyDescent="0.55000000000000004">
      <c r="A22" s="180" t="s">
        <v>112</v>
      </c>
      <c r="B22" s="176" t="s">
        <v>113</v>
      </c>
      <c r="D22" s="184"/>
      <c r="E22" s="216"/>
      <c r="F22" s="216"/>
      <c r="G22" s="184"/>
      <c r="H22" s="217">
        <f t="shared" ref="H22:H34" si="0">(D22+E22)-F22-G22</f>
        <v>0</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c r="E24" s="216"/>
      <c r="F24" s="216"/>
      <c r="G24" s="184"/>
      <c r="H24" s="217">
        <f t="shared" si="0"/>
        <v>0</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v>171417</v>
      </c>
      <c r="E29" s="216">
        <f>D29*$E$114</f>
        <v>110186.84760000001</v>
      </c>
      <c r="F29" s="216"/>
      <c r="G29" s="184"/>
      <c r="H29" s="217">
        <f t="shared" si="0"/>
        <v>281603.84759999998</v>
      </c>
    </row>
    <row r="30" spans="1:8" ht="18" customHeight="1" x14ac:dyDescent="0.55000000000000004">
      <c r="A30" s="180" t="s">
        <v>128</v>
      </c>
      <c r="B30" s="185" t="s">
        <v>400</v>
      </c>
      <c r="D30" s="184">
        <v>1995</v>
      </c>
      <c r="E30" s="216">
        <f>D30*$E$114</f>
        <v>1282.386</v>
      </c>
      <c r="F30" s="216"/>
      <c r="G30" s="184">
        <v>1949</v>
      </c>
      <c r="H30" s="217">
        <f t="shared" si="0"/>
        <v>1328.386</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185766</v>
      </c>
      <c r="E36" s="217">
        <f>SUM(E21:E34)</f>
        <v>119410.3848</v>
      </c>
      <c r="F36" s="217">
        <f>SUM(F21:F34)</f>
        <v>0</v>
      </c>
      <c r="G36" s="217">
        <f>SUM(G21:G34)</f>
        <v>3398</v>
      </c>
      <c r="H36" s="217">
        <f>SUM(H21:H34)</f>
        <v>301778.3848</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c r="E41" s="216"/>
      <c r="F41" s="216"/>
      <c r="G41" s="184"/>
      <c r="H41" s="217">
        <f t="shared" ref="H41:H47" si="1">(D41+E41)-F41-G41</f>
        <v>0</v>
      </c>
    </row>
    <row r="42" spans="1:8" ht="18" customHeight="1" x14ac:dyDescent="0.55000000000000004">
      <c r="A42" s="180" t="s">
        <v>252</v>
      </c>
      <c r="B42" s="176" t="s">
        <v>143</v>
      </c>
      <c r="D42" s="184">
        <v>103659</v>
      </c>
      <c r="E42" s="216">
        <f>D42*$E$114</f>
        <v>66632.0052</v>
      </c>
      <c r="F42" s="216"/>
      <c r="G42" s="184"/>
      <c r="H42" s="217">
        <f t="shared" si="1"/>
        <v>170291.00520000001</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15" ht="18" customHeight="1" x14ac:dyDescent="0.55000000000000004">
      <c r="A49" s="183" t="s">
        <v>150</v>
      </c>
      <c r="B49" s="179" t="s">
        <v>254</v>
      </c>
      <c r="C49" s="179" t="s">
        <v>248</v>
      </c>
      <c r="D49" s="217">
        <f>SUM(D40:D47)</f>
        <v>103659</v>
      </c>
      <c r="E49" s="217">
        <f>SUM(E40:E47)</f>
        <v>66632.0052</v>
      </c>
      <c r="F49" s="217">
        <f>SUM(F40:F47)</f>
        <v>0</v>
      </c>
      <c r="G49" s="217">
        <f>SUM(G40:G47)</f>
        <v>0</v>
      </c>
      <c r="H49" s="217">
        <f>SUM(H40:H47)</f>
        <v>170291.00520000001</v>
      </c>
    </row>
    <row r="50" spans="1:15" ht="18" customHeight="1" thickBot="1" x14ac:dyDescent="0.6">
      <c r="D50" s="189"/>
      <c r="E50" s="189"/>
      <c r="F50" s="189"/>
      <c r="G50" s="189"/>
      <c r="H50" s="189"/>
    </row>
    <row r="51" spans="1:15" ht="42.75" customHeight="1" x14ac:dyDescent="0.55000000000000004">
      <c r="D51" s="182" t="s">
        <v>99</v>
      </c>
      <c r="E51" s="182" t="s">
        <v>100</v>
      </c>
      <c r="F51" s="182" t="s">
        <v>431</v>
      </c>
      <c r="G51" s="182" t="s">
        <v>432</v>
      </c>
      <c r="H51" s="182" t="s">
        <v>244</v>
      </c>
    </row>
    <row r="52" spans="1:15" ht="18" customHeight="1" x14ac:dyDescent="0.55000000000000004">
      <c r="A52" s="183" t="s">
        <v>255</v>
      </c>
      <c r="B52" s="221" t="s">
        <v>256</v>
      </c>
      <c r="J52" s="179" t="s">
        <v>402</v>
      </c>
      <c r="K52" s="221"/>
    </row>
    <row r="53" spans="1:15" ht="18" customHeight="1" x14ac:dyDescent="0.55000000000000004">
      <c r="A53" s="180" t="s">
        <v>257</v>
      </c>
      <c r="B53" s="176" t="s">
        <v>433</v>
      </c>
      <c r="D53" s="289">
        <v>656538</v>
      </c>
      <c r="E53" s="216">
        <f t="shared" ref="E53:E62" si="2">D53*$E$114</f>
        <v>422022.62640000001</v>
      </c>
      <c r="F53" s="289">
        <v>0</v>
      </c>
      <c r="G53" s="289">
        <v>0</v>
      </c>
      <c r="H53" s="290">
        <f>(D53+E53)-F53-G53</f>
        <v>1078560.6264</v>
      </c>
      <c r="J53" s="226" t="s">
        <v>482</v>
      </c>
      <c r="K53" s="289">
        <v>4500</v>
      </c>
      <c r="L53" s="216">
        <f>K53*$E$114</f>
        <v>2892.6000000000004</v>
      </c>
      <c r="M53" s="289"/>
      <c r="N53" s="289">
        <v>1155</v>
      </c>
      <c r="O53" s="290">
        <f>(K53+L53)-M53-N53</f>
        <v>6237.6</v>
      </c>
    </row>
    <row r="54" spans="1:15" ht="18" customHeight="1" x14ac:dyDescent="0.55000000000000004">
      <c r="A54" s="180" t="s">
        <v>259</v>
      </c>
      <c r="B54" s="193" t="s">
        <v>483</v>
      </c>
      <c r="D54" s="291">
        <v>13481</v>
      </c>
      <c r="E54" s="216">
        <f t="shared" si="2"/>
        <v>8665.5868000000009</v>
      </c>
      <c r="F54" s="292"/>
      <c r="G54" s="291">
        <v>10768</v>
      </c>
      <c r="H54" s="290">
        <f t="shared" ref="H54:H62" si="3">(D54+E54)-F54-G54</f>
        <v>11378.586800000001</v>
      </c>
      <c r="J54" s="226" t="s">
        <v>484</v>
      </c>
      <c r="K54" s="289">
        <v>140196</v>
      </c>
      <c r="L54" s="216">
        <f>K54*$E$114</f>
        <v>90117.988800000006</v>
      </c>
      <c r="M54" s="289"/>
      <c r="N54" s="289">
        <v>119489</v>
      </c>
      <c r="O54" s="290">
        <f>(K54+L54)-M54-N54</f>
        <v>110824.98879999999</v>
      </c>
    </row>
    <row r="55" spans="1:15" ht="18" customHeight="1" x14ac:dyDescent="0.55000000000000004">
      <c r="A55" s="180" t="s">
        <v>260</v>
      </c>
      <c r="B55" s="194" t="s">
        <v>485</v>
      </c>
      <c r="D55" s="291">
        <v>379990</v>
      </c>
      <c r="E55" s="216">
        <f t="shared" si="2"/>
        <v>244257.57200000001</v>
      </c>
      <c r="F55" s="292"/>
      <c r="G55" s="291">
        <v>105430</v>
      </c>
      <c r="H55" s="290">
        <f t="shared" si="3"/>
        <v>518817.57200000004</v>
      </c>
      <c r="J55" s="226" t="s">
        <v>486</v>
      </c>
      <c r="K55" s="289">
        <v>372829</v>
      </c>
      <c r="L55" s="216">
        <f>K55*$E$114</f>
        <v>239654.48120000001</v>
      </c>
      <c r="M55" s="289"/>
      <c r="N55" s="289">
        <v>272834</v>
      </c>
      <c r="O55" s="290">
        <f>(K55+L55)-M55-N55</f>
        <v>339649.48120000004</v>
      </c>
    </row>
    <row r="56" spans="1:15" ht="18" customHeight="1" x14ac:dyDescent="0.55000000000000004">
      <c r="A56" s="180" t="s">
        <v>261</v>
      </c>
      <c r="B56" s="193" t="s">
        <v>487</v>
      </c>
      <c r="D56" s="291">
        <v>1019049</v>
      </c>
      <c r="E56" s="216">
        <f t="shared" si="2"/>
        <v>655044.69720000005</v>
      </c>
      <c r="F56" s="292"/>
      <c r="G56" s="291">
        <v>772838</v>
      </c>
      <c r="H56" s="290">
        <f t="shared" si="3"/>
        <v>901255.69720000005</v>
      </c>
    </row>
    <row r="57" spans="1:15" ht="18" customHeight="1" x14ac:dyDescent="0.55000000000000004">
      <c r="A57" s="180" t="s">
        <v>263</v>
      </c>
      <c r="B57" s="193" t="s">
        <v>488</v>
      </c>
      <c r="D57" s="291">
        <v>707662</v>
      </c>
      <c r="E57" s="216">
        <f t="shared" si="2"/>
        <v>454885.1336</v>
      </c>
      <c r="F57" s="292"/>
      <c r="G57" s="291">
        <v>725141</v>
      </c>
      <c r="H57" s="290">
        <f t="shared" si="3"/>
        <v>437406.13360000006</v>
      </c>
    </row>
    <row r="58" spans="1:15" ht="18" customHeight="1" x14ac:dyDescent="0.55000000000000004">
      <c r="A58" s="180" t="s">
        <v>264</v>
      </c>
      <c r="B58" s="193" t="s">
        <v>489</v>
      </c>
      <c r="D58" s="291">
        <v>853682</v>
      </c>
      <c r="E58" s="216">
        <f t="shared" si="2"/>
        <v>548746.78960000002</v>
      </c>
      <c r="F58" s="292"/>
      <c r="G58" s="291">
        <v>382157</v>
      </c>
      <c r="H58" s="290">
        <f>(D58+E58)-F58-G58</f>
        <v>1020271.7896</v>
      </c>
    </row>
    <row r="59" spans="1:15" ht="18" customHeight="1" x14ac:dyDescent="0.55000000000000004">
      <c r="A59" s="180" t="s">
        <v>265</v>
      </c>
      <c r="B59" s="223" t="s">
        <v>490</v>
      </c>
      <c r="D59" s="293">
        <v>1241446</v>
      </c>
      <c r="E59" s="216">
        <f t="shared" si="2"/>
        <v>798001.48880000005</v>
      </c>
      <c r="F59" s="294"/>
      <c r="G59" s="293">
        <v>330655</v>
      </c>
      <c r="H59" s="290">
        <f t="shared" si="3"/>
        <v>1708792.4887999999</v>
      </c>
    </row>
    <row r="60" spans="1:15" ht="18" customHeight="1" x14ac:dyDescent="0.55000000000000004">
      <c r="A60" s="180" t="s">
        <v>266</v>
      </c>
      <c r="B60" s="226" t="s">
        <v>491</v>
      </c>
      <c r="C60" s="212"/>
      <c r="D60" s="289">
        <v>164110</v>
      </c>
      <c r="E60" s="216">
        <f t="shared" si="2"/>
        <v>105489.90800000001</v>
      </c>
      <c r="F60" s="289"/>
      <c r="G60" s="289">
        <v>186754</v>
      </c>
      <c r="H60" s="290">
        <f t="shared" si="3"/>
        <v>82845.907999999996</v>
      </c>
    </row>
    <row r="61" spans="1:15" ht="18" customHeight="1" x14ac:dyDescent="0.55000000000000004">
      <c r="A61" s="180" t="s">
        <v>267</v>
      </c>
      <c r="B61" s="226" t="s">
        <v>492</v>
      </c>
      <c r="C61" s="212"/>
      <c r="D61" s="289">
        <v>459085</v>
      </c>
      <c r="E61" s="216">
        <f t="shared" si="2"/>
        <v>295099.83799999999</v>
      </c>
      <c r="F61" s="289"/>
      <c r="G61" s="289">
        <v>135156</v>
      </c>
      <c r="H61" s="290">
        <f t="shared" si="3"/>
        <v>619028.83799999999</v>
      </c>
    </row>
    <row r="62" spans="1:15" ht="18" customHeight="1" x14ac:dyDescent="0.55000000000000004">
      <c r="A62" s="180" t="s">
        <v>268</v>
      </c>
      <c r="B62" s="226" t="s">
        <v>493</v>
      </c>
      <c r="C62" s="212"/>
      <c r="D62" s="289">
        <v>37821</v>
      </c>
      <c r="E62" s="216">
        <f t="shared" si="2"/>
        <v>24311.338800000001</v>
      </c>
      <c r="F62" s="289"/>
      <c r="G62" s="289">
        <v>2887</v>
      </c>
      <c r="H62" s="290">
        <f t="shared" si="3"/>
        <v>59245.338799999998</v>
      </c>
    </row>
    <row r="63" spans="1:15" ht="18" customHeight="1" x14ac:dyDescent="0.55000000000000004">
      <c r="A63" s="180"/>
      <c r="E63" s="227"/>
      <c r="F63" s="192"/>
    </row>
    <row r="64" spans="1:15" ht="18" customHeight="1" x14ac:dyDescent="0.55000000000000004">
      <c r="A64" s="180" t="s">
        <v>269</v>
      </c>
      <c r="B64" s="179" t="s">
        <v>270</v>
      </c>
      <c r="C64" s="179" t="s">
        <v>248</v>
      </c>
      <c r="D64" s="217">
        <f>SUM(D53:D62)+SUM(K53:K55)</f>
        <v>6050389</v>
      </c>
      <c r="E64" s="217">
        <f>SUM(E53:E62)+SUM(L53:L55)</f>
        <v>3889190.0491999998</v>
      </c>
      <c r="F64" s="217">
        <f>SUM(F53:F62)+SUM(M53:M55)</f>
        <v>0</v>
      </c>
      <c r="G64" s="217">
        <f>SUM(G53:G62)+SUM(N53:N55)</f>
        <v>3045264</v>
      </c>
      <c r="H64" s="217">
        <f>SUM(H53:H62)+SUM(O53:O55)</f>
        <v>6894315.0492000002</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v>3327</v>
      </c>
      <c r="E79" s="230"/>
      <c r="F79" s="220"/>
      <c r="G79" s="184">
        <v>896</v>
      </c>
      <c r="H79" s="217">
        <f>(D79-F79-G79)</f>
        <v>2431</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3327</v>
      </c>
      <c r="E82" s="231"/>
      <c r="F82" s="217">
        <f>SUM(F77:F80)</f>
        <v>0</v>
      </c>
      <c r="G82" s="217">
        <f>SUM(G77:G80)</f>
        <v>896</v>
      </c>
      <c r="H82" s="217">
        <f>SUM(H77:H80)</f>
        <v>2431</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4">(D87+E87)-F87-G87</f>
        <v>0</v>
      </c>
    </row>
    <row r="88" spans="1:8" ht="18" customHeight="1" x14ac:dyDescent="0.55000000000000004">
      <c r="A88" s="180" t="s">
        <v>288</v>
      </c>
      <c r="B88" s="176" t="s">
        <v>289</v>
      </c>
      <c r="D88" s="184"/>
      <c r="E88" s="216"/>
      <c r="F88" s="216"/>
      <c r="G88" s="184"/>
      <c r="H88" s="217">
        <f t="shared" si="4"/>
        <v>0</v>
      </c>
    </row>
    <row r="89" spans="1:8" ht="18" customHeight="1" x14ac:dyDescent="0.55000000000000004">
      <c r="A89" s="180" t="s">
        <v>290</v>
      </c>
      <c r="B89" s="176" t="s">
        <v>181</v>
      </c>
      <c r="D89" s="184"/>
      <c r="E89" s="216"/>
      <c r="F89" s="216"/>
      <c r="G89" s="184"/>
      <c r="H89" s="217">
        <f t="shared" si="4"/>
        <v>0</v>
      </c>
    </row>
    <row r="90" spans="1:8" ht="18" customHeight="1" x14ac:dyDescent="0.55000000000000004">
      <c r="A90" s="180" t="s">
        <v>291</v>
      </c>
      <c r="B90" s="176" t="s">
        <v>183</v>
      </c>
      <c r="D90" s="184"/>
      <c r="E90" s="216"/>
      <c r="F90" s="216"/>
      <c r="G90" s="184"/>
      <c r="H90" s="217">
        <f t="shared" si="4"/>
        <v>0</v>
      </c>
    </row>
    <row r="91" spans="1:8" ht="18" customHeight="1" x14ac:dyDescent="0.55000000000000004">
      <c r="A91" s="180" t="s">
        <v>292</v>
      </c>
      <c r="B91" s="176" t="s">
        <v>185</v>
      </c>
      <c r="D91" s="184">
        <v>2830</v>
      </c>
      <c r="E91" s="216">
        <f>D91*$E$114</f>
        <v>1819.124</v>
      </c>
      <c r="F91" s="216"/>
      <c r="G91" s="184"/>
      <c r="H91" s="217">
        <f t="shared" si="4"/>
        <v>4649.1239999999998</v>
      </c>
    </row>
    <row r="92" spans="1:8" ht="18" customHeight="1" x14ac:dyDescent="0.55000000000000004">
      <c r="A92" s="180" t="s">
        <v>293</v>
      </c>
      <c r="B92" s="176" t="s">
        <v>294</v>
      </c>
      <c r="D92" s="233">
        <v>781</v>
      </c>
      <c r="E92" s="216">
        <f>D92*$E$114</f>
        <v>502.02680000000004</v>
      </c>
      <c r="F92" s="234"/>
      <c r="G92" s="233"/>
      <c r="H92" s="217">
        <f t="shared" si="4"/>
        <v>1283.0268000000001</v>
      </c>
    </row>
    <row r="93" spans="1:8" ht="18" customHeight="1" x14ac:dyDescent="0.55000000000000004">
      <c r="A93" s="180" t="s">
        <v>295</v>
      </c>
      <c r="B93" s="176" t="s">
        <v>296</v>
      </c>
      <c r="D93" s="184">
        <v>427528</v>
      </c>
      <c r="E93" s="216">
        <f>D93*$E$114</f>
        <v>274814.99840000004</v>
      </c>
      <c r="F93" s="216"/>
      <c r="G93" s="184"/>
      <c r="H93" s="217">
        <f t="shared" si="4"/>
        <v>702342.99840000004</v>
      </c>
    </row>
    <row r="94" spans="1:8" ht="18" customHeight="1" x14ac:dyDescent="0.55000000000000004">
      <c r="A94" s="180" t="s">
        <v>297</v>
      </c>
      <c r="B94" s="193"/>
      <c r="D94" s="184"/>
      <c r="E94" s="216"/>
      <c r="F94" s="216"/>
      <c r="G94" s="184"/>
      <c r="H94" s="217">
        <f t="shared" si="4"/>
        <v>0</v>
      </c>
    </row>
    <row r="95" spans="1:8" ht="18" customHeight="1" x14ac:dyDescent="0.55000000000000004">
      <c r="A95" s="180" t="s">
        <v>298</v>
      </c>
      <c r="B95" s="193"/>
      <c r="D95" s="184"/>
      <c r="E95" s="216"/>
      <c r="F95" s="216"/>
      <c r="G95" s="184"/>
      <c r="H95" s="217">
        <f t="shared" si="4"/>
        <v>0</v>
      </c>
    </row>
    <row r="96" spans="1:8" ht="18" customHeight="1" x14ac:dyDescent="0.55000000000000004">
      <c r="A96" s="180" t="s">
        <v>299</v>
      </c>
      <c r="B96" s="193"/>
      <c r="D96" s="184"/>
      <c r="E96" s="216"/>
      <c r="F96" s="216"/>
      <c r="G96" s="184"/>
      <c r="H96" s="217">
        <f t="shared" si="4"/>
        <v>0</v>
      </c>
    </row>
    <row r="97" spans="1:8" ht="18" customHeight="1" x14ac:dyDescent="0.55000000000000004">
      <c r="A97" s="180"/>
    </row>
    <row r="98" spans="1:8" ht="18" customHeight="1" x14ac:dyDescent="0.55000000000000004">
      <c r="A98" s="183" t="s">
        <v>193</v>
      </c>
      <c r="B98" s="179" t="s">
        <v>300</v>
      </c>
      <c r="C98" s="179" t="s">
        <v>248</v>
      </c>
      <c r="D98" s="217">
        <f>SUM(D86:D96)</f>
        <v>431139</v>
      </c>
      <c r="E98" s="217">
        <f>SUM(E86:E96)</f>
        <v>277136.14920000004</v>
      </c>
      <c r="F98" s="217">
        <f>SUM(F86:F96)</f>
        <v>0</v>
      </c>
      <c r="G98" s="217">
        <f>SUM(G86:G96)</f>
        <v>0</v>
      </c>
      <c r="H98" s="217">
        <f>SUM(H86:H96)</f>
        <v>708275.14919999999</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3896</v>
      </c>
      <c r="E102" s="216">
        <f>D102*$E$114</f>
        <v>2504.3488000000002</v>
      </c>
      <c r="F102" s="216"/>
      <c r="G102" s="184"/>
      <c r="H102" s="217">
        <f>(D102+E102)-F102-G102</f>
        <v>6400.3487999999998</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t="s">
        <v>401</v>
      </c>
      <c r="D104" s="184">
        <v>13599</v>
      </c>
      <c r="E104" s="216">
        <f>D104*$E$114</f>
        <v>8741.4372000000003</v>
      </c>
      <c r="F104" s="216"/>
      <c r="G104" s="184"/>
      <c r="H104" s="217">
        <f>(D104+E104)-F104-G104</f>
        <v>22340.4372</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17495</v>
      </c>
      <c r="E108" s="217">
        <f>SUM(E102:E106)</f>
        <v>11245.786</v>
      </c>
      <c r="F108" s="217">
        <f>SUM(F102:F106)</f>
        <v>0</v>
      </c>
      <c r="G108" s="217">
        <f>SUM(G102:G106)</f>
        <v>0</v>
      </c>
      <c r="H108" s="217">
        <f>SUM(H102:H106)</f>
        <v>28740.786</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2863048</v>
      </c>
      <c r="G111" s="184">
        <f>70824+70824</f>
        <v>141648</v>
      </c>
      <c r="H111" s="217">
        <f>F111-G111</f>
        <v>2721400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0.64280000000000004</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f>56311976+2861303</f>
        <v>59173279</v>
      </c>
      <c r="F117" s="237"/>
    </row>
    <row r="118" spans="1:7" ht="18" customHeight="1" x14ac:dyDescent="0.55000000000000004">
      <c r="A118" s="180" t="s">
        <v>319</v>
      </c>
      <c r="B118" s="176" t="s">
        <v>320</v>
      </c>
      <c r="E118" s="184">
        <f>5365039+1224925+102940+184127</f>
        <v>6877031</v>
      </c>
      <c r="F118" s="237"/>
    </row>
    <row r="119" spans="1:7" ht="18" customHeight="1" x14ac:dyDescent="0.55000000000000004">
      <c r="A119" s="180" t="s">
        <v>321</v>
      </c>
      <c r="B119" s="179" t="s">
        <v>322</v>
      </c>
      <c r="E119" s="217">
        <f>SUM(E117:E118)</f>
        <v>66050310</v>
      </c>
      <c r="F119" s="238"/>
    </row>
    <row r="120" spans="1:7" ht="18" customHeight="1" x14ac:dyDescent="0.55000000000000004">
      <c r="A120" s="180"/>
      <c r="B120" s="179"/>
      <c r="F120" s="212"/>
    </row>
    <row r="121" spans="1:7" ht="18" customHeight="1" x14ac:dyDescent="0.55000000000000004">
      <c r="A121" s="180" t="s">
        <v>323</v>
      </c>
      <c r="B121" s="179" t="s">
        <v>324</v>
      </c>
      <c r="E121" s="184">
        <f>55421106+6124336</f>
        <v>61545442</v>
      </c>
      <c r="F121" s="237"/>
    </row>
    <row r="122" spans="1:7" ht="18" customHeight="1" x14ac:dyDescent="0.55000000000000004">
      <c r="A122" s="180"/>
      <c r="F122" s="212"/>
    </row>
    <row r="123" spans="1:7" ht="18" customHeight="1" x14ac:dyDescent="0.55000000000000004">
      <c r="A123" s="180" t="s">
        <v>325</v>
      </c>
      <c r="B123" s="179" t="s">
        <v>326</v>
      </c>
      <c r="E123" s="184">
        <f>7583774-3078906</f>
        <v>4504868</v>
      </c>
      <c r="F123" s="237"/>
    </row>
    <row r="124" spans="1:7" ht="18" customHeight="1" x14ac:dyDescent="0.55000000000000004">
      <c r="A124" s="180"/>
      <c r="F124" s="212"/>
    </row>
    <row r="125" spans="1:7" ht="18" customHeight="1" x14ac:dyDescent="0.55000000000000004">
      <c r="A125" s="180" t="s">
        <v>327</v>
      </c>
      <c r="B125" s="179" t="s">
        <v>328</v>
      </c>
      <c r="E125" s="184">
        <v>986931</v>
      </c>
      <c r="F125" s="237"/>
    </row>
    <row r="126" spans="1:7" ht="18" customHeight="1" x14ac:dyDescent="0.55000000000000004">
      <c r="A126" s="180"/>
      <c r="F126" s="212"/>
    </row>
    <row r="127" spans="1:7" ht="18" customHeight="1" x14ac:dyDescent="0.55000000000000004">
      <c r="A127" s="180" t="s">
        <v>329</v>
      </c>
      <c r="B127" s="179" t="s">
        <v>330</v>
      </c>
      <c r="E127" s="184">
        <f>8570705-3078906</f>
        <v>5491799</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185766</v>
      </c>
      <c r="E141" s="239">
        <f>E36</f>
        <v>119410.3848</v>
      </c>
      <c r="F141" s="239">
        <f>F36</f>
        <v>0</v>
      </c>
      <c r="G141" s="239">
        <f>G36</f>
        <v>3398</v>
      </c>
      <c r="H141" s="239">
        <f>H36</f>
        <v>301778.3848</v>
      </c>
    </row>
    <row r="142" spans="1:8" ht="18" customHeight="1" x14ac:dyDescent="0.55000000000000004">
      <c r="A142" s="180" t="s">
        <v>150</v>
      </c>
      <c r="B142" s="179" t="s">
        <v>220</v>
      </c>
      <c r="D142" s="239">
        <f>D49</f>
        <v>103659</v>
      </c>
      <c r="E142" s="239">
        <f>E49</f>
        <v>66632.0052</v>
      </c>
      <c r="F142" s="239">
        <f>F49</f>
        <v>0</v>
      </c>
      <c r="G142" s="239">
        <f>G49</f>
        <v>0</v>
      </c>
      <c r="H142" s="239">
        <f>H49</f>
        <v>170291.00520000001</v>
      </c>
    </row>
    <row r="143" spans="1:8" ht="18" customHeight="1" x14ac:dyDescent="0.55000000000000004">
      <c r="A143" s="180" t="s">
        <v>269</v>
      </c>
      <c r="B143" s="179" t="s">
        <v>222</v>
      </c>
      <c r="D143" s="239">
        <f>D64</f>
        <v>6050389</v>
      </c>
      <c r="E143" s="239">
        <f>E64</f>
        <v>3889190.0491999998</v>
      </c>
      <c r="F143" s="239">
        <f>F64</f>
        <v>0</v>
      </c>
      <c r="G143" s="239">
        <f>G64</f>
        <v>3045264</v>
      </c>
      <c r="H143" s="239">
        <f>H64</f>
        <v>6894315.0492000002</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3327</v>
      </c>
      <c r="E145" s="239">
        <f>E82</f>
        <v>0</v>
      </c>
      <c r="F145" s="239">
        <f>F82</f>
        <v>0</v>
      </c>
      <c r="G145" s="239">
        <f>G82</f>
        <v>896</v>
      </c>
      <c r="H145" s="239">
        <f>H82</f>
        <v>2431</v>
      </c>
    </row>
    <row r="146" spans="1:8" ht="18" customHeight="1" x14ac:dyDescent="0.55000000000000004">
      <c r="A146" s="180" t="s">
        <v>193</v>
      </c>
      <c r="B146" s="179" t="s">
        <v>226</v>
      </c>
      <c r="D146" s="239">
        <f>D98</f>
        <v>431139</v>
      </c>
      <c r="E146" s="239">
        <f>E98</f>
        <v>277136.14920000004</v>
      </c>
      <c r="F146" s="239">
        <f>F98</f>
        <v>0</v>
      </c>
      <c r="G146" s="239">
        <f>G98</f>
        <v>0</v>
      </c>
      <c r="H146" s="239">
        <f>H98</f>
        <v>708275.14919999999</v>
      </c>
    </row>
    <row r="147" spans="1:8" ht="18" customHeight="1" x14ac:dyDescent="0.55000000000000004">
      <c r="A147" s="180" t="s">
        <v>204</v>
      </c>
      <c r="B147" s="179" t="s">
        <v>71</v>
      </c>
      <c r="D147" s="217">
        <f>D108</f>
        <v>17495</v>
      </c>
      <c r="E147" s="217">
        <f>E108</f>
        <v>11245.786</v>
      </c>
      <c r="F147" s="217">
        <f>F108</f>
        <v>0</v>
      </c>
      <c r="G147" s="217">
        <f>G108</f>
        <v>0</v>
      </c>
      <c r="H147" s="217">
        <f>H108</f>
        <v>28740.786</v>
      </c>
    </row>
    <row r="148" spans="1:8" ht="18" customHeight="1" x14ac:dyDescent="0.55000000000000004">
      <c r="A148" s="180" t="s">
        <v>310</v>
      </c>
      <c r="B148" s="179" t="s">
        <v>58</v>
      </c>
      <c r="D148" s="240" t="s">
        <v>245</v>
      </c>
      <c r="E148" s="240" t="s">
        <v>245</v>
      </c>
      <c r="F148" s="240"/>
      <c r="G148" s="240" t="s">
        <v>245</v>
      </c>
      <c r="H148" s="239">
        <f>H111</f>
        <v>2721400</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1157463.304381985</v>
      </c>
      <c r="E150" s="217">
        <f>E18</f>
        <v>0</v>
      </c>
      <c r="F150" s="217">
        <f>F18</f>
        <v>0</v>
      </c>
      <c r="G150" s="217">
        <f>G18</f>
        <v>959271.04087093018</v>
      </c>
      <c r="H150" s="217">
        <f>H18</f>
        <v>198192.2635110548</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7949238.3043819852</v>
      </c>
      <c r="E152" s="241">
        <f>SUM(E141:E150)</f>
        <v>4363614.3744000001</v>
      </c>
      <c r="F152" s="241">
        <f>SUM(F141:F150)</f>
        <v>0</v>
      </c>
      <c r="G152" s="241">
        <f>SUM(G141:G150)</f>
        <v>4008829.0408709301</v>
      </c>
      <c r="H152" s="241">
        <f>SUM(H141:H150)</f>
        <v>11025423.637911055</v>
      </c>
    </row>
    <row r="154" spans="1:8" ht="18" customHeight="1" x14ac:dyDescent="0.55000000000000004">
      <c r="A154" s="183" t="s">
        <v>339</v>
      </c>
      <c r="B154" s="179" t="s">
        <v>340</v>
      </c>
      <c r="D154" s="242">
        <f>H152/E121</f>
        <v>0.17914281349886244</v>
      </c>
    </row>
    <row r="155" spans="1:8" ht="18" customHeight="1" x14ac:dyDescent="0.55000000000000004">
      <c r="A155" s="183" t="s">
        <v>341</v>
      </c>
      <c r="B155" s="179" t="s">
        <v>342</v>
      </c>
      <c r="D155" s="242">
        <f>H152/E127</f>
        <v>2.007616017613</v>
      </c>
    </row>
  </sheetData>
  <mergeCells count="4">
    <mergeCell ref="C2:D2"/>
    <mergeCell ref="C5:E5"/>
    <mergeCell ref="C11:D11"/>
    <mergeCell ref="B13:D13"/>
  </mergeCells>
  <hyperlinks>
    <hyperlink ref="C11" r:id="rId1" xr:uid="{53D516A1-D801-4D79-87B6-6B83C4C1496C}"/>
  </hyperlinks>
  <printOptions headings="1" gridLines="1"/>
  <pageMargins left="0.17" right="0.16" top="0.35" bottom="0.32" header="0.17" footer="0.17"/>
  <pageSetup scale="59" fitToHeight="3" orientation="landscape" horizontalDpi="4294967294" r:id="rId2"/>
  <headerFooter alignWithMargins="0"/>
  <rowBreaks count="4" manualBreakCount="4">
    <brk id="37" max="16383" man="1"/>
    <brk id="74" max="16383" man="1"/>
    <brk id="109" max="16383" man="1"/>
    <brk id="1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043DD-6933-47AF-A0BA-F13CF120F03D}">
  <sheetPr codeName="Sheet25"/>
  <dimension ref="A1:J161"/>
  <sheetViews>
    <sheetView zoomScaleNormal="100" workbookViewId="0"/>
  </sheetViews>
  <sheetFormatPr defaultColWidth="9" defaultRowHeight="18" customHeight="1" x14ac:dyDescent="0.55000000000000004"/>
  <cols>
    <col min="1" max="1" width="8.26171875" style="175" customWidth="1"/>
    <col min="2" max="2" width="55.26171875" style="176" bestFit="1" customWidth="1"/>
    <col min="3" max="3" width="12.26171875" style="176" customWidth="1"/>
    <col min="4" max="4" width="17.15625" style="176" customWidth="1"/>
    <col min="5" max="6" width="21.15625" style="176" customWidth="1"/>
    <col min="7" max="7" width="19.68359375" style="176" customWidth="1"/>
    <col min="8" max="8" width="27.2617187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517" t="s">
        <v>699</v>
      </c>
      <c r="D2" s="518"/>
      <c r="E2" s="518"/>
      <c r="F2" s="518"/>
      <c r="G2" s="518"/>
    </row>
    <row r="3" spans="1:8" ht="18" customHeight="1" x14ac:dyDescent="0.55000000000000004">
      <c r="B3" s="179" t="s">
        <v>235</v>
      </c>
    </row>
    <row r="5" spans="1:8" ht="18" customHeight="1" x14ac:dyDescent="0.55000000000000004">
      <c r="B5" s="180" t="s">
        <v>236</v>
      </c>
      <c r="C5" s="519" t="s">
        <v>710</v>
      </c>
      <c r="D5" s="519"/>
      <c r="E5" s="519"/>
      <c r="F5" s="435"/>
      <c r="G5" s="435"/>
    </row>
    <row r="6" spans="1:8" ht="18" customHeight="1" x14ac:dyDescent="0.55000000000000004">
      <c r="B6" s="180" t="s">
        <v>237</v>
      </c>
      <c r="C6" s="520">
        <v>210018</v>
      </c>
      <c r="D6" s="520"/>
      <c r="E6" s="520"/>
      <c r="F6" s="436"/>
      <c r="G6" s="436"/>
    </row>
    <row r="7" spans="1:8" ht="18" customHeight="1" x14ac:dyDescent="0.55000000000000004">
      <c r="B7" s="180" t="s">
        <v>238</v>
      </c>
      <c r="C7" s="245">
        <v>993</v>
      </c>
      <c r="D7" s="246"/>
      <c r="E7" s="246"/>
      <c r="F7" s="210"/>
    </row>
    <row r="8" spans="1:8" ht="18" customHeight="1" x14ac:dyDescent="0.55000000000000004">
      <c r="C8" s="211"/>
      <c r="D8" s="211"/>
      <c r="E8" s="211"/>
      <c r="F8" s="212"/>
    </row>
    <row r="9" spans="1:8" ht="18" customHeight="1" x14ac:dyDescent="0.55000000000000004">
      <c r="B9" s="180" t="s">
        <v>239</v>
      </c>
      <c r="C9" s="437" t="s">
        <v>701</v>
      </c>
      <c r="D9" s="437"/>
      <c r="E9" s="437"/>
      <c r="F9" s="208"/>
    </row>
    <row r="10" spans="1:8" ht="18" customHeight="1" x14ac:dyDescent="0.55000000000000004">
      <c r="B10" s="180" t="s">
        <v>241</v>
      </c>
      <c r="C10" s="248" t="s">
        <v>702</v>
      </c>
      <c r="D10" s="248"/>
      <c r="E10" s="248"/>
      <c r="F10" s="213"/>
    </row>
    <row r="11" spans="1:8" ht="18" customHeight="1" x14ac:dyDescent="0.55000000000000004">
      <c r="B11" s="180" t="s">
        <v>243</v>
      </c>
      <c r="C11" s="501" t="s">
        <v>711</v>
      </c>
      <c r="D11" s="501"/>
      <c r="E11" s="50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31">
        <v>3364107.8739901301</v>
      </c>
      <c r="E18" s="231"/>
      <c r="F18" s="231"/>
      <c r="G18" s="231">
        <v>2788072.2003603168</v>
      </c>
      <c r="H18" s="215">
        <f>(D18+E18)-G18</f>
        <v>576035.67362981336</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58309</v>
      </c>
      <c r="E21" s="216">
        <v>956</v>
      </c>
      <c r="F21" s="216"/>
      <c r="G21" s="184">
        <v>0</v>
      </c>
      <c r="H21" s="217">
        <v>59265</v>
      </c>
    </row>
    <row r="22" spans="1:8" ht="18" customHeight="1" x14ac:dyDescent="0.55000000000000004">
      <c r="A22" s="180" t="s">
        <v>112</v>
      </c>
      <c r="B22" s="176" t="s">
        <v>113</v>
      </c>
      <c r="D22" s="184"/>
      <c r="E22" s="216"/>
      <c r="F22" s="216"/>
      <c r="G22" s="184"/>
      <c r="H22" s="217">
        <v>0</v>
      </c>
    </row>
    <row r="23" spans="1:8" ht="18" customHeight="1" x14ac:dyDescent="0.55000000000000004">
      <c r="A23" s="180" t="s">
        <v>114</v>
      </c>
      <c r="B23" s="176" t="s">
        <v>115</v>
      </c>
      <c r="D23" s="184"/>
      <c r="E23" s="216"/>
      <c r="F23" s="216"/>
      <c r="G23" s="184"/>
      <c r="H23" s="217">
        <v>0</v>
      </c>
    </row>
    <row r="24" spans="1:8" ht="18" customHeight="1" x14ac:dyDescent="0.55000000000000004">
      <c r="A24" s="180" t="s">
        <v>116</v>
      </c>
      <c r="B24" s="176" t="s">
        <v>117</v>
      </c>
      <c r="D24" s="184"/>
      <c r="E24" s="216"/>
      <c r="F24" s="216"/>
      <c r="G24" s="184"/>
      <c r="H24" s="217">
        <v>0</v>
      </c>
    </row>
    <row r="25" spans="1:8" ht="18" customHeight="1" x14ac:dyDescent="0.55000000000000004">
      <c r="A25" s="180" t="s">
        <v>118</v>
      </c>
      <c r="B25" s="176" t="s">
        <v>119</v>
      </c>
      <c r="D25" s="184">
        <v>51579</v>
      </c>
      <c r="E25" s="216">
        <v>50290</v>
      </c>
      <c r="F25" s="216"/>
      <c r="G25" s="184">
        <v>0</v>
      </c>
      <c r="H25" s="217">
        <v>101869</v>
      </c>
    </row>
    <row r="26" spans="1:8" ht="18" customHeight="1" x14ac:dyDescent="0.55000000000000004">
      <c r="A26" s="180" t="s">
        <v>120</v>
      </c>
      <c r="B26" s="176" t="s">
        <v>121</v>
      </c>
      <c r="D26" s="184"/>
      <c r="E26" s="216"/>
      <c r="F26" s="216"/>
      <c r="G26" s="184"/>
      <c r="H26" s="217">
        <v>0</v>
      </c>
    </row>
    <row r="27" spans="1:8" ht="18" customHeight="1" x14ac:dyDescent="0.55000000000000004">
      <c r="A27" s="180" t="s">
        <v>122</v>
      </c>
      <c r="B27" s="176" t="s">
        <v>246</v>
      </c>
      <c r="D27" s="184"/>
      <c r="E27" s="216"/>
      <c r="F27" s="216"/>
      <c r="G27" s="184"/>
      <c r="H27" s="217">
        <v>0</v>
      </c>
    </row>
    <row r="28" spans="1:8" ht="18" customHeight="1" x14ac:dyDescent="0.55000000000000004">
      <c r="A28" s="180" t="s">
        <v>124</v>
      </c>
      <c r="B28" s="176" t="s">
        <v>125</v>
      </c>
      <c r="D28" s="184"/>
      <c r="E28" s="216"/>
      <c r="F28" s="216"/>
      <c r="G28" s="184"/>
      <c r="H28" s="217">
        <v>0</v>
      </c>
    </row>
    <row r="29" spans="1:8" ht="18" customHeight="1" x14ac:dyDescent="0.55000000000000004">
      <c r="A29" s="180" t="s">
        <v>126</v>
      </c>
      <c r="B29" s="176" t="s">
        <v>127</v>
      </c>
      <c r="D29" s="184">
        <v>308397</v>
      </c>
      <c r="E29" s="216">
        <v>126990</v>
      </c>
      <c r="F29" s="216"/>
      <c r="G29" s="184">
        <v>0</v>
      </c>
      <c r="H29" s="217">
        <v>435387</v>
      </c>
    </row>
    <row r="30" spans="1:8" ht="18" customHeight="1" x14ac:dyDescent="0.55000000000000004">
      <c r="A30" s="180" t="s">
        <v>128</v>
      </c>
      <c r="B30" s="185"/>
      <c r="D30" s="184"/>
      <c r="E30" s="216"/>
      <c r="F30" s="216"/>
      <c r="G30" s="184"/>
      <c r="H30" s="217">
        <v>0</v>
      </c>
    </row>
    <row r="31" spans="1:8" ht="18" customHeight="1" x14ac:dyDescent="0.55000000000000004">
      <c r="A31" s="180" t="s">
        <v>130</v>
      </c>
      <c r="B31" s="185"/>
      <c r="D31" s="184"/>
      <c r="E31" s="216"/>
      <c r="F31" s="216"/>
      <c r="G31" s="184"/>
      <c r="H31" s="217">
        <v>0</v>
      </c>
    </row>
    <row r="32" spans="1:8" ht="18" customHeight="1" x14ac:dyDescent="0.55000000000000004">
      <c r="A32" s="180" t="s">
        <v>131</v>
      </c>
      <c r="B32" s="185"/>
      <c r="D32" s="184"/>
      <c r="E32" s="216"/>
      <c r="F32" s="216"/>
      <c r="G32" s="184"/>
      <c r="H32" s="217">
        <v>0</v>
      </c>
    </row>
    <row r="33" spans="1:8" ht="18" customHeight="1" x14ac:dyDescent="0.55000000000000004">
      <c r="A33" s="180" t="s">
        <v>132</v>
      </c>
      <c r="B33" s="185"/>
      <c r="D33" s="184"/>
      <c r="E33" s="216"/>
      <c r="F33" s="216"/>
      <c r="G33" s="184"/>
      <c r="H33" s="217">
        <v>0</v>
      </c>
    </row>
    <row r="34" spans="1:8" ht="18" customHeight="1" x14ac:dyDescent="0.55000000000000004">
      <c r="A34" s="180" t="s">
        <v>133</v>
      </c>
      <c r="B34" s="185"/>
      <c r="D34" s="184"/>
      <c r="E34" s="216"/>
      <c r="F34" s="216"/>
      <c r="G34" s="184"/>
      <c r="H34" s="217">
        <v>0</v>
      </c>
    </row>
    <row r="35" spans="1:8" ht="18" customHeight="1" x14ac:dyDescent="0.55000000000000004">
      <c r="H35" s="186"/>
    </row>
    <row r="36" spans="1:8" ht="18" customHeight="1" x14ac:dyDescent="0.55000000000000004">
      <c r="A36" s="183" t="s">
        <v>134</v>
      </c>
      <c r="B36" s="179" t="s">
        <v>135</v>
      </c>
      <c r="C36" s="179" t="s">
        <v>248</v>
      </c>
      <c r="D36" s="217">
        <v>418285</v>
      </c>
      <c r="E36" s="217">
        <v>178236</v>
      </c>
      <c r="F36" s="217">
        <v>0</v>
      </c>
      <c r="G36" s="217">
        <v>0</v>
      </c>
      <c r="H36" s="217">
        <v>596521</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v>0</v>
      </c>
    </row>
    <row r="41" spans="1:8" ht="18" customHeight="1" x14ac:dyDescent="0.55000000000000004">
      <c r="A41" s="180" t="s">
        <v>251</v>
      </c>
      <c r="B41" s="176" t="s">
        <v>141</v>
      </c>
      <c r="D41" s="184"/>
      <c r="E41" s="216"/>
      <c r="F41" s="216"/>
      <c r="G41" s="184"/>
      <c r="H41" s="217">
        <v>0</v>
      </c>
    </row>
    <row r="42" spans="1:8" ht="18" customHeight="1" x14ac:dyDescent="0.55000000000000004">
      <c r="A42" s="180" t="s">
        <v>252</v>
      </c>
      <c r="B42" s="176" t="s">
        <v>143</v>
      </c>
      <c r="D42" s="184">
        <v>107086</v>
      </c>
      <c r="E42" s="216">
        <v>104409</v>
      </c>
      <c r="F42" s="216"/>
      <c r="G42" s="184">
        <v>0</v>
      </c>
      <c r="H42" s="217">
        <v>211495</v>
      </c>
    </row>
    <row r="43" spans="1:8" ht="18" customHeight="1" x14ac:dyDescent="0.55000000000000004">
      <c r="A43" s="180" t="s">
        <v>253</v>
      </c>
      <c r="B43" s="176" t="s">
        <v>145</v>
      </c>
      <c r="D43" s="184"/>
      <c r="E43" s="216"/>
      <c r="F43" s="216"/>
      <c r="G43" s="184"/>
      <c r="H43" s="217">
        <v>0</v>
      </c>
    </row>
    <row r="44" spans="1:8" ht="18" customHeight="1" x14ac:dyDescent="0.55000000000000004">
      <c r="A44" s="180" t="s">
        <v>146</v>
      </c>
      <c r="B44" s="185"/>
      <c r="D44" s="219"/>
      <c r="E44" s="220"/>
      <c r="F44" s="220"/>
      <c r="G44" s="219"/>
      <c r="H44" s="217">
        <v>0</v>
      </c>
    </row>
    <row r="45" spans="1:8" ht="18" customHeight="1" x14ac:dyDescent="0.55000000000000004">
      <c r="A45" s="180" t="s">
        <v>147</v>
      </c>
      <c r="B45" s="185"/>
      <c r="D45" s="184"/>
      <c r="E45" s="216"/>
      <c r="F45" s="216"/>
      <c r="G45" s="184"/>
      <c r="H45" s="217">
        <v>0</v>
      </c>
    </row>
    <row r="46" spans="1:8" ht="18" customHeight="1" x14ac:dyDescent="0.55000000000000004">
      <c r="A46" s="180" t="s">
        <v>148</v>
      </c>
      <c r="B46" s="185"/>
      <c r="D46" s="184"/>
      <c r="E46" s="216"/>
      <c r="F46" s="216"/>
      <c r="G46" s="184"/>
      <c r="H46" s="217">
        <v>0</v>
      </c>
    </row>
    <row r="47" spans="1:8" ht="18" customHeight="1" x14ac:dyDescent="0.55000000000000004">
      <c r="A47" s="180" t="s">
        <v>149</v>
      </c>
      <c r="B47" s="185"/>
      <c r="D47" s="184"/>
      <c r="E47" s="216"/>
      <c r="F47" s="216"/>
      <c r="G47" s="184"/>
      <c r="H47" s="217">
        <v>0</v>
      </c>
    </row>
    <row r="49" spans="1:8" ht="18" customHeight="1" x14ac:dyDescent="0.55000000000000004">
      <c r="A49" s="183" t="s">
        <v>150</v>
      </c>
      <c r="B49" s="179" t="s">
        <v>254</v>
      </c>
      <c r="C49" s="179" t="s">
        <v>248</v>
      </c>
      <c r="D49" s="217">
        <v>107086</v>
      </c>
      <c r="E49" s="217">
        <v>104409</v>
      </c>
      <c r="F49" s="217">
        <v>0</v>
      </c>
      <c r="G49" s="217">
        <v>0</v>
      </c>
      <c r="H49" s="217">
        <v>211495</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438">
        <v>11427263</v>
      </c>
      <c r="E53" s="438">
        <v>0</v>
      </c>
      <c r="F53" s="222"/>
      <c r="G53" s="438">
        <v>8315136</v>
      </c>
      <c r="H53" s="217">
        <v>3112127</v>
      </c>
    </row>
    <row r="54" spans="1:8" ht="18" customHeight="1" x14ac:dyDescent="0.55000000000000004">
      <c r="A54" s="180" t="s">
        <v>259</v>
      </c>
      <c r="B54" s="193"/>
      <c r="D54" s="184"/>
      <c r="E54" s="216"/>
      <c r="F54" s="216"/>
      <c r="G54" s="184"/>
      <c r="H54" s="217">
        <v>0</v>
      </c>
    </row>
    <row r="55" spans="1:8" ht="18" customHeight="1" x14ac:dyDescent="0.55000000000000004">
      <c r="A55" s="180" t="s">
        <v>260</v>
      </c>
      <c r="B55" s="194"/>
      <c r="D55" s="184"/>
      <c r="E55" s="216"/>
      <c r="F55" s="216"/>
      <c r="G55" s="184"/>
      <c r="H55" s="217">
        <v>0</v>
      </c>
    </row>
    <row r="56" spans="1:8" ht="18" customHeight="1" x14ac:dyDescent="0.55000000000000004">
      <c r="A56" s="180" t="s">
        <v>261</v>
      </c>
      <c r="B56" s="193"/>
      <c r="D56" s="184"/>
      <c r="E56" s="216"/>
      <c r="F56" s="216"/>
      <c r="G56" s="184"/>
      <c r="H56" s="217">
        <v>0</v>
      </c>
    </row>
    <row r="57" spans="1:8" ht="18" customHeight="1" x14ac:dyDescent="0.55000000000000004">
      <c r="A57" s="180" t="s">
        <v>263</v>
      </c>
      <c r="B57" s="193"/>
      <c r="D57" s="184"/>
      <c r="E57" s="216"/>
      <c r="F57" s="216"/>
      <c r="G57" s="184"/>
      <c r="H57" s="217">
        <v>0</v>
      </c>
    </row>
    <row r="58" spans="1:8" ht="18" customHeight="1" x14ac:dyDescent="0.55000000000000004">
      <c r="A58" s="180" t="s">
        <v>264</v>
      </c>
      <c r="B58" s="193"/>
      <c r="D58" s="184"/>
      <c r="E58" s="216"/>
      <c r="F58" s="216"/>
      <c r="G58" s="184"/>
      <c r="H58" s="217">
        <v>0</v>
      </c>
    </row>
    <row r="59" spans="1:8" ht="18" customHeight="1" x14ac:dyDescent="0.55000000000000004">
      <c r="A59" s="180" t="s">
        <v>265</v>
      </c>
      <c r="B59" s="223"/>
      <c r="D59" s="224"/>
      <c r="E59" s="225"/>
      <c r="F59" s="225"/>
      <c r="G59" s="224"/>
      <c r="H59" s="217">
        <v>0</v>
      </c>
    </row>
    <row r="60" spans="1:8" ht="18" customHeight="1" x14ac:dyDescent="0.55000000000000004">
      <c r="A60" s="180" t="s">
        <v>266</v>
      </c>
      <c r="B60" s="226"/>
      <c r="C60" s="212"/>
      <c r="D60" s="222"/>
      <c r="E60" s="222"/>
      <c r="F60" s="222"/>
      <c r="G60" s="222"/>
      <c r="H60" s="217">
        <v>0</v>
      </c>
    </row>
    <row r="61" spans="1:8" ht="18" customHeight="1" x14ac:dyDescent="0.55000000000000004">
      <c r="A61" s="180" t="s">
        <v>267</v>
      </c>
      <c r="B61" s="226"/>
      <c r="C61" s="212"/>
      <c r="D61" s="222"/>
      <c r="E61" s="222"/>
      <c r="F61" s="222"/>
      <c r="G61" s="222"/>
      <c r="H61" s="217">
        <v>0</v>
      </c>
    </row>
    <row r="62" spans="1:8" ht="18" customHeight="1" x14ac:dyDescent="0.55000000000000004">
      <c r="A62" s="180" t="s">
        <v>268</v>
      </c>
      <c r="B62" s="226"/>
      <c r="C62" s="212"/>
      <c r="D62" s="222"/>
      <c r="E62" s="222"/>
      <c r="F62" s="222"/>
      <c r="G62" s="222"/>
      <c r="H62" s="217">
        <v>0</v>
      </c>
    </row>
    <row r="63" spans="1:8" ht="18" customHeight="1" x14ac:dyDescent="0.55000000000000004">
      <c r="A63" s="180"/>
      <c r="E63" s="227"/>
      <c r="F63" s="192"/>
    </row>
    <row r="64" spans="1:8" ht="18" customHeight="1" x14ac:dyDescent="0.55000000000000004">
      <c r="A64" s="180" t="s">
        <v>269</v>
      </c>
      <c r="B64" s="179" t="s">
        <v>270</v>
      </c>
      <c r="C64" s="179" t="s">
        <v>248</v>
      </c>
      <c r="D64" s="217">
        <v>11427263</v>
      </c>
      <c r="E64" s="217">
        <v>0</v>
      </c>
      <c r="F64" s="217">
        <v>0</v>
      </c>
      <c r="G64" s="217">
        <v>8315136</v>
      </c>
      <c r="H64" s="217">
        <v>3112127</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v>0</v>
      </c>
      <c r="J68" s="254"/>
    </row>
    <row r="69" spans="1:10" ht="18" customHeight="1" x14ac:dyDescent="0.55000000000000004">
      <c r="A69" s="180" t="s">
        <v>273</v>
      </c>
      <c r="B69" s="176" t="s">
        <v>159</v>
      </c>
      <c r="D69" s="228"/>
      <c r="E69" s="216"/>
      <c r="F69" s="216"/>
      <c r="G69" s="228"/>
      <c r="H69" s="217">
        <v>0</v>
      </c>
    </row>
    <row r="70" spans="1:10" ht="18" customHeight="1" x14ac:dyDescent="0.55000000000000004">
      <c r="A70" s="180" t="s">
        <v>274</v>
      </c>
      <c r="B70" s="193"/>
      <c r="C70" s="179"/>
      <c r="D70" s="224"/>
      <c r="E70" s="216"/>
      <c r="F70" s="225"/>
      <c r="G70" s="224"/>
      <c r="H70" s="217">
        <v>0</v>
      </c>
    </row>
    <row r="71" spans="1:10" ht="18" customHeight="1" x14ac:dyDescent="0.55000000000000004">
      <c r="A71" s="180" t="s">
        <v>275</v>
      </c>
      <c r="B71" s="193"/>
      <c r="C71" s="179"/>
      <c r="D71" s="224"/>
      <c r="E71" s="216"/>
      <c r="F71" s="225"/>
      <c r="G71" s="224"/>
      <c r="H71" s="217">
        <v>0</v>
      </c>
    </row>
    <row r="72" spans="1:10" ht="18" customHeight="1" x14ac:dyDescent="0.55000000000000004">
      <c r="A72" s="180" t="s">
        <v>276</v>
      </c>
      <c r="B72" s="194"/>
      <c r="C72" s="179"/>
      <c r="D72" s="184"/>
      <c r="E72" s="216"/>
      <c r="F72" s="216"/>
      <c r="G72" s="184"/>
      <c r="H72" s="217">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v>0</v>
      </c>
      <c r="E74" s="229">
        <v>0</v>
      </c>
      <c r="F74" s="229">
        <v>0</v>
      </c>
      <c r="G74" s="217">
        <v>0</v>
      </c>
      <c r="H74" s="217">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107957</v>
      </c>
      <c r="E77" s="230"/>
      <c r="F77" s="220"/>
      <c r="G77" s="184">
        <v>0</v>
      </c>
      <c r="H77" s="217">
        <v>107957</v>
      </c>
    </row>
    <row r="78" spans="1:10" ht="18" customHeight="1" x14ac:dyDescent="0.55000000000000004">
      <c r="A78" s="180" t="s">
        <v>281</v>
      </c>
      <c r="B78" s="176" t="s">
        <v>166</v>
      </c>
      <c r="D78" s="184"/>
      <c r="E78" s="230"/>
      <c r="F78" s="220"/>
      <c r="G78" s="184"/>
      <c r="H78" s="217">
        <v>0</v>
      </c>
    </row>
    <row r="79" spans="1:10" ht="18" customHeight="1" x14ac:dyDescent="0.55000000000000004">
      <c r="A79" s="180" t="s">
        <v>282</v>
      </c>
      <c r="B79" s="176" t="s">
        <v>168</v>
      </c>
      <c r="D79" s="184">
        <v>144651</v>
      </c>
      <c r="E79" s="230"/>
      <c r="F79" s="220"/>
      <c r="G79" s="184">
        <v>0</v>
      </c>
      <c r="H79" s="217">
        <v>144651</v>
      </c>
    </row>
    <row r="80" spans="1:10" ht="18" customHeight="1" x14ac:dyDescent="0.55000000000000004">
      <c r="A80" s="180" t="s">
        <v>283</v>
      </c>
      <c r="B80" s="176" t="s">
        <v>170</v>
      </c>
      <c r="D80" s="184"/>
      <c r="E80" s="230"/>
      <c r="F80" s="220"/>
      <c r="G80" s="184"/>
      <c r="H80" s="217">
        <v>0</v>
      </c>
    </row>
    <row r="81" spans="1:8" ht="18" customHeight="1" x14ac:dyDescent="0.55000000000000004">
      <c r="A81" s="180"/>
      <c r="H81" s="196"/>
    </row>
    <row r="82" spans="1:8" ht="18" customHeight="1" x14ac:dyDescent="0.55000000000000004">
      <c r="A82" s="180" t="s">
        <v>171</v>
      </c>
      <c r="B82" s="179" t="s">
        <v>284</v>
      </c>
      <c r="C82" s="179" t="s">
        <v>248</v>
      </c>
      <c r="D82" s="217">
        <v>252608</v>
      </c>
      <c r="E82" s="231"/>
      <c r="F82" s="217">
        <v>0</v>
      </c>
      <c r="G82" s="217">
        <v>0</v>
      </c>
      <c r="H82" s="217">
        <v>252608</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v>0</v>
      </c>
    </row>
    <row r="87" spans="1:8" ht="18" customHeight="1" x14ac:dyDescent="0.55000000000000004">
      <c r="A87" s="180" t="s">
        <v>287</v>
      </c>
      <c r="B87" s="176" t="s">
        <v>177</v>
      </c>
      <c r="D87" s="184"/>
      <c r="E87" s="216"/>
      <c r="F87" s="216"/>
      <c r="G87" s="184"/>
      <c r="H87" s="217">
        <v>0</v>
      </c>
    </row>
    <row r="88" spans="1:8" ht="18" customHeight="1" x14ac:dyDescent="0.55000000000000004">
      <c r="A88" s="180" t="s">
        <v>288</v>
      </c>
      <c r="B88" s="176" t="s">
        <v>289</v>
      </c>
      <c r="D88" s="184"/>
      <c r="E88" s="216"/>
      <c r="F88" s="216"/>
      <c r="G88" s="184"/>
      <c r="H88" s="217">
        <v>0</v>
      </c>
    </row>
    <row r="89" spans="1:8" ht="18" customHeight="1" x14ac:dyDescent="0.55000000000000004">
      <c r="A89" s="180" t="s">
        <v>290</v>
      </c>
      <c r="B89" s="176" t="s">
        <v>181</v>
      </c>
      <c r="D89" s="184"/>
      <c r="E89" s="216"/>
      <c r="F89" s="216"/>
      <c r="G89" s="184"/>
      <c r="H89" s="217">
        <v>0</v>
      </c>
    </row>
    <row r="90" spans="1:8" ht="18" customHeight="1" x14ac:dyDescent="0.55000000000000004">
      <c r="A90" s="180" t="s">
        <v>291</v>
      </c>
      <c r="B90" s="176" t="s">
        <v>183</v>
      </c>
      <c r="D90" s="184"/>
      <c r="E90" s="216"/>
      <c r="F90" s="216"/>
      <c r="G90" s="184"/>
      <c r="H90" s="217">
        <v>0</v>
      </c>
    </row>
    <row r="91" spans="1:8" ht="18" customHeight="1" x14ac:dyDescent="0.55000000000000004">
      <c r="A91" s="180" t="s">
        <v>292</v>
      </c>
      <c r="B91" s="176" t="s">
        <v>185</v>
      </c>
      <c r="D91" s="184">
        <v>460</v>
      </c>
      <c r="E91" s="216">
        <v>449</v>
      </c>
      <c r="F91" s="216"/>
      <c r="G91" s="184">
        <v>0</v>
      </c>
      <c r="H91" s="217">
        <v>909</v>
      </c>
    </row>
    <row r="92" spans="1:8" ht="18" customHeight="1" x14ac:dyDescent="0.55000000000000004">
      <c r="A92" s="180" t="s">
        <v>293</v>
      </c>
      <c r="B92" s="176" t="s">
        <v>294</v>
      </c>
      <c r="D92" s="233">
        <v>42701</v>
      </c>
      <c r="E92" s="216">
        <v>0</v>
      </c>
      <c r="F92" s="234"/>
      <c r="G92" s="233">
        <v>0</v>
      </c>
      <c r="H92" s="217">
        <v>42701</v>
      </c>
    </row>
    <row r="93" spans="1:8" ht="18" customHeight="1" x14ac:dyDescent="0.55000000000000004">
      <c r="A93" s="180" t="s">
        <v>295</v>
      </c>
      <c r="B93" s="176" t="s">
        <v>296</v>
      </c>
      <c r="D93" s="184"/>
      <c r="E93" s="216"/>
      <c r="F93" s="216"/>
      <c r="G93" s="184"/>
      <c r="H93" s="217">
        <v>0</v>
      </c>
    </row>
    <row r="94" spans="1:8" ht="18" customHeight="1" x14ac:dyDescent="0.55000000000000004">
      <c r="A94" s="180" t="s">
        <v>297</v>
      </c>
      <c r="B94" s="193"/>
      <c r="D94" s="184"/>
      <c r="E94" s="216"/>
      <c r="F94" s="216"/>
      <c r="G94" s="184"/>
      <c r="H94" s="217">
        <v>0</v>
      </c>
    </row>
    <row r="95" spans="1:8" ht="18" customHeight="1" x14ac:dyDescent="0.55000000000000004">
      <c r="A95" s="180" t="s">
        <v>298</v>
      </c>
      <c r="B95" s="193"/>
      <c r="D95" s="184"/>
      <c r="E95" s="216"/>
      <c r="F95" s="216"/>
      <c r="G95" s="184"/>
      <c r="H95" s="217">
        <v>0</v>
      </c>
    </row>
    <row r="96" spans="1:8" ht="18" customHeight="1" x14ac:dyDescent="0.55000000000000004">
      <c r="A96" s="180" t="s">
        <v>299</v>
      </c>
      <c r="B96" s="193"/>
      <c r="D96" s="184"/>
      <c r="E96" s="216"/>
      <c r="F96" s="216"/>
      <c r="G96" s="184"/>
      <c r="H96" s="217">
        <v>0</v>
      </c>
    </row>
    <row r="97" spans="1:8" ht="18" customHeight="1" x14ac:dyDescent="0.55000000000000004">
      <c r="A97" s="180"/>
    </row>
    <row r="98" spans="1:8" ht="18" customHeight="1" x14ac:dyDescent="0.55000000000000004">
      <c r="A98" s="183" t="s">
        <v>193</v>
      </c>
      <c r="B98" s="179" t="s">
        <v>300</v>
      </c>
      <c r="C98" s="179" t="s">
        <v>248</v>
      </c>
      <c r="D98" s="217">
        <v>43161</v>
      </c>
      <c r="E98" s="217">
        <v>449</v>
      </c>
      <c r="F98" s="217">
        <v>0</v>
      </c>
      <c r="G98" s="217">
        <v>0</v>
      </c>
      <c r="H98" s="217">
        <v>43610</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279747</v>
      </c>
      <c r="E102" s="216">
        <v>0</v>
      </c>
      <c r="F102" s="216"/>
      <c r="G102" s="184">
        <v>0</v>
      </c>
      <c r="H102" s="217">
        <v>279747</v>
      </c>
    </row>
    <row r="103" spans="1:8" ht="18" customHeight="1" x14ac:dyDescent="0.55000000000000004">
      <c r="A103" s="180" t="s">
        <v>304</v>
      </c>
      <c r="B103" s="176" t="s">
        <v>199</v>
      </c>
      <c r="D103" s="184">
        <v>63701</v>
      </c>
      <c r="E103" s="216">
        <v>0</v>
      </c>
      <c r="F103" s="216"/>
      <c r="G103" s="184">
        <v>0</v>
      </c>
      <c r="H103" s="217">
        <v>63701</v>
      </c>
    </row>
    <row r="104" spans="1:8" ht="18" customHeight="1" x14ac:dyDescent="0.55000000000000004">
      <c r="A104" s="180" t="s">
        <v>305</v>
      </c>
      <c r="B104" s="193"/>
      <c r="D104" s="184"/>
      <c r="E104" s="216"/>
      <c r="F104" s="216"/>
      <c r="G104" s="184"/>
      <c r="H104" s="217">
        <v>0</v>
      </c>
    </row>
    <row r="105" spans="1:8" ht="18" customHeight="1" x14ac:dyDescent="0.55000000000000004">
      <c r="A105" s="180" t="s">
        <v>306</v>
      </c>
      <c r="B105" s="193"/>
      <c r="D105" s="184"/>
      <c r="E105" s="216"/>
      <c r="F105" s="216"/>
      <c r="G105" s="184"/>
      <c r="H105" s="217">
        <v>0</v>
      </c>
    </row>
    <row r="106" spans="1:8" ht="18" customHeight="1" x14ac:dyDescent="0.55000000000000004">
      <c r="A106" s="180" t="s">
        <v>307</v>
      </c>
      <c r="B106" s="193"/>
      <c r="D106" s="184"/>
      <c r="E106" s="216"/>
      <c r="F106" s="216"/>
      <c r="G106" s="184"/>
      <c r="H106" s="217">
        <v>0</v>
      </c>
    </row>
    <row r="107" spans="1:8" ht="18" customHeight="1" x14ac:dyDescent="0.55000000000000004">
      <c r="B107" s="179"/>
    </row>
    <row r="108" spans="1:8" ht="18" customHeight="1" x14ac:dyDescent="0.55000000000000004">
      <c r="A108" s="183" t="s">
        <v>204</v>
      </c>
      <c r="B108" s="179" t="s">
        <v>308</v>
      </c>
      <c r="C108" s="179" t="s">
        <v>248</v>
      </c>
      <c r="D108" s="217">
        <v>343448</v>
      </c>
      <c r="E108" s="217">
        <v>0</v>
      </c>
      <c r="F108" s="217">
        <v>0</v>
      </c>
      <c r="G108" s="217">
        <v>0</v>
      </c>
      <c r="H108" s="217">
        <v>343448</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3346776.2100000004</v>
      </c>
      <c r="G111" s="184"/>
      <c r="H111" s="217">
        <v>3346776.2100000004</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0.97532027722969461</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176955292.40000001</v>
      </c>
      <c r="F117" s="237"/>
    </row>
    <row r="118" spans="1:7" ht="18" customHeight="1" x14ac:dyDescent="0.55000000000000004">
      <c r="A118" s="180" t="s">
        <v>319</v>
      </c>
      <c r="B118" s="176" t="s">
        <v>320</v>
      </c>
      <c r="E118" s="184">
        <v>6982258.669999999</v>
      </c>
      <c r="F118" s="237"/>
    </row>
    <row r="119" spans="1:7" ht="18" customHeight="1" x14ac:dyDescent="0.55000000000000004">
      <c r="A119" s="180" t="s">
        <v>321</v>
      </c>
      <c r="B119" s="179" t="s">
        <v>322</v>
      </c>
      <c r="E119" s="217">
        <v>183937551.06999999</v>
      </c>
      <c r="F119" s="238"/>
    </row>
    <row r="120" spans="1:7" ht="18" customHeight="1" x14ac:dyDescent="0.55000000000000004">
      <c r="A120" s="180"/>
      <c r="B120" s="179"/>
      <c r="F120" s="212"/>
    </row>
    <row r="121" spans="1:7" ht="18" customHeight="1" x14ac:dyDescent="0.55000000000000004">
      <c r="A121" s="180" t="s">
        <v>323</v>
      </c>
      <c r="B121" s="179" t="s">
        <v>324</v>
      </c>
      <c r="E121" s="184">
        <v>184307676.24000001</v>
      </c>
      <c r="F121" s="237"/>
    </row>
    <row r="122" spans="1:7" ht="18" customHeight="1" x14ac:dyDescent="0.55000000000000004">
      <c r="A122" s="180"/>
      <c r="F122" s="212"/>
    </row>
    <row r="123" spans="1:7" ht="18" customHeight="1" x14ac:dyDescent="0.55000000000000004">
      <c r="A123" s="180" t="s">
        <v>325</v>
      </c>
      <c r="B123" s="179" t="s">
        <v>326</v>
      </c>
      <c r="E123" s="184">
        <v>-370125.17000001669</v>
      </c>
      <c r="F123" s="237"/>
    </row>
    <row r="124" spans="1:7" ht="18" customHeight="1" x14ac:dyDescent="0.55000000000000004">
      <c r="A124" s="180"/>
      <c r="F124" s="212"/>
    </row>
    <row r="125" spans="1:7" ht="18" customHeight="1" x14ac:dyDescent="0.55000000000000004">
      <c r="A125" s="180" t="s">
        <v>327</v>
      </c>
      <c r="B125" s="179" t="s">
        <v>328</v>
      </c>
      <c r="E125" s="184">
        <v>1170709.8700000001</v>
      </c>
      <c r="F125" s="237"/>
    </row>
    <row r="126" spans="1:7" ht="18" customHeight="1" x14ac:dyDescent="0.55000000000000004">
      <c r="A126" s="180"/>
      <c r="F126" s="212"/>
    </row>
    <row r="127" spans="1:7" ht="18" customHeight="1" x14ac:dyDescent="0.55000000000000004">
      <c r="A127" s="180" t="s">
        <v>329</v>
      </c>
      <c r="B127" s="179" t="s">
        <v>330</v>
      </c>
      <c r="E127" s="184">
        <v>800584.69999998342</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v>0</v>
      </c>
    </row>
    <row r="132" spans="1:8" ht="18" customHeight="1" x14ac:dyDescent="0.55000000000000004">
      <c r="A132" s="180" t="s">
        <v>333</v>
      </c>
      <c r="B132" s="176" t="s">
        <v>68</v>
      </c>
      <c r="D132" s="184"/>
      <c r="E132" s="216"/>
      <c r="F132" s="216"/>
      <c r="G132" s="184"/>
      <c r="H132" s="217">
        <v>0</v>
      </c>
    </row>
    <row r="133" spans="1:8" ht="18" customHeight="1" x14ac:dyDescent="0.55000000000000004">
      <c r="A133" s="180" t="s">
        <v>334</v>
      </c>
      <c r="B133" s="185"/>
      <c r="D133" s="184"/>
      <c r="E133" s="216"/>
      <c r="F133" s="216"/>
      <c r="G133" s="184"/>
      <c r="H133" s="217">
        <v>0</v>
      </c>
    </row>
    <row r="134" spans="1:8" ht="18" customHeight="1" x14ac:dyDescent="0.55000000000000004">
      <c r="A134" s="180" t="s">
        <v>335</v>
      </c>
      <c r="B134" s="185"/>
      <c r="D134" s="184"/>
      <c r="E134" s="216"/>
      <c r="F134" s="216"/>
      <c r="G134" s="184"/>
      <c r="H134" s="217">
        <v>0</v>
      </c>
    </row>
    <row r="135" spans="1:8" ht="18" customHeight="1" x14ac:dyDescent="0.55000000000000004">
      <c r="A135" s="180" t="s">
        <v>336</v>
      </c>
      <c r="B135" s="185"/>
      <c r="D135" s="184"/>
      <c r="E135" s="216"/>
      <c r="F135" s="216"/>
      <c r="G135" s="184"/>
      <c r="H135" s="217">
        <v>0</v>
      </c>
    </row>
    <row r="136" spans="1:8" ht="18" customHeight="1" x14ac:dyDescent="0.55000000000000004">
      <c r="A136" s="183"/>
    </row>
    <row r="137" spans="1:8" ht="18" customHeight="1" x14ac:dyDescent="0.55000000000000004">
      <c r="A137" s="183" t="s">
        <v>215</v>
      </c>
      <c r="B137" s="179" t="s">
        <v>337</v>
      </c>
      <c r="D137" s="217">
        <v>0</v>
      </c>
      <c r="E137" s="217">
        <v>0</v>
      </c>
      <c r="F137" s="217">
        <v>0</v>
      </c>
      <c r="G137" s="217">
        <v>0</v>
      </c>
      <c r="H137" s="217">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v>418285</v>
      </c>
      <c r="E141" s="239">
        <v>178236</v>
      </c>
      <c r="F141" s="239">
        <v>0</v>
      </c>
      <c r="G141" s="239">
        <v>0</v>
      </c>
      <c r="H141" s="239">
        <v>596521</v>
      </c>
    </row>
    <row r="142" spans="1:8" ht="18" customHeight="1" x14ac:dyDescent="0.55000000000000004">
      <c r="A142" s="180" t="s">
        <v>150</v>
      </c>
      <c r="B142" s="179" t="s">
        <v>220</v>
      </c>
      <c r="D142" s="239">
        <v>107086</v>
      </c>
      <c r="E142" s="239">
        <v>104409</v>
      </c>
      <c r="F142" s="239">
        <v>0</v>
      </c>
      <c r="G142" s="239">
        <v>0</v>
      </c>
      <c r="H142" s="239">
        <v>211495</v>
      </c>
    </row>
    <row r="143" spans="1:8" ht="18" customHeight="1" x14ac:dyDescent="0.55000000000000004">
      <c r="A143" s="180" t="s">
        <v>269</v>
      </c>
      <c r="B143" s="179" t="s">
        <v>222</v>
      </c>
      <c r="D143" s="239">
        <v>11427263</v>
      </c>
      <c r="E143" s="239">
        <v>0</v>
      </c>
      <c r="F143" s="239">
        <v>0</v>
      </c>
      <c r="G143" s="239">
        <v>8315136</v>
      </c>
      <c r="H143" s="239">
        <v>3112127</v>
      </c>
    </row>
    <row r="144" spans="1:8" ht="18" customHeight="1" x14ac:dyDescent="0.55000000000000004">
      <c r="A144" s="180" t="s">
        <v>161</v>
      </c>
      <c r="B144" s="179" t="s">
        <v>70</v>
      </c>
      <c r="D144" s="239">
        <v>0</v>
      </c>
      <c r="E144" s="239">
        <v>0</v>
      </c>
      <c r="F144" s="239">
        <v>0</v>
      </c>
      <c r="G144" s="239">
        <v>0</v>
      </c>
      <c r="H144" s="239">
        <v>0</v>
      </c>
    </row>
    <row r="145" spans="1:8" ht="18" customHeight="1" x14ac:dyDescent="0.55000000000000004">
      <c r="A145" s="180" t="s">
        <v>171</v>
      </c>
      <c r="B145" s="179" t="s">
        <v>69</v>
      </c>
      <c r="D145" s="239">
        <v>252608</v>
      </c>
      <c r="E145" s="239">
        <v>0</v>
      </c>
      <c r="F145" s="239">
        <v>0</v>
      </c>
      <c r="G145" s="239">
        <v>0</v>
      </c>
      <c r="H145" s="239">
        <v>252608</v>
      </c>
    </row>
    <row r="146" spans="1:8" ht="18" customHeight="1" x14ac:dyDescent="0.55000000000000004">
      <c r="A146" s="180" t="s">
        <v>193</v>
      </c>
      <c r="B146" s="179" t="s">
        <v>226</v>
      </c>
      <c r="D146" s="239">
        <v>43161</v>
      </c>
      <c r="E146" s="239">
        <v>449</v>
      </c>
      <c r="F146" s="239">
        <v>0</v>
      </c>
      <c r="G146" s="239">
        <v>0</v>
      </c>
      <c r="H146" s="239">
        <v>43610</v>
      </c>
    </row>
    <row r="147" spans="1:8" ht="18" customHeight="1" x14ac:dyDescent="0.55000000000000004">
      <c r="A147" s="180" t="s">
        <v>204</v>
      </c>
      <c r="B147" s="179" t="s">
        <v>71</v>
      </c>
      <c r="D147" s="217">
        <v>343448</v>
      </c>
      <c r="E147" s="217">
        <v>0</v>
      </c>
      <c r="F147" s="217">
        <v>0</v>
      </c>
      <c r="G147" s="217">
        <v>0</v>
      </c>
      <c r="H147" s="217">
        <v>343448</v>
      </c>
    </row>
    <row r="148" spans="1:8" ht="18" customHeight="1" x14ac:dyDescent="0.55000000000000004">
      <c r="A148" s="180" t="s">
        <v>310</v>
      </c>
      <c r="B148" s="179" t="s">
        <v>58</v>
      </c>
      <c r="D148" s="240" t="s">
        <v>245</v>
      </c>
      <c r="E148" s="240" t="s">
        <v>245</v>
      </c>
      <c r="F148" s="240"/>
      <c r="G148" s="240" t="s">
        <v>245</v>
      </c>
      <c r="H148" s="239">
        <v>3346776.2100000004</v>
      </c>
    </row>
    <row r="149" spans="1:8" ht="18" customHeight="1" x14ac:dyDescent="0.55000000000000004">
      <c r="A149" s="180" t="s">
        <v>215</v>
      </c>
      <c r="B149" s="179" t="s">
        <v>230</v>
      </c>
      <c r="D149" s="217">
        <v>0</v>
      </c>
      <c r="E149" s="217">
        <v>0</v>
      </c>
      <c r="F149" s="217">
        <v>0</v>
      </c>
      <c r="G149" s="217">
        <v>0</v>
      </c>
      <c r="H149" s="217">
        <v>0</v>
      </c>
    </row>
    <row r="150" spans="1:8" ht="18" customHeight="1" x14ac:dyDescent="0.55000000000000004">
      <c r="A150" s="180" t="s">
        <v>103</v>
      </c>
      <c r="B150" s="179" t="s">
        <v>104</v>
      </c>
      <c r="D150" s="217">
        <f>D18</f>
        <v>3364107.8739901301</v>
      </c>
      <c r="E150" s="217">
        <f>E18</f>
        <v>0</v>
      </c>
      <c r="F150" s="217">
        <f>F18</f>
        <v>0</v>
      </c>
      <c r="G150" s="217">
        <f>G18</f>
        <v>2788072.2003603168</v>
      </c>
      <c r="H150" s="217">
        <f>H18</f>
        <v>576035.67362981336</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v>15598970.241868082</v>
      </c>
      <c r="E152" s="241">
        <v>283094</v>
      </c>
      <c r="F152" s="241">
        <v>0</v>
      </c>
      <c r="G152" s="241">
        <v>10746219.56823827</v>
      </c>
      <c r="H152" s="241">
        <v>8482620.8836298138</v>
      </c>
    </row>
    <row r="154" spans="1:8" ht="18" customHeight="1" x14ac:dyDescent="0.55000000000000004">
      <c r="A154" s="183" t="s">
        <v>339</v>
      </c>
      <c r="B154" s="179" t="s">
        <v>340</v>
      </c>
      <c r="D154" s="242">
        <v>4.6024240860071369E-2</v>
      </c>
    </row>
    <row r="155" spans="1:8" ht="18" customHeight="1" x14ac:dyDescent="0.55000000000000004">
      <c r="A155" s="183" t="s">
        <v>341</v>
      </c>
      <c r="B155" s="179" t="s">
        <v>342</v>
      </c>
      <c r="D155" s="242">
        <v>10.595532095017541</v>
      </c>
    </row>
    <row r="159" spans="1:8" ht="18" customHeight="1" x14ac:dyDescent="0.55000000000000004">
      <c r="D159" s="275"/>
      <c r="E159" s="275"/>
      <c r="F159" s="275"/>
      <c r="G159" s="275"/>
    </row>
    <row r="160" spans="1:8" ht="18" customHeight="1" x14ac:dyDescent="0.55000000000000004">
      <c r="D160" s="275"/>
      <c r="E160" s="275"/>
      <c r="F160" s="275"/>
      <c r="G160" s="275"/>
    </row>
    <row r="161" spans="4:4" ht="18" customHeight="1" x14ac:dyDescent="0.55000000000000004">
      <c r="D161" s="275"/>
    </row>
  </sheetData>
  <mergeCells count="5">
    <mergeCell ref="C2:G2"/>
    <mergeCell ref="C5:E5"/>
    <mergeCell ref="C6:E6"/>
    <mergeCell ref="C11:E11"/>
    <mergeCell ref="B13:D13"/>
  </mergeCells>
  <hyperlinks>
    <hyperlink ref="C11" r:id="rId1" xr:uid="{C96C1FB7-C5C9-4880-87EE-90CF5C10241C}"/>
  </hyperlinks>
  <pageMargins left="0.42" right="0.16" top="0.85" bottom="0.32" header="0.17" footer="0.17"/>
  <pageSetup scale="59" fitToHeight="3" orientation="landscape" r:id="rId2"/>
  <headerFooter alignWithMargins="0"/>
  <rowBreaks count="4" manualBreakCount="4">
    <brk id="37" max="16383" man="1"/>
    <brk id="74" max="16383" man="1"/>
    <brk id="109" max="16383" man="1"/>
    <brk id="13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E3F2F-6FAA-4395-A172-F31BE4BE8720}">
  <sheetPr codeName="Sheet26"/>
  <dimension ref="A1:Z155"/>
  <sheetViews>
    <sheetView zoomScaleNormal="100" workbookViewId="0"/>
  </sheetViews>
  <sheetFormatPr defaultColWidth="9" defaultRowHeight="18" customHeight="1"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8.41796875" customWidth="1"/>
    <col min="10" max="10" width="5.83984375" customWidth="1"/>
    <col min="11" max="11" width="28.578125" style="176" customWidth="1"/>
    <col min="12" max="12" width="9" style="176"/>
    <col min="13" max="13" width="16.26171875" style="176" customWidth="1"/>
    <col min="14" max="14" width="14.68359375" style="176" customWidth="1"/>
    <col min="15" max="15" width="12.83984375" style="176" customWidth="1"/>
    <col min="16" max="16" width="14.578125" style="176" customWidth="1"/>
    <col min="17" max="17" width="13.15625" style="176" customWidth="1"/>
    <col min="18" max="18" width="9" style="176"/>
    <col min="19" max="19" width="26.68359375" style="176" customWidth="1"/>
    <col min="20" max="20" width="9" style="176"/>
    <col min="21" max="21" width="16" style="176" customWidth="1"/>
    <col min="22" max="22" width="14.68359375" style="176" customWidth="1"/>
    <col min="23" max="23" width="14.15625" style="176" customWidth="1"/>
    <col min="24" max="24" width="15.41796875" style="176" customWidth="1"/>
    <col min="25" max="25" width="12.68359375" style="176" customWidth="1"/>
    <col min="26" max="26" width="14.68359375" style="176" customWidth="1"/>
    <col min="27" max="16384" width="9" style="176"/>
  </cols>
  <sheetData>
    <row r="1" spans="1:8" ht="18" customHeight="1" x14ac:dyDescent="0.55000000000000004">
      <c r="A1"/>
      <c r="B1"/>
      <c r="C1" s="177"/>
      <c r="D1" s="177"/>
      <c r="E1" s="177"/>
      <c r="F1" s="177"/>
      <c r="G1" s="177"/>
      <c r="H1" s="177"/>
    </row>
    <row r="2" spans="1:8" ht="18" customHeight="1" x14ac:dyDescent="0.55000000000000004">
      <c r="A2"/>
      <c r="B2"/>
      <c r="C2" s="496"/>
      <c r="D2" s="496"/>
      <c r="E2"/>
      <c r="F2"/>
      <c r="G2"/>
      <c r="H2"/>
    </row>
    <row r="3" spans="1:8" ht="18" customHeight="1" x14ac:dyDescent="0.55000000000000004">
      <c r="A3"/>
      <c r="B3" s="179" t="s">
        <v>235</v>
      </c>
      <c r="C3"/>
      <c r="D3"/>
      <c r="E3"/>
      <c r="F3"/>
      <c r="G3"/>
      <c r="H3"/>
    </row>
    <row r="5" spans="1:8" ht="18" customHeight="1" x14ac:dyDescent="0.55000000000000004">
      <c r="A5"/>
      <c r="B5" s="180" t="s">
        <v>236</v>
      </c>
      <c r="C5" s="501" t="s">
        <v>494</v>
      </c>
      <c r="D5" s="501"/>
      <c r="E5" s="501"/>
      <c r="F5" s="208"/>
      <c r="G5"/>
      <c r="H5"/>
    </row>
    <row r="6" spans="1:8" ht="18" customHeight="1" x14ac:dyDescent="0.55000000000000004">
      <c r="A6"/>
      <c r="B6" s="180" t="s">
        <v>237</v>
      </c>
      <c r="C6" s="243">
        <v>210019</v>
      </c>
      <c r="D6" s="244"/>
      <c r="E6" s="244"/>
      <c r="F6" s="209"/>
      <c r="G6"/>
      <c r="H6"/>
    </row>
    <row r="7" spans="1:8" ht="18" customHeight="1" x14ac:dyDescent="0.55000000000000004">
      <c r="A7"/>
      <c r="B7" s="180" t="s">
        <v>238</v>
      </c>
      <c r="C7" s="245">
        <v>2064.6</v>
      </c>
      <c r="D7" s="246"/>
      <c r="E7" s="246"/>
      <c r="F7" s="210"/>
      <c r="G7"/>
      <c r="H7"/>
    </row>
    <row r="8" spans="1:8" ht="18" customHeight="1" x14ac:dyDescent="0.55000000000000004">
      <c r="A8"/>
      <c r="B8"/>
      <c r="C8" s="211"/>
      <c r="D8" s="211"/>
      <c r="E8" s="211"/>
      <c r="F8" s="212"/>
      <c r="G8"/>
      <c r="H8"/>
    </row>
    <row r="9" spans="1:8" ht="18" customHeight="1" x14ac:dyDescent="0.55000000000000004">
      <c r="A9"/>
      <c r="B9" s="180" t="s">
        <v>239</v>
      </c>
      <c r="C9" s="247" t="s">
        <v>495</v>
      </c>
      <c r="D9" s="247"/>
      <c r="E9" s="247"/>
      <c r="F9" s="208"/>
      <c r="G9"/>
      <c r="H9"/>
    </row>
    <row r="10" spans="1:8" ht="18" customHeight="1" x14ac:dyDescent="0.55000000000000004">
      <c r="A10"/>
      <c r="B10" s="180" t="s">
        <v>241</v>
      </c>
      <c r="C10" s="248" t="s">
        <v>496</v>
      </c>
      <c r="D10" s="248"/>
      <c r="E10" s="248"/>
      <c r="F10" s="213"/>
      <c r="G10"/>
      <c r="H10"/>
    </row>
    <row r="11" spans="1:8" ht="18" customHeight="1" x14ac:dyDescent="0.55000000000000004">
      <c r="A11"/>
      <c r="B11" s="180" t="s">
        <v>243</v>
      </c>
      <c r="C11" s="295" t="s">
        <v>497</v>
      </c>
      <c r="D11" s="247"/>
      <c r="E11" s="247"/>
      <c r="F11" s="208"/>
      <c r="G11"/>
      <c r="H11"/>
    </row>
    <row r="12" spans="1:8" ht="18" customHeight="1" x14ac:dyDescent="0.55000000000000004">
      <c r="A12"/>
      <c r="B12" s="180"/>
      <c r="C12" s="180"/>
      <c r="D12"/>
      <c r="E12"/>
      <c r="F12"/>
      <c r="G12"/>
      <c r="H12"/>
    </row>
    <row r="13" spans="1:8" ht="24.75" customHeight="1" x14ac:dyDescent="0.55000000000000004">
      <c r="A13"/>
      <c r="B13" s="493"/>
      <c r="C13" s="493"/>
      <c r="D13" s="493"/>
      <c r="E13" s="177"/>
      <c r="F13" s="177"/>
      <c r="G13"/>
      <c r="H13"/>
    </row>
    <row r="14" spans="1:8" ht="18" customHeight="1" x14ac:dyDescent="0.55000000000000004">
      <c r="A14"/>
      <c r="B14" s="181"/>
      <c r="C14"/>
      <c r="D14"/>
      <c r="E14"/>
      <c r="F14"/>
      <c r="G14"/>
      <c r="H14"/>
    </row>
    <row r="15" spans="1:8" ht="18" customHeight="1" x14ac:dyDescent="0.55000000000000004">
      <c r="A15"/>
      <c r="B15" s="181"/>
      <c r="C15"/>
      <c r="D15"/>
      <c r="E15"/>
      <c r="F15"/>
      <c r="G15"/>
      <c r="H15"/>
    </row>
    <row r="16" spans="1:8" ht="45" customHeight="1" x14ac:dyDescent="0.55000000000000004">
      <c r="A16" s="178" t="s">
        <v>98</v>
      </c>
      <c r="B16" s="177"/>
      <c r="C16" s="177"/>
      <c r="D16" s="182" t="s">
        <v>99</v>
      </c>
      <c r="E16" s="182" t="s">
        <v>100</v>
      </c>
      <c r="F16" s="182" t="s">
        <v>431</v>
      </c>
      <c r="G16" s="182" t="s">
        <v>432</v>
      </c>
      <c r="H16" s="182" t="s">
        <v>244</v>
      </c>
    </row>
    <row r="17" spans="1:11" ht="18" customHeight="1" x14ac:dyDescent="0.55000000000000004">
      <c r="A17" s="183" t="s">
        <v>101</v>
      </c>
      <c r="B17" s="179" t="s">
        <v>102</v>
      </c>
      <c r="C17"/>
      <c r="D17"/>
      <c r="E17"/>
      <c r="F17"/>
      <c r="G17"/>
      <c r="H17"/>
    </row>
    <row r="18" spans="1:11" ht="18" customHeight="1" x14ac:dyDescent="0.55000000000000004">
      <c r="A18" s="180" t="s">
        <v>103</v>
      </c>
      <c r="B18" s="176" t="s">
        <v>104</v>
      </c>
      <c r="C18"/>
      <c r="D18" s="214">
        <v>9007713.710251173</v>
      </c>
      <c r="E18" s="214"/>
      <c r="F18" s="214"/>
      <c r="G18" s="214">
        <v>7465324.2776570553</v>
      </c>
      <c r="H18" s="249">
        <f>(D18+E18)-G18</f>
        <v>1542389.4325941177</v>
      </c>
    </row>
    <row r="19" spans="1:11" ht="45" customHeight="1" x14ac:dyDescent="0.55000000000000004">
      <c r="A19" s="178" t="s">
        <v>105</v>
      </c>
      <c r="B19" s="177"/>
      <c r="C19" s="177"/>
      <c r="D19" s="182" t="s">
        <v>99</v>
      </c>
      <c r="E19" s="182" t="s">
        <v>100</v>
      </c>
      <c r="F19" s="182" t="s">
        <v>431</v>
      </c>
      <c r="G19" s="182" t="s">
        <v>432</v>
      </c>
      <c r="H19" s="182" t="s">
        <v>244</v>
      </c>
    </row>
    <row r="20" spans="1:11" ht="18" customHeight="1" x14ac:dyDescent="0.55000000000000004">
      <c r="A20" s="183" t="s">
        <v>108</v>
      </c>
      <c r="B20" s="179" t="s">
        <v>109</v>
      </c>
      <c r="C20"/>
      <c r="D20"/>
      <c r="E20"/>
      <c r="F20"/>
      <c r="G20"/>
      <c r="H20"/>
    </row>
    <row r="21" spans="1:11" ht="18" customHeight="1" x14ac:dyDescent="0.55000000000000004">
      <c r="A21" s="180" t="s">
        <v>110</v>
      </c>
      <c r="B21" s="176" t="s">
        <v>111</v>
      </c>
      <c r="C21"/>
      <c r="D21" s="184">
        <v>136220.94421856332</v>
      </c>
      <c r="E21" s="216">
        <v>81385.990582545826</v>
      </c>
      <c r="F21" s="216"/>
      <c r="G21" s="184">
        <v>0</v>
      </c>
      <c r="H21" s="217">
        <v>217606.93480110914</v>
      </c>
      <c r="I21" s="280"/>
    </row>
    <row r="22" spans="1:11" ht="18" customHeight="1" x14ac:dyDescent="0.55000000000000004">
      <c r="A22" s="180" t="s">
        <v>112</v>
      </c>
      <c r="B22" s="176" t="s">
        <v>113</v>
      </c>
      <c r="C22"/>
      <c r="D22" s="184">
        <v>3958.132589939908</v>
      </c>
      <c r="E22" s="216">
        <v>2364.8091968328786</v>
      </c>
      <c r="F22" s="216"/>
      <c r="G22" s="184">
        <v>0</v>
      </c>
      <c r="H22" s="217">
        <v>6322.9417867727861</v>
      </c>
      <c r="I22" s="280"/>
    </row>
    <row r="23" spans="1:11" ht="18" customHeight="1" x14ac:dyDescent="0.55000000000000004">
      <c r="A23" s="180" t="s">
        <v>114</v>
      </c>
      <c r="B23" s="176" t="s">
        <v>115</v>
      </c>
      <c r="C23"/>
      <c r="D23" s="184">
        <v>354571.98057070037</v>
      </c>
      <c r="E23" s="216">
        <v>211841.07948379032</v>
      </c>
      <c r="F23" s="216"/>
      <c r="G23" s="184">
        <v>64218</v>
      </c>
      <c r="H23" s="217">
        <v>502195.06005449069</v>
      </c>
      <c r="I23" s="280"/>
    </row>
    <row r="24" spans="1:11" ht="18" customHeight="1" x14ac:dyDescent="0.55000000000000004">
      <c r="A24" s="180" t="s">
        <v>116</v>
      </c>
      <c r="B24" s="176" t="s">
        <v>117</v>
      </c>
      <c r="C24"/>
      <c r="D24" s="184"/>
      <c r="E24" s="216"/>
      <c r="F24" s="216"/>
      <c r="G24" s="184"/>
      <c r="H24" s="217">
        <v>0</v>
      </c>
      <c r="I24" s="280"/>
      <c r="J24" s="278"/>
    </row>
    <row r="25" spans="1:11" ht="18" customHeight="1" x14ac:dyDescent="0.55000000000000004">
      <c r="A25" s="180" t="s">
        <v>118</v>
      </c>
      <c r="B25" s="176" t="s">
        <v>119</v>
      </c>
      <c r="C25"/>
      <c r="D25" s="184">
        <v>3374.3080889121547</v>
      </c>
      <c r="E25" s="216">
        <v>2015.9998737506119</v>
      </c>
      <c r="F25" s="216"/>
      <c r="G25" s="184">
        <v>0</v>
      </c>
      <c r="H25" s="217">
        <v>5390.3079626627668</v>
      </c>
      <c r="I25" s="280"/>
    </row>
    <row r="26" spans="1:11" ht="18" customHeight="1" x14ac:dyDescent="0.55000000000000004">
      <c r="A26" s="180" t="s">
        <v>120</v>
      </c>
      <c r="B26" s="176" t="s">
        <v>121</v>
      </c>
      <c r="C26"/>
      <c r="D26" s="184">
        <v>180878.33913814527</v>
      </c>
      <c r="E26" s="216">
        <v>108066.80933046668</v>
      </c>
      <c r="F26" s="216"/>
      <c r="G26" s="184">
        <v>0</v>
      </c>
      <c r="H26" s="217">
        <v>288945.14846861194</v>
      </c>
      <c r="I26" s="280"/>
      <c r="J26" s="278"/>
    </row>
    <row r="27" spans="1:11" ht="18" customHeight="1" x14ac:dyDescent="0.55000000000000004">
      <c r="A27" s="180" t="s">
        <v>122</v>
      </c>
      <c r="B27" s="176" t="s">
        <v>246</v>
      </c>
      <c r="C27"/>
      <c r="D27" s="184">
        <v>3490.5773052675604</v>
      </c>
      <c r="E27" s="216">
        <v>2085.4655891853718</v>
      </c>
      <c r="F27" s="216"/>
      <c r="G27" s="184">
        <v>0</v>
      </c>
      <c r="H27" s="217">
        <v>5576.0428944529322</v>
      </c>
      <c r="I27" s="280"/>
    </row>
    <row r="28" spans="1:11" ht="18" customHeight="1" x14ac:dyDescent="0.55000000000000004">
      <c r="A28" s="180" t="s">
        <v>124</v>
      </c>
      <c r="B28" s="176" t="s">
        <v>125</v>
      </c>
      <c r="C28"/>
      <c r="D28" s="184"/>
      <c r="E28" s="216"/>
      <c r="F28" s="216"/>
      <c r="G28" s="184"/>
      <c r="H28" s="217">
        <v>0</v>
      </c>
      <c r="I28" s="280"/>
    </row>
    <row r="29" spans="1:11" ht="18" customHeight="1" x14ac:dyDescent="0.55000000000000004">
      <c r="A29" s="180" t="s">
        <v>126</v>
      </c>
      <c r="B29" s="176" t="s">
        <v>127</v>
      </c>
      <c r="C29"/>
      <c r="D29" s="184">
        <v>564338.45506354945</v>
      </c>
      <c r="E29" s="216">
        <v>337167.27227700094</v>
      </c>
      <c r="F29" s="216"/>
      <c r="G29" s="184">
        <v>0</v>
      </c>
      <c r="H29" s="217">
        <v>901505.72734055039</v>
      </c>
      <c r="I29" s="280"/>
    </row>
    <row r="30" spans="1:11" ht="18" customHeight="1" x14ac:dyDescent="0.55000000000000004">
      <c r="A30" s="180" t="s">
        <v>128</v>
      </c>
      <c r="B30" s="185"/>
      <c r="C30"/>
      <c r="D30" s="184"/>
      <c r="E30" s="216"/>
      <c r="F30" s="216"/>
      <c r="G30" s="184"/>
      <c r="H30" s="217">
        <v>0</v>
      </c>
      <c r="I30" s="280"/>
    </row>
    <row r="31" spans="1:11" ht="18" customHeight="1" x14ac:dyDescent="0.55000000000000004">
      <c r="A31" s="180" t="s">
        <v>130</v>
      </c>
      <c r="B31" s="185"/>
      <c r="C31"/>
      <c r="D31" s="184"/>
      <c r="E31" s="216"/>
      <c r="F31" s="216"/>
      <c r="G31" s="184"/>
      <c r="H31" s="217">
        <v>0</v>
      </c>
      <c r="I31" s="280"/>
    </row>
    <row r="32" spans="1:11" ht="18" customHeight="1" x14ac:dyDescent="0.55000000000000004">
      <c r="A32" s="180" t="s">
        <v>131</v>
      </c>
      <c r="B32" s="185"/>
      <c r="C32"/>
      <c r="D32" s="184"/>
      <c r="E32" s="216"/>
      <c r="F32" s="216"/>
      <c r="G32" s="184"/>
      <c r="H32" s="217">
        <v>0</v>
      </c>
      <c r="I32" s="280"/>
      <c r="K32" s="275"/>
    </row>
    <row r="33" spans="1:9" ht="18" customHeight="1" x14ac:dyDescent="0.55000000000000004">
      <c r="A33" s="180" t="s">
        <v>132</v>
      </c>
      <c r="B33" s="185"/>
      <c r="C33"/>
      <c r="D33" s="184"/>
      <c r="E33" s="216"/>
      <c r="F33" s="216"/>
      <c r="G33" s="184"/>
      <c r="H33" s="217">
        <v>0</v>
      </c>
      <c r="I33" s="280"/>
    </row>
    <row r="34" spans="1:9" ht="18" customHeight="1" x14ac:dyDescent="0.55000000000000004">
      <c r="A34" s="180" t="s">
        <v>133</v>
      </c>
      <c r="B34" s="185"/>
      <c r="C34"/>
      <c r="D34" s="184"/>
      <c r="E34" s="216"/>
      <c r="F34" s="216"/>
      <c r="G34" s="184"/>
      <c r="H34" s="217">
        <v>0</v>
      </c>
      <c r="I34" s="280"/>
    </row>
    <row r="35" spans="1:9" ht="18" customHeight="1" x14ac:dyDescent="0.55000000000000004">
      <c r="A35"/>
      <c r="B35"/>
      <c r="C35"/>
      <c r="D35"/>
      <c r="E35"/>
      <c r="F35"/>
      <c r="G35"/>
      <c r="H35" s="186"/>
      <c r="I35" s="278"/>
    </row>
    <row r="36" spans="1:9" ht="18" customHeight="1" x14ac:dyDescent="0.55000000000000004">
      <c r="A36" s="183" t="s">
        <v>134</v>
      </c>
      <c r="B36" s="179" t="s">
        <v>135</v>
      </c>
      <c r="C36" s="179" t="s">
        <v>248</v>
      </c>
      <c r="D36" s="217">
        <v>1246832.736975078</v>
      </c>
      <c r="E36" s="217">
        <v>744927.4263335726</v>
      </c>
      <c r="F36" s="217">
        <v>0</v>
      </c>
      <c r="G36" s="217">
        <v>64218</v>
      </c>
      <c r="H36" s="217">
        <v>1927542.1633086507</v>
      </c>
      <c r="I36" s="278"/>
    </row>
    <row r="37" spans="1:9" ht="18" customHeight="1" thickBot="1" x14ac:dyDescent="0.6">
      <c r="A37"/>
      <c r="B37" s="179"/>
      <c r="C37"/>
      <c r="D37" s="187"/>
      <c r="E37" s="187"/>
      <c r="F37" s="187"/>
      <c r="G37" s="187"/>
      <c r="H37" s="188"/>
      <c r="I37" s="278"/>
    </row>
    <row r="38" spans="1:9" ht="42.75" customHeight="1" x14ac:dyDescent="0.55000000000000004">
      <c r="A38"/>
      <c r="B38"/>
      <c r="C38"/>
      <c r="D38" s="182" t="s">
        <v>99</v>
      </c>
      <c r="E38" s="182" t="s">
        <v>100</v>
      </c>
      <c r="F38" s="182" t="s">
        <v>431</v>
      </c>
      <c r="G38" s="182" t="s">
        <v>432</v>
      </c>
      <c r="H38" s="182" t="s">
        <v>244</v>
      </c>
      <c r="I38" s="278"/>
    </row>
    <row r="39" spans="1:9" ht="18.75" customHeight="1" x14ac:dyDescent="0.55000000000000004">
      <c r="A39" s="183" t="s">
        <v>249</v>
      </c>
      <c r="B39" s="179" t="s">
        <v>137</v>
      </c>
      <c r="C39"/>
      <c r="D39"/>
      <c r="E39"/>
      <c r="F39"/>
      <c r="G39"/>
      <c r="H39"/>
      <c r="I39" s="278"/>
    </row>
    <row r="40" spans="1:9" ht="18" customHeight="1" x14ac:dyDescent="0.55000000000000004">
      <c r="A40" s="180" t="s">
        <v>250</v>
      </c>
      <c r="B40" s="176" t="s">
        <v>139</v>
      </c>
      <c r="C40"/>
      <c r="D40" s="184"/>
      <c r="E40" s="216"/>
      <c r="F40" s="216"/>
      <c r="G40" s="184"/>
      <c r="H40" s="217">
        <v>0</v>
      </c>
      <c r="I40" s="278"/>
    </row>
    <row r="41" spans="1:9" ht="18" customHeight="1" x14ac:dyDescent="0.55000000000000004">
      <c r="A41" s="180" t="s">
        <v>251</v>
      </c>
      <c r="B41" s="176" t="s">
        <v>141</v>
      </c>
      <c r="C41"/>
      <c r="D41" s="184">
        <v>1318016.0614807315</v>
      </c>
      <c r="E41" s="216">
        <v>787456.31505244796</v>
      </c>
      <c r="F41" s="216"/>
      <c r="G41" s="184">
        <v>0</v>
      </c>
      <c r="H41" s="217">
        <v>2105472.3765331795</v>
      </c>
      <c r="I41" s="278"/>
    </row>
    <row r="42" spans="1:9" ht="18" customHeight="1" x14ac:dyDescent="0.55000000000000004">
      <c r="A42" s="180" t="s">
        <v>252</v>
      </c>
      <c r="B42" s="176" t="s">
        <v>143</v>
      </c>
      <c r="C42"/>
      <c r="D42" s="184">
        <v>1827424.529015966</v>
      </c>
      <c r="E42" s="216">
        <v>1091805.3487441551</v>
      </c>
      <c r="F42" s="216"/>
      <c r="G42" s="184">
        <v>0</v>
      </c>
      <c r="H42" s="217">
        <v>2919229.8777601211</v>
      </c>
      <c r="I42" s="278"/>
    </row>
    <row r="43" spans="1:9" ht="18" customHeight="1" x14ac:dyDescent="0.55000000000000004">
      <c r="A43" s="180" t="s">
        <v>253</v>
      </c>
      <c r="B43" s="176" t="s">
        <v>145</v>
      </c>
      <c r="C43"/>
      <c r="D43" s="184"/>
      <c r="E43" s="216"/>
      <c r="F43" s="216"/>
      <c r="G43" s="184"/>
      <c r="H43" s="217">
        <v>0</v>
      </c>
      <c r="I43" s="278"/>
    </row>
    <row r="44" spans="1:9" ht="18" customHeight="1" x14ac:dyDescent="0.55000000000000004">
      <c r="A44" s="180" t="s">
        <v>146</v>
      </c>
      <c r="B44" s="185"/>
      <c r="C44"/>
      <c r="D44" s="219"/>
      <c r="E44" s="220"/>
      <c r="F44" s="220"/>
      <c r="G44" s="219"/>
      <c r="H44" s="217">
        <v>0</v>
      </c>
      <c r="I44" s="278"/>
    </row>
    <row r="45" spans="1:9" ht="18" customHeight="1" x14ac:dyDescent="0.55000000000000004">
      <c r="A45" s="180" t="s">
        <v>147</v>
      </c>
      <c r="B45" s="185"/>
      <c r="C45"/>
      <c r="D45" s="184"/>
      <c r="E45" s="216"/>
      <c r="F45" s="216"/>
      <c r="G45" s="184"/>
      <c r="H45" s="217">
        <v>0</v>
      </c>
      <c r="I45" s="278"/>
    </row>
    <row r="46" spans="1:9" ht="18" customHeight="1" x14ac:dyDescent="0.55000000000000004">
      <c r="A46" s="180" t="s">
        <v>148</v>
      </c>
      <c r="B46" s="185"/>
      <c r="C46"/>
      <c r="D46" s="184"/>
      <c r="E46" s="216"/>
      <c r="F46" s="216"/>
      <c r="G46" s="184"/>
      <c r="H46" s="217">
        <v>0</v>
      </c>
      <c r="I46" s="278"/>
    </row>
    <row r="47" spans="1:9" ht="18" customHeight="1" x14ac:dyDescent="0.55000000000000004">
      <c r="A47" s="180" t="s">
        <v>149</v>
      </c>
      <c r="B47" s="185"/>
      <c r="C47"/>
      <c r="D47" s="184"/>
      <c r="E47" s="216"/>
      <c r="F47" s="216"/>
      <c r="G47" s="184"/>
      <c r="H47" s="217">
        <v>0</v>
      </c>
      <c r="I47" s="278"/>
    </row>
    <row r="48" spans="1:9" ht="18" customHeight="1" x14ac:dyDescent="0.55000000000000004">
      <c r="I48" s="278"/>
    </row>
    <row r="49" spans="1:26" ht="18" customHeight="1" x14ac:dyDescent="0.55000000000000004">
      <c r="A49" s="183" t="s">
        <v>150</v>
      </c>
      <c r="B49" s="179" t="s">
        <v>254</v>
      </c>
      <c r="C49" s="179" t="s">
        <v>248</v>
      </c>
      <c r="D49" s="217">
        <v>3145440.5904966975</v>
      </c>
      <c r="E49" s="217">
        <v>1879261.6637966032</v>
      </c>
      <c r="F49" s="217">
        <v>0</v>
      </c>
      <c r="G49" s="217">
        <v>0</v>
      </c>
      <c r="H49" s="217">
        <v>5024702.2542933002</v>
      </c>
      <c r="I49" s="278"/>
    </row>
    <row r="50" spans="1:26" ht="18" customHeight="1" thickBot="1" x14ac:dyDescent="0.6">
      <c r="A50"/>
      <c r="B50"/>
      <c r="C50"/>
      <c r="D50" s="189"/>
      <c r="E50" s="189"/>
      <c r="F50" s="189"/>
      <c r="G50" s="189"/>
      <c r="H50" s="189"/>
      <c r="I50" s="278"/>
    </row>
    <row r="51" spans="1:26" ht="42.75" customHeight="1" x14ac:dyDescent="0.55000000000000004">
      <c r="A51"/>
      <c r="B51"/>
      <c r="C51"/>
      <c r="D51" s="182" t="s">
        <v>99</v>
      </c>
      <c r="E51" s="182" t="s">
        <v>100</v>
      </c>
      <c r="F51" s="182" t="s">
        <v>431</v>
      </c>
      <c r="G51" s="182" t="s">
        <v>432</v>
      </c>
      <c r="H51" s="182" t="s">
        <v>244</v>
      </c>
      <c r="I51" s="278"/>
      <c r="K51"/>
      <c r="L51"/>
      <c r="M51" s="182" t="s">
        <v>99</v>
      </c>
      <c r="N51" s="182" t="s">
        <v>100</v>
      </c>
      <c r="O51" s="182" t="s">
        <v>431</v>
      </c>
      <c r="P51" s="182" t="s">
        <v>432</v>
      </c>
      <c r="Q51" s="182" t="s">
        <v>244</v>
      </c>
      <c r="S51"/>
      <c r="T51"/>
      <c r="U51" s="182" t="s">
        <v>99</v>
      </c>
      <c r="V51" s="182" t="s">
        <v>100</v>
      </c>
      <c r="W51" s="182" t="s">
        <v>431</v>
      </c>
      <c r="X51" s="182" t="s">
        <v>432</v>
      </c>
      <c r="Y51" s="182" t="s">
        <v>244</v>
      </c>
    </row>
    <row r="52" spans="1:26" ht="18" customHeight="1" x14ac:dyDescent="0.55000000000000004">
      <c r="A52" s="183" t="s">
        <v>255</v>
      </c>
      <c r="B52" s="221" t="s">
        <v>256</v>
      </c>
      <c r="C52"/>
      <c r="D52"/>
      <c r="E52"/>
      <c r="F52"/>
      <c r="G52"/>
      <c r="H52"/>
      <c r="I52" s="278"/>
      <c r="K52" s="179" t="s">
        <v>256</v>
      </c>
      <c r="L52"/>
      <c r="M52"/>
      <c r="N52"/>
      <c r="O52"/>
      <c r="P52"/>
      <c r="Q52"/>
      <c r="S52" s="179" t="s">
        <v>256</v>
      </c>
      <c r="T52"/>
      <c r="U52"/>
      <c r="V52"/>
      <c r="W52"/>
      <c r="X52"/>
      <c r="Y52"/>
    </row>
    <row r="53" spans="1:26" ht="18" customHeight="1" x14ac:dyDescent="0.55000000000000004">
      <c r="A53" s="201" t="s">
        <v>257</v>
      </c>
      <c r="B53" s="206" t="s">
        <v>403</v>
      </c>
      <c r="C53"/>
      <c r="D53" s="184">
        <v>50243</v>
      </c>
      <c r="E53" s="216">
        <v>8046</v>
      </c>
      <c r="F53" s="216"/>
      <c r="G53" s="184">
        <v>21796</v>
      </c>
      <c r="H53" s="217">
        <v>36493</v>
      </c>
      <c r="I53" s="280"/>
      <c r="J53" s="201" t="s">
        <v>266</v>
      </c>
      <c r="K53" s="204"/>
      <c r="L53"/>
      <c r="M53" s="184"/>
      <c r="N53" s="216"/>
      <c r="O53" s="216"/>
      <c r="P53" s="184"/>
      <c r="Q53" s="217">
        <v>0</v>
      </c>
      <c r="R53" s="201" t="s">
        <v>498</v>
      </c>
      <c r="S53" s="204" t="s">
        <v>422</v>
      </c>
      <c r="T53"/>
      <c r="U53" s="184">
        <v>523842</v>
      </c>
      <c r="V53" s="216">
        <v>50007</v>
      </c>
      <c r="W53" s="216"/>
      <c r="X53" s="184">
        <v>312352</v>
      </c>
      <c r="Y53" s="217">
        <v>261497</v>
      </c>
      <c r="Z53" s="263"/>
    </row>
    <row r="54" spans="1:26" ht="18" customHeight="1" x14ac:dyDescent="0.55000000000000004">
      <c r="A54" s="201" t="s">
        <v>404</v>
      </c>
      <c r="B54" s="206" t="s">
        <v>405</v>
      </c>
      <c r="C54"/>
      <c r="D54" s="184">
        <v>363071</v>
      </c>
      <c r="E54" s="216">
        <v>56867</v>
      </c>
      <c r="F54" s="216"/>
      <c r="G54" s="184">
        <v>253902</v>
      </c>
      <c r="H54" s="217">
        <v>166036</v>
      </c>
      <c r="I54" s="280"/>
      <c r="J54" s="201" t="s">
        <v>499</v>
      </c>
      <c r="K54" s="204" t="s">
        <v>406</v>
      </c>
      <c r="L54"/>
      <c r="M54" s="184">
        <v>343326</v>
      </c>
      <c r="N54" s="216">
        <v>31912</v>
      </c>
      <c r="O54" s="216"/>
      <c r="P54" s="184">
        <v>198499</v>
      </c>
      <c r="Q54" s="217">
        <v>176739</v>
      </c>
      <c r="R54" s="201" t="s">
        <v>500</v>
      </c>
      <c r="S54" s="204" t="s">
        <v>423</v>
      </c>
      <c r="T54" s="212"/>
      <c r="U54" s="184">
        <v>243013</v>
      </c>
      <c r="V54" s="216">
        <v>38555</v>
      </c>
      <c r="W54" s="216"/>
      <c r="X54" s="184">
        <v>126949</v>
      </c>
      <c r="Y54" s="217">
        <v>154619</v>
      </c>
      <c r="Z54" s="263"/>
    </row>
    <row r="55" spans="1:26" ht="18" customHeight="1" x14ac:dyDescent="0.55000000000000004">
      <c r="A55" s="201" t="s">
        <v>407</v>
      </c>
      <c r="B55" s="206" t="s">
        <v>408</v>
      </c>
      <c r="C55"/>
      <c r="D55" s="184">
        <v>475329.62</v>
      </c>
      <c r="E55" s="216">
        <v>0</v>
      </c>
      <c r="F55" s="216"/>
      <c r="G55" s="184">
        <v>0</v>
      </c>
      <c r="H55" s="217">
        <v>475329.62</v>
      </c>
      <c r="I55" s="280"/>
      <c r="J55" s="201" t="s">
        <v>501</v>
      </c>
      <c r="K55" s="204" t="s">
        <v>409</v>
      </c>
      <c r="L55"/>
      <c r="M55" s="184">
        <v>130871</v>
      </c>
      <c r="N55" s="216">
        <v>20238</v>
      </c>
      <c r="O55" s="216"/>
      <c r="P55" s="184">
        <v>79458</v>
      </c>
      <c r="Q55" s="217">
        <v>71651</v>
      </c>
      <c r="R55" s="201" t="s">
        <v>269</v>
      </c>
      <c r="S55" s="206" t="s">
        <v>424</v>
      </c>
      <c r="T55" s="212"/>
      <c r="U55" s="184">
        <v>338070</v>
      </c>
      <c r="V55" s="216">
        <v>32552</v>
      </c>
      <c r="W55" s="216"/>
      <c r="X55" s="184">
        <v>197782</v>
      </c>
      <c r="Y55" s="217">
        <v>172840</v>
      </c>
      <c r="Z55" s="263"/>
    </row>
    <row r="56" spans="1:26" ht="18" customHeight="1" x14ac:dyDescent="0.55000000000000004">
      <c r="A56" s="201" t="s">
        <v>259</v>
      </c>
      <c r="B56" s="204" t="s">
        <v>410</v>
      </c>
      <c r="C56"/>
      <c r="D56" s="184">
        <v>4067</v>
      </c>
      <c r="E56" s="216"/>
      <c r="F56" s="216"/>
      <c r="G56" s="184"/>
      <c r="H56" s="217">
        <v>4067</v>
      </c>
      <c r="I56" s="280"/>
      <c r="J56" s="201" t="s">
        <v>502</v>
      </c>
      <c r="K56" s="204" t="s">
        <v>411</v>
      </c>
      <c r="L56"/>
      <c r="M56" s="184"/>
      <c r="N56" s="216"/>
      <c r="O56" s="216"/>
      <c r="P56" s="184"/>
      <c r="Q56" s="217">
        <v>0</v>
      </c>
    </row>
    <row r="57" spans="1:26" ht="18" customHeight="1" x14ac:dyDescent="0.55000000000000004">
      <c r="A57" s="201" t="s">
        <v>260</v>
      </c>
      <c r="B57" s="204" t="s">
        <v>412</v>
      </c>
      <c r="C57"/>
      <c r="D57" s="184">
        <v>5631575.04</v>
      </c>
      <c r="E57" s="216">
        <v>0</v>
      </c>
      <c r="F57" s="216"/>
      <c r="G57" s="184">
        <v>1477046</v>
      </c>
      <c r="H57" s="217">
        <v>4154529.04</v>
      </c>
      <c r="I57" s="280"/>
      <c r="J57" s="201" t="s">
        <v>503</v>
      </c>
      <c r="K57" s="204" t="s">
        <v>413</v>
      </c>
      <c r="L57"/>
      <c r="M57" s="184">
        <v>675485</v>
      </c>
      <c r="N57" s="216">
        <v>60029</v>
      </c>
      <c r="O57" s="216"/>
      <c r="P57" s="184">
        <v>50214</v>
      </c>
      <c r="Q57" s="217">
        <v>685300</v>
      </c>
    </row>
    <row r="58" spans="1:26" ht="18" customHeight="1" x14ac:dyDescent="0.55000000000000004">
      <c r="A58" s="201" t="s">
        <v>261</v>
      </c>
      <c r="B58" s="204" t="s">
        <v>504</v>
      </c>
      <c r="C58"/>
      <c r="D58" s="184">
        <v>2040915</v>
      </c>
      <c r="E58" s="216">
        <v>152121</v>
      </c>
      <c r="F58" s="216"/>
      <c r="G58" s="184">
        <v>1020545</v>
      </c>
      <c r="H58" s="217">
        <v>1172491</v>
      </c>
      <c r="I58" s="280"/>
      <c r="J58" s="201" t="s">
        <v>505</v>
      </c>
      <c r="K58" s="204" t="s">
        <v>414</v>
      </c>
      <c r="L58"/>
      <c r="M58" s="184">
        <v>1000168</v>
      </c>
      <c r="N58" s="216">
        <v>111923</v>
      </c>
      <c r="O58" s="216"/>
      <c r="P58" s="184">
        <v>587447</v>
      </c>
      <c r="Q58" s="217">
        <v>524644</v>
      </c>
    </row>
    <row r="59" spans="1:26" ht="18" customHeight="1" x14ac:dyDescent="0.55000000000000004">
      <c r="A59" s="201" t="s">
        <v>263</v>
      </c>
      <c r="B59" s="204"/>
      <c r="C59"/>
      <c r="D59" s="184"/>
      <c r="E59" s="216"/>
      <c r="F59" s="216"/>
      <c r="G59" s="184"/>
      <c r="H59" s="217">
        <v>0</v>
      </c>
      <c r="I59" s="280"/>
      <c r="J59" s="201" t="s">
        <v>506</v>
      </c>
      <c r="K59" s="204" t="s">
        <v>415</v>
      </c>
      <c r="L59"/>
      <c r="M59" s="184">
        <v>635976</v>
      </c>
      <c r="N59" s="216">
        <v>56986</v>
      </c>
      <c r="O59" s="216"/>
      <c r="P59" s="184">
        <v>290548</v>
      </c>
      <c r="Q59" s="217">
        <v>402414</v>
      </c>
    </row>
    <row r="60" spans="1:26" ht="18" customHeight="1" x14ac:dyDescent="0.55000000000000004">
      <c r="A60" s="201" t="s">
        <v>264</v>
      </c>
      <c r="B60" s="204" t="s">
        <v>416</v>
      </c>
      <c r="C60"/>
      <c r="D60" s="184">
        <v>5466294</v>
      </c>
      <c r="E60" s="216">
        <v>438229</v>
      </c>
      <c r="F60" s="216"/>
      <c r="G60" s="184">
        <v>5233344</v>
      </c>
      <c r="H60" s="217">
        <v>671179</v>
      </c>
      <c r="I60" s="280"/>
      <c r="J60" s="201" t="s">
        <v>507</v>
      </c>
      <c r="K60" s="204" t="s">
        <v>417</v>
      </c>
      <c r="L60"/>
      <c r="M60" s="184">
        <v>71326</v>
      </c>
      <c r="N60" s="216">
        <v>15032</v>
      </c>
      <c r="O60" s="216"/>
      <c r="P60" s="184">
        <v>26223</v>
      </c>
      <c r="Q60" s="217">
        <v>60135</v>
      </c>
    </row>
    <row r="61" spans="1:26" ht="18" customHeight="1" x14ac:dyDescent="0.55000000000000004">
      <c r="A61" s="201" t="s">
        <v>265</v>
      </c>
      <c r="B61" s="204" t="s">
        <v>383</v>
      </c>
      <c r="C61"/>
      <c r="D61" s="184">
        <v>2393</v>
      </c>
      <c r="E61" s="216">
        <v>94999.92</v>
      </c>
      <c r="F61" s="216"/>
      <c r="G61" s="184">
        <v>75512</v>
      </c>
      <c r="H61" s="217">
        <v>21880.92</v>
      </c>
      <c r="I61" s="280"/>
      <c r="J61" s="201" t="s">
        <v>508</v>
      </c>
      <c r="K61" s="204" t="s">
        <v>418</v>
      </c>
      <c r="L61"/>
      <c r="M61" s="184">
        <v>1703701</v>
      </c>
      <c r="N61" s="216">
        <v>215486</v>
      </c>
      <c r="O61" s="216"/>
      <c r="P61" s="184">
        <v>1451871</v>
      </c>
      <c r="Q61" s="217">
        <v>467316</v>
      </c>
    </row>
    <row r="62" spans="1:26" ht="18" customHeight="1" x14ac:dyDescent="0.55000000000000004">
      <c r="A62" s="201" t="s">
        <v>419</v>
      </c>
      <c r="B62" s="204" t="s">
        <v>420</v>
      </c>
      <c r="C62"/>
      <c r="D62" s="184">
        <v>1021369</v>
      </c>
      <c r="E62" s="216">
        <v>63463</v>
      </c>
      <c r="F62" s="216"/>
      <c r="G62" s="184">
        <v>278254</v>
      </c>
      <c r="H62" s="217">
        <v>806578</v>
      </c>
      <c r="I62" s="280"/>
      <c r="J62" s="201" t="s">
        <v>509</v>
      </c>
      <c r="K62" s="204" t="s">
        <v>421</v>
      </c>
      <c r="L62"/>
      <c r="M62" s="184">
        <v>1240821</v>
      </c>
      <c r="N62" s="216">
        <v>166395</v>
      </c>
      <c r="O62" s="216"/>
      <c r="P62" s="184">
        <v>1013178</v>
      </c>
      <c r="Q62" s="217">
        <v>394038</v>
      </c>
    </row>
    <row r="63" spans="1:26" ht="18" customHeight="1" x14ac:dyDescent="0.55000000000000004">
      <c r="A63" s="180"/>
      <c r="B63"/>
      <c r="C63"/>
      <c r="D63"/>
      <c r="E63" s="227"/>
      <c r="F63" s="192"/>
      <c r="G63"/>
      <c r="H63"/>
      <c r="I63" s="278"/>
      <c r="K63"/>
    </row>
    <row r="64" spans="1:26" ht="14.4" x14ac:dyDescent="0.55000000000000004">
      <c r="A64" s="180" t="s">
        <v>269</v>
      </c>
      <c r="B64" s="179" t="s">
        <v>270</v>
      </c>
      <c r="C64" s="179" t="s">
        <v>248</v>
      </c>
      <c r="D64" s="217">
        <f>SUM(D53:D62)+SUM(M53:M62)+SUM(U53:U55)</f>
        <v>21961855.66</v>
      </c>
      <c r="E64" s="217">
        <f>SUM(E53:E62)+SUM(N53:N62)+SUM(V53:V55)</f>
        <v>1612840.92</v>
      </c>
      <c r="F64" s="217">
        <f>SUM(F53:F62)+SUM(O53:O62)+SUM(W53:W55)</f>
        <v>0</v>
      </c>
      <c r="G64" s="217">
        <f>SUM(G53:G62)+SUM(P53:P62)+SUM(X53:X55)</f>
        <v>12694920</v>
      </c>
      <c r="H64" s="217">
        <f>SUM(H53:H62)+SUM(Q53:Q62)+SUM(Y53:Y55)</f>
        <v>10879776.58</v>
      </c>
      <c r="I64" s="278"/>
      <c r="K64"/>
    </row>
    <row r="65" spans="1:11" ht="14.4" x14ac:dyDescent="0.55000000000000004">
      <c r="A65"/>
      <c r="B65"/>
      <c r="C65"/>
      <c r="D65" s="190"/>
      <c r="E65" s="190"/>
      <c r="F65" s="190"/>
      <c r="G65" s="190"/>
      <c r="H65" s="190"/>
      <c r="I65" s="278"/>
      <c r="K65"/>
    </row>
    <row r="66" spans="1:11" ht="30" customHeight="1" x14ac:dyDescent="0.55000000000000004">
      <c r="A66"/>
      <c r="B66"/>
      <c r="C66"/>
      <c r="D66" s="182" t="s">
        <v>99</v>
      </c>
      <c r="E66" s="182" t="s">
        <v>100</v>
      </c>
      <c r="F66" s="182" t="s">
        <v>431</v>
      </c>
      <c r="G66" s="182" t="s">
        <v>432</v>
      </c>
      <c r="H66" s="182" t="s">
        <v>244</v>
      </c>
      <c r="I66" s="278"/>
      <c r="K66"/>
    </row>
    <row r="67" spans="1:11" ht="18" customHeight="1" x14ac:dyDescent="0.55000000000000004">
      <c r="A67" s="183" t="s">
        <v>271</v>
      </c>
      <c r="B67" s="179" t="s">
        <v>155</v>
      </c>
      <c r="C67"/>
      <c r="D67" s="191"/>
      <c r="E67" s="192"/>
      <c r="F67" s="192"/>
      <c r="G67" s="191"/>
      <c r="H67" s="192"/>
      <c r="I67" s="278"/>
      <c r="K67"/>
    </row>
    <row r="68" spans="1:11" ht="18" customHeight="1" x14ac:dyDescent="0.55000000000000004">
      <c r="A68" s="180" t="s">
        <v>272</v>
      </c>
      <c r="B68" s="176" t="s">
        <v>157</v>
      </c>
      <c r="C68"/>
      <c r="D68" s="184">
        <v>0</v>
      </c>
      <c r="E68" s="216">
        <v>0</v>
      </c>
      <c r="F68" s="216"/>
      <c r="G68" s="184">
        <v>0</v>
      </c>
      <c r="H68" s="217">
        <v>0</v>
      </c>
      <c r="I68" s="278"/>
      <c r="K68" s="254"/>
    </row>
    <row r="69" spans="1:11" ht="18" customHeight="1" x14ac:dyDescent="0.55000000000000004">
      <c r="A69" s="180" t="s">
        <v>273</v>
      </c>
      <c r="B69" s="176" t="s">
        <v>159</v>
      </c>
      <c r="C69"/>
      <c r="D69" s="184">
        <v>28639.540372691357</v>
      </c>
      <c r="E69" s="216">
        <v>17110.858953675241</v>
      </c>
      <c r="F69" s="216"/>
      <c r="G69" s="184">
        <v>0</v>
      </c>
      <c r="H69" s="217">
        <v>45750.399326366598</v>
      </c>
      <c r="I69" s="278"/>
      <c r="K69"/>
    </row>
    <row r="70" spans="1:11" ht="18" customHeight="1" x14ac:dyDescent="0.55000000000000004">
      <c r="A70" s="180" t="s">
        <v>274</v>
      </c>
      <c r="B70" s="193"/>
      <c r="C70" s="179"/>
      <c r="D70" s="224"/>
      <c r="E70" s="216"/>
      <c r="F70" s="225"/>
      <c r="G70" s="224"/>
      <c r="H70" s="217">
        <v>0</v>
      </c>
      <c r="I70" s="278"/>
      <c r="K70"/>
    </row>
    <row r="71" spans="1:11" ht="42.75" customHeight="1" x14ac:dyDescent="0.55000000000000004">
      <c r="A71" s="180" t="s">
        <v>275</v>
      </c>
      <c r="B71" s="193"/>
      <c r="C71" s="179"/>
      <c r="D71" s="224"/>
      <c r="E71" s="216"/>
      <c r="F71" s="225"/>
      <c r="G71" s="224"/>
      <c r="H71" s="217">
        <v>0</v>
      </c>
      <c r="I71" s="278"/>
      <c r="K71"/>
    </row>
    <row r="72" spans="1:11" ht="18" customHeight="1" x14ac:dyDescent="0.55000000000000004">
      <c r="A72" s="180" t="s">
        <v>276</v>
      </c>
      <c r="B72" s="194"/>
      <c r="C72" s="179"/>
      <c r="D72" s="184"/>
      <c r="E72" s="216"/>
      <c r="F72" s="216"/>
      <c r="G72" s="184"/>
      <c r="H72" s="217">
        <v>0</v>
      </c>
      <c r="I72" s="278"/>
      <c r="K72"/>
    </row>
    <row r="73" spans="1:11" ht="18" customHeight="1" x14ac:dyDescent="0.55000000000000004">
      <c r="A73" s="180"/>
      <c r="C73" s="179"/>
      <c r="D73" s="195"/>
      <c r="E73" s="192"/>
      <c r="F73" s="192"/>
      <c r="G73" s="195"/>
      <c r="H73" s="192"/>
      <c r="I73" s="278"/>
      <c r="K73"/>
    </row>
    <row r="74" spans="1:11" ht="18" customHeight="1" x14ac:dyDescent="0.55000000000000004">
      <c r="A74" s="183" t="s">
        <v>161</v>
      </c>
      <c r="B74" s="179" t="s">
        <v>277</v>
      </c>
      <c r="C74" s="179" t="s">
        <v>248</v>
      </c>
      <c r="D74" s="217">
        <v>28639.540372691357</v>
      </c>
      <c r="E74" s="229">
        <v>17110.858953675241</v>
      </c>
      <c r="F74" s="229">
        <v>0</v>
      </c>
      <c r="G74" s="217">
        <v>0</v>
      </c>
      <c r="H74" s="217">
        <v>45750.399326366598</v>
      </c>
      <c r="I74" s="278"/>
      <c r="K74"/>
    </row>
    <row r="75" spans="1:11" ht="34.5" customHeight="1" x14ac:dyDescent="0.55000000000000004">
      <c r="A75"/>
      <c r="B75"/>
      <c r="C75"/>
      <c r="D75" s="182" t="s">
        <v>99</v>
      </c>
      <c r="E75" s="182" t="s">
        <v>100</v>
      </c>
      <c r="F75" s="182" t="s">
        <v>431</v>
      </c>
      <c r="G75" s="182" t="s">
        <v>432</v>
      </c>
      <c r="H75" s="182" t="s">
        <v>244</v>
      </c>
      <c r="I75" s="278"/>
      <c r="K75"/>
    </row>
    <row r="76" spans="1:11" ht="18" customHeight="1" x14ac:dyDescent="0.55000000000000004">
      <c r="A76" s="183" t="s">
        <v>278</v>
      </c>
      <c r="B76" s="179" t="s">
        <v>279</v>
      </c>
      <c r="C76"/>
      <c r="D76"/>
      <c r="E76"/>
      <c r="F76"/>
      <c r="G76"/>
      <c r="H76"/>
      <c r="I76" s="278"/>
      <c r="K76"/>
    </row>
    <row r="77" spans="1:11" ht="18" customHeight="1" x14ac:dyDescent="0.55000000000000004">
      <c r="A77" s="180" t="s">
        <v>280</v>
      </c>
      <c r="B77" s="176" t="s">
        <v>164</v>
      </c>
      <c r="C77"/>
      <c r="D77" s="184">
        <v>28450</v>
      </c>
      <c r="E77" s="230"/>
      <c r="F77" s="220"/>
      <c r="G77" s="184"/>
      <c r="H77" s="217">
        <v>28450</v>
      </c>
      <c r="I77" s="278"/>
      <c r="K77"/>
    </row>
    <row r="78" spans="1:11" ht="18" customHeight="1" x14ac:dyDescent="0.55000000000000004">
      <c r="A78" s="180" t="s">
        <v>281</v>
      </c>
      <c r="B78" s="176" t="s">
        <v>166</v>
      </c>
      <c r="C78"/>
      <c r="D78" s="184">
        <v>265834</v>
      </c>
      <c r="E78" s="230"/>
      <c r="F78" s="184">
        <v>242596</v>
      </c>
      <c r="G78" s="184"/>
      <c r="H78" s="217">
        <v>23238</v>
      </c>
      <c r="I78" s="278"/>
      <c r="K78"/>
    </row>
    <row r="79" spans="1:11" ht="18" customHeight="1" x14ac:dyDescent="0.55000000000000004">
      <c r="A79" s="180" t="s">
        <v>282</v>
      </c>
      <c r="B79" s="176" t="s">
        <v>168</v>
      </c>
      <c r="C79"/>
      <c r="D79" s="184">
        <v>99031.315299196736</v>
      </c>
      <c r="E79" s="230"/>
      <c r="F79" s="220"/>
      <c r="G79" s="184"/>
      <c r="H79" s="217">
        <v>99031.315299196736</v>
      </c>
      <c r="I79" s="278"/>
      <c r="K79"/>
    </row>
    <row r="80" spans="1:11" ht="18" customHeight="1" x14ac:dyDescent="0.55000000000000004">
      <c r="A80" s="180" t="s">
        <v>283</v>
      </c>
      <c r="B80" s="176" t="s">
        <v>170</v>
      </c>
      <c r="C80"/>
      <c r="D80" s="184"/>
      <c r="E80" s="230"/>
      <c r="F80" s="220"/>
      <c r="G80" s="184"/>
      <c r="H80" s="217">
        <v>0</v>
      </c>
      <c r="I80" s="278"/>
      <c r="K80"/>
    </row>
    <row r="81" spans="1:11" ht="18" customHeight="1" x14ac:dyDescent="0.55000000000000004">
      <c r="A81" s="180"/>
      <c r="B81"/>
      <c r="C81"/>
      <c r="D81"/>
      <c r="E81"/>
      <c r="F81"/>
      <c r="G81"/>
      <c r="H81" s="196"/>
      <c r="I81" s="278"/>
      <c r="K81"/>
    </row>
    <row r="82" spans="1:11" ht="18" customHeight="1" x14ac:dyDescent="0.55000000000000004">
      <c r="A82" s="180" t="s">
        <v>171</v>
      </c>
      <c r="B82" s="179" t="s">
        <v>284</v>
      </c>
      <c r="C82" s="179" t="s">
        <v>248</v>
      </c>
      <c r="D82" s="217">
        <v>393315.31529919675</v>
      </c>
      <c r="E82" s="231"/>
      <c r="F82" s="217">
        <v>242596</v>
      </c>
      <c r="G82" s="217">
        <v>0</v>
      </c>
      <c r="H82" s="217">
        <v>150719.31529919675</v>
      </c>
      <c r="I82" s="278"/>
      <c r="K82"/>
    </row>
    <row r="83" spans="1:11" ht="18" customHeight="1" thickBot="1" x14ac:dyDescent="0.6">
      <c r="A83" s="180"/>
      <c r="B83"/>
      <c r="C83"/>
      <c r="D83" s="189"/>
      <c r="E83" s="189"/>
      <c r="F83" s="189"/>
      <c r="G83" s="189"/>
      <c r="H83" s="189"/>
      <c r="I83" s="278"/>
      <c r="K83"/>
    </row>
    <row r="84" spans="1:11" ht="39.75" customHeight="1" x14ac:dyDescent="0.55000000000000004">
      <c r="A84"/>
      <c r="B84"/>
      <c r="C84"/>
      <c r="D84" s="182" t="s">
        <v>99</v>
      </c>
      <c r="E84" s="182" t="s">
        <v>100</v>
      </c>
      <c r="F84" s="182" t="s">
        <v>431</v>
      </c>
      <c r="G84" s="182" t="s">
        <v>432</v>
      </c>
      <c r="H84" s="182" t="s">
        <v>244</v>
      </c>
      <c r="I84" s="278"/>
    </row>
    <row r="85" spans="1:11" ht="18" customHeight="1" x14ac:dyDescent="0.55000000000000004">
      <c r="A85" s="183" t="s">
        <v>285</v>
      </c>
      <c r="B85" s="179" t="s">
        <v>173</v>
      </c>
      <c r="C85"/>
      <c r="D85"/>
      <c r="E85"/>
      <c r="F85"/>
      <c r="G85"/>
      <c r="H85"/>
      <c r="I85" s="278"/>
    </row>
    <row r="86" spans="1:11" ht="18" customHeight="1" x14ac:dyDescent="0.55000000000000004">
      <c r="A86" s="180" t="s">
        <v>191</v>
      </c>
      <c r="B86" s="176" t="s">
        <v>286</v>
      </c>
      <c r="C86"/>
      <c r="D86" s="184"/>
      <c r="E86" s="216"/>
      <c r="F86" s="216"/>
      <c r="G86" s="184"/>
      <c r="H86" s="217">
        <v>0</v>
      </c>
      <c r="I86" s="278"/>
    </row>
    <row r="87" spans="1:11" ht="42.75" customHeight="1" x14ac:dyDescent="0.55000000000000004">
      <c r="A87" s="180" t="s">
        <v>287</v>
      </c>
      <c r="B87" s="176" t="s">
        <v>177</v>
      </c>
      <c r="C87"/>
      <c r="D87" s="184">
        <v>5600.5805297188008</v>
      </c>
      <c r="E87" s="216">
        <v>3346.0992130340051</v>
      </c>
      <c r="F87" s="216"/>
      <c r="G87" s="184">
        <v>0</v>
      </c>
      <c r="H87" s="217">
        <v>8946.6797427528054</v>
      </c>
      <c r="I87" s="278"/>
    </row>
    <row r="88" spans="1:11" ht="18" customHeight="1" x14ac:dyDescent="0.55000000000000004">
      <c r="A88" s="180" t="s">
        <v>288</v>
      </c>
      <c r="B88" s="176" t="s">
        <v>289</v>
      </c>
      <c r="C88"/>
      <c r="D88" s="184">
        <v>65100.418630866596</v>
      </c>
      <c r="E88" s="216">
        <v>38894.621440228468</v>
      </c>
      <c r="F88" s="216"/>
      <c r="G88" s="184">
        <v>0</v>
      </c>
      <c r="H88" s="217">
        <v>103995.04007109506</v>
      </c>
      <c r="I88" s="278"/>
    </row>
    <row r="89" spans="1:11" ht="18" customHeight="1" x14ac:dyDescent="0.55000000000000004">
      <c r="A89" s="180" t="s">
        <v>290</v>
      </c>
      <c r="B89" s="176" t="s">
        <v>181</v>
      </c>
      <c r="C89"/>
      <c r="D89" s="184">
        <v>268290.77179047611</v>
      </c>
      <c r="E89" s="216">
        <v>160291.87252798449</v>
      </c>
      <c r="F89" s="216"/>
      <c r="G89" s="184">
        <v>0</v>
      </c>
      <c r="H89" s="217">
        <v>428582.6443184606</v>
      </c>
      <c r="I89" s="278"/>
    </row>
    <row r="90" spans="1:11" ht="18" customHeight="1" x14ac:dyDescent="0.55000000000000004">
      <c r="A90" s="180" t="s">
        <v>291</v>
      </c>
      <c r="B90" s="176" t="s">
        <v>183</v>
      </c>
      <c r="C90"/>
      <c r="D90" s="184"/>
      <c r="E90" s="216"/>
      <c r="F90" s="216"/>
      <c r="G90" s="184"/>
      <c r="H90" s="217">
        <v>0</v>
      </c>
      <c r="I90" s="278"/>
    </row>
    <row r="91" spans="1:11" ht="18" customHeight="1" x14ac:dyDescent="0.55000000000000004">
      <c r="A91" s="180" t="s">
        <v>292</v>
      </c>
      <c r="B91" s="176" t="s">
        <v>185</v>
      </c>
      <c r="C91"/>
      <c r="D91" s="184">
        <v>1956970.9507916654</v>
      </c>
      <c r="E91" s="216">
        <v>1169203.6073094693</v>
      </c>
      <c r="F91" s="216"/>
      <c r="G91" s="184">
        <v>1164000</v>
      </c>
      <c r="H91" s="217">
        <v>1962174.5581011344</v>
      </c>
      <c r="I91" s="278"/>
    </row>
    <row r="92" spans="1:11" ht="18" customHeight="1" x14ac:dyDescent="0.55000000000000004">
      <c r="A92" s="180" t="s">
        <v>293</v>
      </c>
      <c r="B92" s="176" t="s">
        <v>294</v>
      </c>
      <c r="C92"/>
      <c r="D92" s="184">
        <v>697.04297240184417</v>
      </c>
      <c r="E92" s="216">
        <v>416.45235329234708</v>
      </c>
      <c r="F92" s="216"/>
      <c r="G92" s="184">
        <v>0</v>
      </c>
      <c r="H92" s="217">
        <v>1113.4953256941913</v>
      </c>
      <c r="I92" s="278"/>
    </row>
    <row r="93" spans="1:11" ht="18" customHeight="1" x14ac:dyDescent="0.55000000000000004">
      <c r="A93" s="180" t="s">
        <v>295</v>
      </c>
      <c r="B93" s="176" t="s">
        <v>296</v>
      </c>
      <c r="C93"/>
      <c r="D93" s="184">
        <v>10650.88231134056</v>
      </c>
      <c r="E93" s="216">
        <v>6363.4312069937941</v>
      </c>
      <c r="F93" s="216"/>
      <c r="G93" s="184">
        <v>0</v>
      </c>
      <c r="H93" s="217">
        <v>17014.313518334355</v>
      </c>
      <c r="I93" s="278"/>
    </row>
    <row r="94" spans="1:11" ht="18" customHeight="1" x14ac:dyDescent="0.55000000000000004">
      <c r="A94" s="180" t="s">
        <v>297</v>
      </c>
      <c r="B94" s="193"/>
      <c r="C94"/>
      <c r="D94" s="184"/>
      <c r="E94" s="216"/>
      <c r="F94" s="216"/>
      <c r="G94" s="184"/>
      <c r="H94" s="217">
        <v>0</v>
      </c>
      <c r="I94" s="278"/>
    </row>
    <row r="95" spans="1:11" ht="18" customHeight="1" x14ac:dyDescent="0.55000000000000004">
      <c r="A95" s="180" t="s">
        <v>298</v>
      </c>
      <c r="B95" s="193"/>
      <c r="C95"/>
      <c r="D95" s="184"/>
      <c r="E95" s="216"/>
      <c r="F95" s="216"/>
      <c r="G95" s="184"/>
      <c r="H95" s="217">
        <v>0</v>
      </c>
      <c r="I95" s="278"/>
    </row>
    <row r="96" spans="1:11" ht="18" customHeight="1" x14ac:dyDescent="0.55000000000000004">
      <c r="A96" s="180" t="s">
        <v>299</v>
      </c>
      <c r="B96" s="193"/>
      <c r="C96"/>
      <c r="D96" s="184"/>
      <c r="E96" s="216"/>
      <c r="F96" s="216"/>
      <c r="G96" s="184"/>
      <c r="H96" s="217">
        <v>0</v>
      </c>
      <c r="I96" s="278"/>
    </row>
    <row r="97" spans="1:9" ht="14.4" x14ac:dyDescent="0.55000000000000004">
      <c r="A97" s="180"/>
      <c r="C97"/>
      <c r="D97"/>
      <c r="E97"/>
      <c r="F97"/>
      <c r="G97"/>
      <c r="H97"/>
      <c r="I97" s="278"/>
    </row>
    <row r="98" spans="1:9" ht="18" customHeight="1" x14ac:dyDescent="0.55000000000000004">
      <c r="A98" s="183" t="s">
        <v>193</v>
      </c>
      <c r="B98" s="179" t="s">
        <v>300</v>
      </c>
      <c r="C98" s="179" t="s">
        <v>248</v>
      </c>
      <c r="D98" s="217">
        <v>2307310.647026469</v>
      </c>
      <c r="E98" s="217">
        <v>1378516.0840510023</v>
      </c>
      <c r="F98" s="217">
        <v>0</v>
      </c>
      <c r="G98" s="217">
        <v>1164000</v>
      </c>
      <c r="H98" s="217">
        <v>2521826.7310774713</v>
      </c>
      <c r="I98" s="278"/>
    </row>
    <row r="99" spans="1:9" ht="18" customHeight="1" thickBot="1" x14ac:dyDescent="0.6">
      <c r="A99"/>
      <c r="B99" s="179"/>
      <c r="C99"/>
      <c r="D99" s="189"/>
      <c r="E99" s="189"/>
      <c r="F99" s="189"/>
      <c r="G99" s="189"/>
      <c r="H99" s="189"/>
    </row>
    <row r="100" spans="1:9" ht="49.5" customHeight="1" x14ac:dyDescent="0.55000000000000004">
      <c r="A100"/>
      <c r="B100"/>
      <c r="C100"/>
      <c r="D100" s="182" t="s">
        <v>99</v>
      </c>
      <c r="E100" s="182" t="s">
        <v>100</v>
      </c>
      <c r="F100" s="182" t="s">
        <v>431</v>
      </c>
      <c r="G100" s="182" t="s">
        <v>432</v>
      </c>
      <c r="H100" s="182" t="s">
        <v>244</v>
      </c>
    </row>
    <row r="101" spans="1:9" ht="18" customHeight="1" x14ac:dyDescent="0.55000000000000004">
      <c r="A101" s="183" t="s">
        <v>301</v>
      </c>
      <c r="B101" s="179" t="s">
        <v>195</v>
      </c>
      <c r="C101"/>
      <c r="D101"/>
      <c r="E101"/>
      <c r="F101"/>
      <c r="G101"/>
      <c r="H101"/>
    </row>
    <row r="102" spans="1:9" ht="18" customHeight="1" x14ac:dyDescent="0.55000000000000004">
      <c r="A102" s="180" t="s">
        <v>302</v>
      </c>
      <c r="B102" s="176" t="s">
        <v>303</v>
      </c>
      <c r="C102"/>
      <c r="D102" s="184">
        <v>17430.27</v>
      </c>
      <c r="E102" s="216">
        <v>10413.815571525865</v>
      </c>
      <c r="F102" s="216"/>
      <c r="G102" s="184">
        <v>0</v>
      </c>
      <c r="H102" s="217">
        <v>27844.085571525866</v>
      </c>
      <c r="I102" s="278"/>
    </row>
    <row r="103" spans="1:9" ht="18" customHeight="1" x14ac:dyDescent="0.55000000000000004">
      <c r="A103" s="180" t="s">
        <v>304</v>
      </c>
      <c r="B103" s="176" t="s">
        <v>199</v>
      </c>
      <c r="C103"/>
      <c r="D103" s="184">
        <v>1125</v>
      </c>
      <c r="E103" s="216">
        <v>672.13775334326999</v>
      </c>
      <c r="F103" s="216"/>
      <c r="G103" s="184">
        <v>0</v>
      </c>
      <c r="H103" s="217">
        <v>1797.1377533432701</v>
      </c>
      <c r="I103" s="278"/>
    </row>
    <row r="104" spans="1:9" ht="18" customHeight="1" x14ac:dyDescent="0.55000000000000004">
      <c r="A104" s="180" t="s">
        <v>305</v>
      </c>
      <c r="B104" s="193"/>
      <c r="C104"/>
      <c r="D104" s="184"/>
      <c r="E104" s="216"/>
      <c r="F104" s="216"/>
      <c r="G104" s="184"/>
      <c r="H104" s="217">
        <v>0</v>
      </c>
      <c r="I104" s="278"/>
    </row>
    <row r="105" spans="1:9" ht="18" customHeight="1" x14ac:dyDescent="0.55000000000000004">
      <c r="A105" s="180" t="s">
        <v>306</v>
      </c>
      <c r="B105" s="193"/>
      <c r="C105"/>
      <c r="D105" s="184"/>
      <c r="E105" s="216"/>
      <c r="F105" s="216"/>
      <c r="G105" s="184"/>
      <c r="H105" s="217">
        <v>0</v>
      </c>
      <c r="I105" s="278"/>
    </row>
    <row r="106" spans="1:9" ht="18" customHeight="1" x14ac:dyDescent="0.55000000000000004">
      <c r="A106" s="180" t="s">
        <v>307</v>
      </c>
      <c r="B106" s="193"/>
      <c r="C106"/>
      <c r="D106" s="184"/>
      <c r="E106" s="216"/>
      <c r="F106" s="216"/>
      <c r="G106" s="184"/>
      <c r="H106" s="217">
        <v>0</v>
      </c>
      <c r="I106" s="278"/>
    </row>
    <row r="107" spans="1:9" ht="18" customHeight="1" x14ac:dyDescent="0.55000000000000004">
      <c r="A107"/>
      <c r="B107" s="179"/>
      <c r="C107"/>
      <c r="D107"/>
      <c r="E107"/>
      <c r="F107"/>
      <c r="G107"/>
      <c r="H107"/>
    </row>
    <row r="108" spans="1:9" ht="18" customHeight="1" x14ac:dyDescent="0.55000000000000004">
      <c r="A108" s="183" t="s">
        <v>204</v>
      </c>
      <c r="B108" s="179" t="s">
        <v>308</v>
      </c>
      <c r="C108" s="179" t="s">
        <v>248</v>
      </c>
      <c r="D108" s="217">
        <v>18555.27</v>
      </c>
      <c r="E108" s="217">
        <v>11085.953324869135</v>
      </c>
      <c r="F108" s="217">
        <v>0</v>
      </c>
      <c r="G108" s="217">
        <v>0</v>
      </c>
      <c r="H108" s="217">
        <v>29641.223324869137</v>
      </c>
      <c r="I108" s="278"/>
    </row>
    <row r="109" spans="1:9" ht="18" customHeight="1" thickBot="1" x14ac:dyDescent="0.6">
      <c r="A109" s="197"/>
      <c r="B109" s="198"/>
      <c r="C109" s="199"/>
      <c r="D109" s="189"/>
      <c r="E109" s="189"/>
      <c r="F109" s="189"/>
      <c r="G109" s="189"/>
      <c r="H109" s="189"/>
    </row>
    <row r="110" spans="1:9" ht="36.75" customHeight="1" x14ac:dyDescent="0.55000000000000004">
      <c r="A110" s="183" t="s">
        <v>309</v>
      </c>
      <c r="B110" s="179" t="s">
        <v>434</v>
      </c>
      <c r="F110" s="182"/>
      <c r="G110" s="182" t="s">
        <v>435</v>
      </c>
      <c r="H110" s="182" t="s">
        <v>244</v>
      </c>
    </row>
    <row r="111" spans="1:9" ht="18" customHeight="1" x14ac:dyDescent="0.55000000000000004">
      <c r="A111" s="183" t="s">
        <v>310</v>
      </c>
      <c r="B111" s="179" t="s">
        <v>311</v>
      </c>
      <c r="C111"/>
      <c r="D111"/>
      <c r="E111" s="179" t="s">
        <v>436</v>
      </c>
      <c r="F111" s="184">
        <v>13233220.999999998</v>
      </c>
      <c r="G111" s="184"/>
      <c r="H111" s="217">
        <v>13233220.999999998</v>
      </c>
    </row>
    <row r="112" spans="1:9" ht="18" customHeight="1" x14ac:dyDescent="0.55000000000000004">
      <c r="A112"/>
      <c r="B112" s="179"/>
      <c r="C112"/>
      <c r="D112" s="179"/>
      <c r="G112"/>
      <c r="H112"/>
    </row>
    <row r="113" spans="1:12" ht="18" customHeight="1" x14ac:dyDescent="0.55000000000000004">
      <c r="A113" s="183"/>
      <c r="B113" s="179" t="s">
        <v>312</v>
      </c>
      <c r="C113"/>
      <c r="D113"/>
      <c r="E113"/>
      <c r="F113"/>
      <c r="G113"/>
      <c r="H113"/>
    </row>
    <row r="114" spans="1:12" ht="18" customHeight="1" x14ac:dyDescent="0.55000000000000004">
      <c r="A114" s="180" t="s">
        <v>313</v>
      </c>
      <c r="B114" s="176" t="s">
        <v>314</v>
      </c>
      <c r="C114"/>
      <c r="D114" s="235" t="s">
        <v>428</v>
      </c>
      <c r="E114" s="236">
        <v>0.59745578074957328</v>
      </c>
      <c r="F114" s="235" t="s">
        <v>429</v>
      </c>
      <c r="G114" s="236"/>
      <c r="H114"/>
    </row>
    <row r="115" spans="1:12" ht="18" customHeight="1" x14ac:dyDescent="0.55000000000000004">
      <c r="A115" s="180"/>
      <c r="B115" s="179"/>
      <c r="C115"/>
      <c r="D115"/>
      <c r="E115"/>
      <c r="F115" s="212"/>
      <c r="G115"/>
      <c r="H115"/>
    </row>
    <row r="116" spans="1:12" ht="42.75" customHeight="1" x14ac:dyDescent="0.55000000000000004">
      <c r="A116" s="180" t="s">
        <v>315</v>
      </c>
      <c r="B116" s="179" t="s">
        <v>316</v>
      </c>
      <c r="C116"/>
      <c r="D116"/>
      <c r="E116"/>
      <c r="F116" s="212"/>
      <c r="G116"/>
      <c r="H116"/>
    </row>
    <row r="117" spans="1:12" ht="18" customHeight="1" x14ac:dyDescent="0.55000000000000004">
      <c r="A117" s="180" t="s">
        <v>317</v>
      </c>
      <c r="B117" s="176" t="s">
        <v>318</v>
      </c>
      <c r="C117"/>
      <c r="D117"/>
      <c r="E117" s="184">
        <v>467068101</v>
      </c>
      <c r="F117" s="237"/>
      <c r="G117"/>
      <c r="H117"/>
    </row>
    <row r="118" spans="1:12" ht="18" customHeight="1" x14ac:dyDescent="0.55000000000000004">
      <c r="A118" s="180" t="s">
        <v>319</v>
      </c>
      <c r="B118" s="176" t="s">
        <v>320</v>
      </c>
      <c r="C118"/>
      <c r="D118"/>
      <c r="E118" s="184">
        <v>20597000</v>
      </c>
      <c r="F118" s="237"/>
      <c r="G118"/>
      <c r="H118"/>
    </row>
    <row r="119" spans="1:12" ht="18" customHeight="1" x14ac:dyDescent="0.55000000000000004">
      <c r="A119" s="180" t="s">
        <v>321</v>
      </c>
      <c r="B119" s="179" t="s">
        <v>322</v>
      </c>
      <c r="C119"/>
      <c r="D119"/>
      <c r="E119" s="217">
        <v>487665101</v>
      </c>
      <c r="F119" s="238"/>
      <c r="G119"/>
      <c r="H119"/>
    </row>
    <row r="120" spans="1:12" ht="18" customHeight="1" x14ac:dyDescent="0.55000000000000004">
      <c r="A120" s="180"/>
      <c r="B120" s="179"/>
      <c r="C120"/>
      <c r="D120"/>
      <c r="E120"/>
      <c r="F120" s="212"/>
      <c r="G120"/>
      <c r="H120"/>
    </row>
    <row r="121" spans="1:12" ht="18" customHeight="1" x14ac:dyDescent="0.55000000000000004">
      <c r="A121" s="180" t="s">
        <v>323</v>
      </c>
      <c r="B121" s="179" t="s">
        <v>324</v>
      </c>
      <c r="C121"/>
      <c r="D121"/>
      <c r="E121" s="184">
        <v>423885800</v>
      </c>
      <c r="F121" s="237"/>
      <c r="G121"/>
      <c r="H121"/>
    </row>
    <row r="122" spans="1:12" ht="18" customHeight="1" x14ac:dyDescent="0.55000000000000004">
      <c r="A122" s="180"/>
      <c r="B122"/>
      <c r="C122"/>
      <c r="D122"/>
      <c r="E122"/>
      <c r="F122" s="212"/>
      <c r="G122"/>
      <c r="H122"/>
    </row>
    <row r="123" spans="1:12" ht="18" customHeight="1" x14ac:dyDescent="0.55000000000000004">
      <c r="A123" s="180" t="s">
        <v>325</v>
      </c>
      <c r="B123" s="179" t="s">
        <v>326</v>
      </c>
      <c r="C123"/>
      <c r="D123"/>
      <c r="E123" s="184">
        <v>63779301</v>
      </c>
      <c r="F123" s="237"/>
      <c r="G123"/>
      <c r="H123"/>
    </row>
    <row r="124" spans="1:12" ht="18" customHeight="1" x14ac:dyDescent="0.55000000000000004">
      <c r="A124" s="180"/>
      <c r="B124"/>
      <c r="C124"/>
      <c r="D124"/>
      <c r="E124"/>
      <c r="F124" s="212"/>
      <c r="G124"/>
      <c r="H124"/>
    </row>
    <row r="125" spans="1:12" ht="18" customHeight="1" x14ac:dyDescent="0.55000000000000004">
      <c r="A125" s="180" t="s">
        <v>327</v>
      </c>
      <c r="B125" s="179" t="s">
        <v>328</v>
      </c>
      <c r="C125"/>
      <c r="D125"/>
      <c r="E125" s="184">
        <v>90351000</v>
      </c>
      <c r="F125" s="237"/>
      <c r="G125"/>
      <c r="H125"/>
    </row>
    <row r="126" spans="1:12" ht="42.75" customHeight="1" x14ac:dyDescent="0.55000000000000004">
      <c r="A126" s="180"/>
      <c r="B126"/>
      <c r="C126"/>
      <c r="D126"/>
      <c r="E126"/>
      <c r="F126" s="212"/>
      <c r="G126"/>
      <c r="H126"/>
    </row>
    <row r="127" spans="1:12" ht="18" customHeight="1" x14ac:dyDescent="0.55000000000000004">
      <c r="A127" s="180" t="s">
        <v>329</v>
      </c>
      <c r="B127" s="179" t="s">
        <v>330</v>
      </c>
      <c r="C127"/>
      <c r="D127"/>
      <c r="E127" s="184">
        <v>154130301</v>
      </c>
      <c r="F127" s="237"/>
      <c r="G127"/>
      <c r="H127"/>
    </row>
    <row r="128" spans="1:12" ht="18" customHeight="1" x14ac:dyDescent="0.55000000000000004">
      <c r="A128" s="180"/>
      <c r="B128"/>
      <c r="C128"/>
      <c r="D128"/>
      <c r="E128"/>
      <c r="F128"/>
      <c r="G128"/>
      <c r="H128"/>
      <c r="J128" s="280"/>
      <c r="L128" s="275" t="s">
        <v>247</v>
      </c>
    </row>
    <row r="129" spans="1:9" ht="46.5" customHeight="1" x14ac:dyDescent="0.55000000000000004">
      <c r="A129"/>
      <c r="B129"/>
      <c r="C129"/>
      <c r="D129" s="182" t="s">
        <v>99</v>
      </c>
      <c r="E129" s="182" t="s">
        <v>100</v>
      </c>
      <c r="F129" s="182" t="s">
        <v>431</v>
      </c>
      <c r="G129" s="182" t="s">
        <v>432</v>
      </c>
      <c r="H129" s="182" t="s">
        <v>244</v>
      </c>
    </row>
    <row r="130" spans="1:9" ht="18" customHeight="1" x14ac:dyDescent="0.55000000000000004">
      <c r="A130" s="183" t="s">
        <v>331</v>
      </c>
      <c r="B130" s="179" t="s">
        <v>208</v>
      </c>
      <c r="C130"/>
      <c r="D130"/>
      <c r="E130"/>
      <c r="F130"/>
      <c r="G130"/>
      <c r="H130"/>
    </row>
    <row r="131" spans="1:9" ht="18" customHeight="1" x14ac:dyDescent="0.55000000000000004">
      <c r="A131" s="180" t="s">
        <v>332</v>
      </c>
      <c r="B131" s="176" t="s">
        <v>210</v>
      </c>
      <c r="C131"/>
      <c r="D131" s="184"/>
      <c r="E131" s="216"/>
      <c r="F131" s="216"/>
      <c r="G131" s="184"/>
      <c r="H131" s="217">
        <v>0</v>
      </c>
    </row>
    <row r="132" spans="1:9" ht="18" customHeight="1" x14ac:dyDescent="0.55000000000000004">
      <c r="A132" s="180" t="s">
        <v>333</v>
      </c>
      <c r="B132" s="176" t="s">
        <v>68</v>
      </c>
      <c r="C132"/>
      <c r="D132" s="184"/>
      <c r="E132" s="216"/>
      <c r="F132" s="216"/>
      <c r="G132" s="184"/>
      <c r="H132" s="217">
        <v>0</v>
      </c>
    </row>
    <row r="133" spans="1:9" ht="18" customHeight="1" x14ac:dyDescent="0.55000000000000004">
      <c r="A133" s="180" t="s">
        <v>334</v>
      </c>
      <c r="B133" s="185"/>
      <c r="C133"/>
      <c r="D133" s="184"/>
      <c r="E133" s="216"/>
      <c r="F133" s="216"/>
      <c r="G133" s="184"/>
      <c r="H133" s="217">
        <v>0</v>
      </c>
    </row>
    <row r="134" spans="1:9" ht="18" customHeight="1" x14ac:dyDescent="0.55000000000000004">
      <c r="A134" s="180" t="s">
        <v>335</v>
      </c>
      <c r="B134" s="185"/>
      <c r="C134"/>
      <c r="D134" s="184"/>
      <c r="E134" s="216"/>
      <c r="F134" s="216"/>
      <c r="G134" s="184"/>
      <c r="H134" s="217">
        <v>0</v>
      </c>
    </row>
    <row r="135" spans="1:9" ht="18" customHeight="1" x14ac:dyDescent="0.55000000000000004">
      <c r="A135" s="180" t="s">
        <v>336</v>
      </c>
      <c r="B135" s="185"/>
      <c r="C135"/>
      <c r="D135" s="184"/>
      <c r="E135" s="216"/>
      <c r="F135" s="216"/>
      <c r="G135" s="184"/>
      <c r="H135" s="217">
        <v>0</v>
      </c>
    </row>
    <row r="136" spans="1:9" ht="18" customHeight="1" x14ac:dyDescent="0.55000000000000004">
      <c r="A136" s="183"/>
      <c r="B136"/>
      <c r="C136"/>
      <c r="D136"/>
      <c r="E136"/>
      <c r="F136"/>
      <c r="G136"/>
      <c r="H136"/>
    </row>
    <row r="137" spans="1:9" ht="18" customHeight="1" x14ac:dyDescent="0.55000000000000004">
      <c r="A137" s="183" t="s">
        <v>215</v>
      </c>
      <c r="B137" s="179" t="s">
        <v>337</v>
      </c>
      <c r="C137"/>
      <c r="D137" s="217">
        <v>0</v>
      </c>
      <c r="E137" s="217">
        <v>0</v>
      </c>
      <c r="F137" s="217">
        <v>0</v>
      </c>
      <c r="G137" s="217">
        <v>0</v>
      </c>
      <c r="H137" s="217">
        <v>0</v>
      </c>
    </row>
    <row r="138" spans="1:9" ht="18" customHeight="1" x14ac:dyDescent="0.55000000000000004">
      <c r="A138" s="176"/>
      <c r="B138"/>
      <c r="C138"/>
      <c r="D138"/>
      <c r="E138"/>
      <c r="F138"/>
      <c r="G138"/>
      <c r="H138"/>
    </row>
    <row r="139" spans="1:9" ht="48" customHeight="1" x14ac:dyDescent="0.55000000000000004">
      <c r="A139"/>
      <c r="B139"/>
      <c r="C139"/>
      <c r="D139" s="182" t="s">
        <v>99</v>
      </c>
      <c r="E139" s="182" t="s">
        <v>100</v>
      </c>
      <c r="F139" s="182" t="s">
        <v>431</v>
      </c>
      <c r="G139" s="182" t="s">
        <v>432</v>
      </c>
      <c r="H139" s="182" t="s">
        <v>244</v>
      </c>
    </row>
    <row r="140" spans="1:9" ht="18" customHeight="1" x14ac:dyDescent="0.55000000000000004">
      <c r="A140" s="183" t="s">
        <v>338</v>
      </c>
      <c r="B140" s="179" t="s">
        <v>217</v>
      </c>
      <c r="C140"/>
      <c r="D140"/>
      <c r="E140"/>
      <c r="F140"/>
      <c r="G140"/>
      <c r="H140"/>
    </row>
    <row r="141" spans="1:9" ht="18" customHeight="1" x14ac:dyDescent="0.55000000000000004">
      <c r="A141" s="180" t="s">
        <v>134</v>
      </c>
      <c r="B141" s="179" t="s">
        <v>66</v>
      </c>
      <c r="C141"/>
      <c r="D141" s="239">
        <v>1246832.736975078</v>
      </c>
      <c r="E141" s="239">
        <v>744927.4263335726</v>
      </c>
      <c r="F141" s="239">
        <v>0</v>
      </c>
      <c r="G141" s="239">
        <v>64218</v>
      </c>
      <c r="H141" s="239">
        <v>1927542.1633086507</v>
      </c>
      <c r="I141" s="278"/>
    </row>
    <row r="142" spans="1:9" ht="18" customHeight="1" x14ac:dyDescent="0.55000000000000004">
      <c r="A142" s="180" t="s">
        <v>150</v>
      </c>
      <c r="B142" s="179" t="s">
        <v>220</v>
      </c>
      <c r="C142"/>
      <c r="D142" s="239">
        <v>3145440.5904966975</v>
      </c>
      <c r="E142" s="239">
        <v>1879261.6637966032</v>
      </c>
      <c r="F142" s="239">
        <v>0</v>
      </c>
      <c r="G142" s="239">
        <v>0</v>
      </c>
      <c r="H142" s="239">
        <v>5024702.2542933002</v>
      </c>
      <c r="I142" s="280"/>
    </row>
    <row r="143" spans="1:9" ht="18" customHeight="1" x14ac:dyDescent="0.55000000000000004">
      <c r="A143" s="180" t="s">
        <v>269</v>
      </c>
      <c r="B143" s="179" t="s">
        <v>222</v>
      </c>
      <c r="C143"/>
      <c r="D143" s="239">
        <v>21961855.66</v>
      </c>
      <c r="E143" s="239">
        <v>1612840.92</v>
      </c>
      <c r="F143" s="239">
        <v>0</v>
      </c>
      <c r="G143" s="239">
        <v>12694920</v>
      </c>
      <c r="H143" s="239">
        <v>10879776.58</v>
      </c>
      <c r="I143" s="280"/>
    </row>
    <row r="144" spans="1:9" ht="18" customHeight="1" x14ac:dyDescent="0.55000000000000004">
      <c r="A144" s="180" t="s">
        <v>161</v>
      </c>
      <c r="B144" s="179" t="s">
        <v>70</v>
      </c>
      <c r="C144"/>
      <c r="D144" s="239">
        <v>28639.540372691357</v>
      </c>
      <c r="E144" s="239">
        <v>17110.858953675241</v>
      </c>
      <c r="F144" s="239">
        <v>0</v>
      </c>
      <c r="G144" s="239">
        <v>0</v>
      </c>
      <c r="H144" s="239">
        <v>45750.399326366598</v>
      </c>
      <c r="I144" s="280"/>
    </row>
    <row r="145" spans="1:9" ht="18" customHeight="1" x14ac:dyDescent="0.55000000000000004">
      <c r="A145" s="180" t="s">
        <v>171</v>
      </c>
      <c r="B145" s="179" t="s">
        <v>69</v>
      </c>
      <c r="C145"/>
      <c r="D145" s="239">
        <v>393315.31529919675</v>
      </c>
      <c r="E145" s="239">
        <v>0</v>
      </c>
      <c r="F145" s="239">
        <v>242596</v>
      </c>
      <c r="G145" s="239">
        <v>0</v>
      </c>
      <c r="H145" s="239">
        <v>150719.31529919675</v>
      </c>
      <c r="I145" s="280"/>
    </row>
    <row r="146" spans="1:9" ht="18" customHeight="1" x14ac:dyDescent="0.55000000000000004">
      <c r="A146" s="180" t="s">
        <v>193</v>
      </c>
      <c r="B146" s="179" t="s">
        <v>226</v>
      </c>
      <c r="C146"/>
      <c r="D146" s="239">
        <v>2307310.647026469</v>
      </c>
      <c r="E146" s="239">
        <v>1378516.0840510023</v>
      </c>
      <c r="F146" s="239">
        <v>0</v>
      </c>
      <c r="G146" s="239">
        <v>1164000</v>
      </c>
      <c r="H146" s="239">
        <v>2521826.7310774713</v>
      </c>
      <c r="I146" s="280"/>
    </row>
    <row r="147" spans="1:9" ht="18" customHeight="1" x14ac:dyDescent="0.55000000000000004">
      <c r="A147" s="180" t="s">
        <v>204</v>
      </c>
      <c r="B147" s="179" t="s">
        <v>71</v>
      </c>
      <c r="C147"/>
      <c r="D147" s="217">
        <v>18555.27</v>
      </c>
      <c r="E147" s="217">
        <v>11085.953324869135</v>
      </c>
      <c r="F147" s="217">
        <v>0</v>
      </c>
      <c r="G147" s="217">
        <v>0</v>
      </c>
      <c r="H147" s="217">
        <v>29641.223324869137</v>
      </c>
      <c r="I147" s="280"/>
    </row>
    <row r="148" spans="1:9" ht="18" customHeight="1" x14ac:dyDescent="0.55000000000000004">
      <c r="A148" s="180" t="s">
        <v>310</v>
      </c>
      <c r="B148" s="179" t="s">
        <v>58</v>
      </c>
      <c r="C148"/>
      <c r="D148" s="240" t="s">
        <v>245</v>
      </c>
      <c r="E148" s="240" t="s">
        <v>245</v>
      </c>
      <c r="F148" s="240"/>
      <c r="G148" s="240" t="s">
        <v>245</v>
      </c>
      <c r="H148" s="239">
        <v>13233220.999999998</v>
      </c>
      <c r="I148" s="280"/>
    </row>
    <row r="149" spans="1:9" ht="18" customHeight="1" x14ac:dyDescent="0.55000000000000004">
      <c r="A149" s="180" t="s">
        <v>215</v>
      </c>
      <c r="B149" s="179" t="s">
        <v>230</v>
      </c>
      <c r="C149"/>
      <c r="D149" s="217">
        <v>0</v>
      </c>
      <c r="E149" s="217">
        <v>0</v>
      </c>
      <c r="F149" s="217">
        <v>0</v>
      </c>
      <c r="G149" s="217">
        <v>0</v>
      </c>
      <c r="H149" s="217">
        <v>0</v>
      </c>
      <c r="I149" s="280"/>
    </row>
    <row r="150" spans="1:9" ht="18" customHeight="1" x14ac:dyDescent="0.55000000000000004">
      <c r="A150" s="180" t="s">
        <v>103</v>
      </c>
      <c r="B150" s="179" t="s">
        <v>104</v>
      </c>
      <c r="C150"/>
      <c r="D150" s="217">
        <f>D18</f>
        <v>9007713.710251173</v>
      </c>
      <c r="E150" s="217">
        <f t="shared" ref="E150:H150" si="0">E18</f>
        <v>0</v>
      </c>
      <c r="F150" s="217">
        <f t="shared" si="0"/>
        <v>0</v>
      </c>
      <c r="G150" s="217">
        <f t="shared" si="0"/>
        <v>7465324.2776570553</v>
      </c>
      <c r="H150" s="217">
        <f t="shared" si="0"/>
        <v>1542389.4325941177</v>
      </c>
      <c r="I150" s="280"/>
    </row>
    <row r="151" spans="1:9" ht="18" customHeight="1" x14ac:dyDescent="0.55000000000000004">
      <c r="A151"/>
      <c r="B151" s="179"/>
      <c r="C151"/>
      <c r="D151" s="190"/>
      <c r="E151" s="190"/>
      <c r="F151" s="190"/>
      <c r="G151" s="190"/>
      <c r="H151" s="190"/>
    </row>
    <row r="152" spans="1:9" ht="18" customHeight="1" x14ac:dyDescent="0.55000000000000004">
      <c r="A152" s="183" t="s">
        <v>231</v>
      </c>
      <c r="B152" s="179" t="s">
        <v>217</v>
      </c>
      <c r="C152"/>
      <c r="D152" s="241">
        <f>SUM(D141:D150)</f>
        <v>38109663.470421307</v>
      </c>
      <c r="E152" s="241">
        <f t="shared" ref="E152:H152" si="1">SUM(E141:E150)</f>
        <v>5643742.9064597227</v>
      </c>
      <c r="F152" s="241">
        <f t="shared" si="1"/>
        <v>242596</v>
      </c>
      <c r="G152" s="241">
        <f t="shared" si="1"/>
        <v>21388462.277657054</v>
      </c>
      <c r="H152" s="241">
        <f t="shared" si="1"/>
        <v>35355569.099223971</v>
      </c>
      <c r="I152" s="278"/>
    </row>
    <row r="154" spans="1:9" ht="18" customHeight="1" x14ac:dyDescent="0.55000000000000004">
      <c r="A154" s="183" t="s">
        <v>339</v>
      </c>
      <c r="B154" s="179" t="s">
        <v>340</v>
      </c>
      <c r="C154"/>
      <c r="D154" s="242">
        <f>H152/E121</f>
        <v>8.3408241321657792E-2</v>
      </c>
      <c r="E154"/>
      <c r="F154"/>
      <c r="G154"/>
      <c r="H154"/>
    </row>
    <row r="155" spans="1:9" ht="18" customHeight="1" x14ac:dyDescent="0.55000000000000004">
      <c r="A155" s="183" t="s">
        <v>341</v>
      </c>
      <c r="B155" s="179" t="s">
        <v>342</v>
      </c>
      <c r="C155"/>
      <c r="D155" s="242">
        <f>H152/E127</f>
        <v>0.22938753035474815</v>
      </c>
      <c r="E155"/>
      <c r="F155"/>
      <c r="G155"/>
      <c r="H155"/>
    </row>
  </sheetData>
  <mergeCells count="3">
    <mergeCell ref="C2:D2"/>
    <mergeCell ref="C5:E5"/>
    <mergeCell ref="B13:D13"/>
  </mergeCells>
  <hyperlinks>
    <hyperlink ref="C11" r:id="rId1" xr:uid="{7CC7350E-7AB7-48A3-AC5F-53A2348904DA}"/>
  </hyperlinks>
  <printOptions headings="1" gridLines="1"/>
  <pageMargins left="0.17" right="0.16" top="0.35" bottom="0.32" header="0.17" footer="0.17"/>
  <pageSetup scale="59" fitToHeight="3" orientation="landscape" horizontalDpi="4294967294" r:id="rId2"/>
  <headerFooter alignWithMargins="0"/>
  <rowBreaks count="4" manualBreakCount="4">
    <brk id="37" max="16383" man="1"/>
    <brk id="74" max="16383" man="1"/>
    <brk id="109" max="16383" man="1"/>
    <brk id="138"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2E60B-4A37-4CD5-B8AA-4166C692DFA8}">
  <sheetPr codeName="Sheet27"/>
  <dimension ref="A1:L156"/>
  <sheetViews>
    <sheetView zoomScaleNormal="100" workbookViewId="0"/>
  </sheetViews>
  <sheetFormatPr defaultColWidth="9" defaultRowHeight="18" customHeight="1" x14ac:dyDescent="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7.83984375" style="176" customWidth="1"/>
    <col min="10" max="10" width="12.41796875" style="176" bestFit="1" customWidth="1"/>
    <col min="11" max="11" width="9" style="176"/>
    <col min="12" max="12" width="13.83984375" style="176" bestFit="1" customWidth="1"/>
    <col min="13" max="16384" width="9" style="176"/>
  </cols>
  <sheetData>
    <row r="1" spans="1:8" ht="18" customHeight="1" x14ac:dyDescent="0.4">
      <c r="C1" s="177"/>
      <c r="D1" s="177"/>
      <c r="E1" s="177"/>
      <c r="F1" s="177"/>
      <c r="G1" s="177"/>
      <c r="H1" s="177"/>
    </row>
    <row r="2" spans="1:8" ht="18" customHeight="1" x14ac:dyDescent="0.4">
      <c r="C2" s="496"/>
      <c r="D2" s="496"/>
    </row>
    <row r="3" spans="1:8" ht="18" customHeight="1" x14ac:dyDescent="0.4">
      <c r="B3" s="179" t="s">
        <v>235</v>
      </c>
    </row>
    <row r="5" spans="1:8" ht="18" customHeight="1" x14ac:dyDescent="0.45">
      <c r="B5" s="180" t="s">
        <v>236</v>
      </c>
      <c r="C5" s="296" t="s">
        <v>510</v>
      </c>
      <c r="D5" s="296"/>
      <c r="E5" s="266"/>
      <c r="F5" s="208"/>
    </row>
    <row r="6" spans="1:8" ht="18" customHeight="1" x14ac:dyDescent="0.45">
      <c r="B6" s="180" t="s">
        <v>237</v>
      </c>
      <c r="C6" s="297" t="s">
        <v>511</v>
      </c>
      <c r="D6" s="298"/>
      <c r="E6" s="298"/>
      <c r="F6" s="209"/>
    </row>
    <row r="7" spans="1:8" ht="18" customHeight="1" x14ac:dyDescent="0.45">
      <c r="B7" s="180" t="s">
        <v>238</v>
      </c>
      <c r="C7" s="299">
        <v>1833</v>
      </c>
      <c r="D7" s="300"/>
      <c r="E7" s="300"/>
      <c r="F7" s="210"/>
    </row>
    <row r="8" spans="1:8" ht="18" customHeight="1" x14ac:dyDescent="0.45">
      <c r="C8" s="301"/>
      <c r="D8" s="302"/>
      <c r="E8" s="302"/>
      <c r="F8" s="212"/>
    </row>
    <row r="9" spans="1:8" ht="18" customHeight="1" x14ac:dyDescent="0.45">
      <c r="B9" s="180" t="s">
        <v>239</v>
      </c>
      <c r="C9" s="211" t="s">
        <v>512</v>
      </c>
      <c r="D9" s="266"/>
      <c r="E9" s="266"/>
      <c r="F9" s="208"/>
    </row>
    <row r="10" spans="1:8" ht="18" customHeight="1" x14ac:dyDescent="0.45">
      <c r="B10" s="180" t="s">
        <v>241</v>
      </c>
      <c r="C10" s="296" t="s">
        <v>513</v>
      </c>
      <c r="D10" s="303"/>
      <c r="E10" s="303"/>
      <c r="F10" s="213"/>
    </row>
    <row r="11" spans="1:8" ht="18" customHeight="1" x14ac:dyDescent="0.55000000000000004">
      <c r="B11" s="180" t="s">
        <v>243</v>
      </c>
      <c r="C11" s="304" t="s">
        <v>514</v>
      </c>
      <c r="D11" s="298"/>
      <c r="E11" s="298"/>
      <c r="F11" s="208"/>
    </row>
    <row r="12" spans="1:8" ht="18" customHeight="1" x14ac:dyDescent="0.4">
      <c r="B12" s="180"/>
      <c r="C12" s="180"/>
    </row>
    <row r="13" spans="1:8" ht="24.75" customHeight="1" x14ac:dyDescent="0.4">
      <c r="B13" s="493"/>
      <c r="C13" s="494"/>
      <c r="D13" s="495"/>
      <c r="E13" s="177"/>
      <c r="F13" s="177"/>
    </row>
    <row r="14" spans="1:8" ht="18" customHeight="1" x14ac:dyDescent="0.4">
      <c r="B14" s="181"/>
    </row>
    <row r="15" spans="1:8" ht="18" customHeight="1" x14ac:dyDescent="0.4">
      <c r="B15" s="181"/>
    </row>
    <row r="16" spans="1:8" ht="45" customHeight="1" x14ac:dyDescent="0.4">
      <c r="A16" s="178" t="s">
        <v>98</v>
      </c>
      <c r="B16" s="177"/>
      <c r="C16" s="177"/>
      <c r="D16" s="182" t="s">
        <v>99</v>
      </c>
      <c r="E16" s="182" t="s">
        <v>100</v>
      </c>
      <c r="F16" s="182" t="s">
        <v>431</v>
      </c>
      <c r="G16" s="182" t="s">
        <v>432</v>
      </c>
      <c r="H16" s="182" t="s">
        <v>244</v>
      </c>
    </row>
    <row r="17" spans="1:8" ht="18" customHeight="1" x14ac:dyDescent="0.4">
      <c r="A17" s="183" t="s">
        <v>101</v>
      </c>
      <c r="B17" s="179" t="s">
        <v>102</v>
      </c>
    </row>
    <row r="18" spans="1:8" ht="18" customHeight="1" x14ac:dyDescent="0.4">
      <c r="A18" s="180" t="s">
        <v>103</v>
      </c>
      <c r="B18" s="176" t="s">
        <v>104</v>
      </c>
      <c r="D18" s="249">
        <v>6526438.3353838604</v>
      </c>
      <c r="E18" s="214"/>
      <c r="F18" s="214"/>
      <c r="G18" s="214">
        <v>5408917.3034357307</v>
      </c>
      <c r="H18" s="215">
        <f>(D18+E18)-G18</f>
        <v>1117521.0319481296</v>
      </c>
    </row>
    <row r="19" spans="1:8" ht="45" customHeight="1" x14ac:dyDescent="0.4">
      <c r="A19" s="178" t="s">
        <v>105</v>
      </c>
      <c r="B19" s="177"/>
      <c r="C19" s="177"/>
      <c r="D19" s="182" t="s">
        <v>99</v>
      </c>
      <c r="E19" s="182" t="s">
        <v>100</v>
      </c>
      <c r="F19" s="182" t="s">
        <v>431</v>
      </c>
      <c r="G19" s="182" t="s">
        <v>432</v>
      </c>
      <c r="H19" s="182" t="s">
        <v>244</v>
      </c>
    </row>
    <row r="20" spans="1:8" ht="18" customHeight="1" x14ac:dyDescent="0.4">
      <c r="A20" s="183" t="s">
        <v>108</v>
      </c>
      <c r="B20" s="179" t="s">
        <v>109</v>
      </c>
    </row>
    <row r="21" spans="1:8" ht="18" customHeight="1" x14ac:dyDescent="0.4">
      <c r="A21" s="180" t="s">
        <v>110</v>
      </c>
      <c r="B21" s="176" t="s">
        <v>111</v>
      </c>
      <c r="D21" s="305">
        <v>458170</v>
      </c>
      <c r="E21" s="305">
        <v>343170</v>
      </c>
      <c r="F21" s="306">
        <v>0</v>
      </c>
      <c r="G21" s="307">
        <v>37682</v>
      </c>
      <c r="H21" s="217">
        <f>(D21+E21)-F21-G21</f>
        <v>763658</v>
      </c>
    </row>
    <row r="22" spans="1:8" ht="18" customHeight="1" x14ac:dyDescent="0.4">
      <c r="A22" s="180" t="s">
        <v>112</v>
      </c>
      <c r="B22" s="176" t="s">
        <v>113</v>
      </c>
      <c r="D22" s="307">
        <v>29038</v>
      </c>
      <c r="E22" s="307">
        <v>21838</v>
      </c>
      <c r="F22" s="308">
        <v>0</v>
      </c>
      <c r="G22" s="309">
        <v>740</v>
      </c>
      <c r="H22" s="217">
        <f t="shared" ref="H22:H34" si="0">(D22+E22)-F22-G22</f>
        <v>50136</v>
      </c>
    </row>
    <row r="23" spans="1:8" ht="18" customHeight="1" x14ac:dyDescent="0.4">
      <c r="A23" s="180" t="s">
        <v>114</v>
      </c>
      <c r="B23" s="176" t="s">
        <v>115</v>
      </c>
      <c r="D23" s="307">
        <v>2928</v>
      </c>
      <c r="E23" s="307">
        <v>2202</v>
      </c>
      <c r="F23" s="308">
        <v>0</v>
      </c>
      <c r="G23" s="309">
        <v>99</v>
      </c>
      <c r="H23" s="217">
        <f t="shared" si="0"/>
        <v>5031</v>
      </c>
    </row>
    <row r="24" spans="1:8" ht="18" customHeight="1" x14ac:dyDescent="0.4">
      <c r="A24" s="180" t="s">
        <v>116</v>
      </c>
      <c r="B24" s="176" t="s">
        <v>117</v>
      </c>
      <c r="D24" s="307">
        <v>151237</v>
      </c>
      <c r="E24" s="307">
        <v>113730</v>
      </c>
      <c r="F24" s="308">
        <v>0</v>
      </c>
      <c r="G24" s="309">
        <v>17016</v>
      </c>
      <c r="H24" s="217">
        <f t="shared" si="0"/>
        <v>247951</v>
      </c>
    </row>
    <row r="25" spans="1:8" ht="18" customHeight="1" x14ac:dyDescent="0.4">
      <c r="A25" s="180" t="s">
        <v>118</v>
      </c>
      <c r="B25" s="176" t="s">
        <v>119</v>
      </c>
      <c r="D25" s="305">
        <v>373128</v>
      </c>
      <c r="E25" s="305">
        <v>280592</v>
      </c>
      <c r="F25" s="308">
        <v>0</v>
      </c>
      <c r="G25" s="309">
        <v>36401</v>
      </c>
      <c r="H25" s="217">
        <f t="shared" si="0"/>
        <v>617319</v>
      </c>
    </row>
    <row r="26" spans="1:8" ht="18" customHeight="1" x14ac:dyDescent="0.4">
      <c r="A26" s="180" t="s">
        <v>120</v>
      </c>
      <c r="B26" s="176" t="s">
        <v>121</v>
      </c>
      <c r="D26" s="309">
        <v>7320</v>
      </c>
      <c r="E26" s="307">
        <v>5505</v>
      </c>
      <c r="F26" s="308">
        <v>0</v>
      </c>
      <c r="G26" s="309">
        <v>247</v>
      </c>
      <c r="H26" s="217">
        <f t="shared" si="0"/>
        <v>12578</v>
      </c>
    </row>
    <row r="27" spans="1:8" ht="18" customHeight="1" x14ac:dyDescent="0.4">
      <c r="A27" s="180" t="s">
        <v>122</v>
      </c>
      <c r="B27" s="176" t="s">
        <v>246</v>
      </c>
      <c r="D27" s="307">
        <v>124592</v>
      </c>
      <c r="E27" s="307">
        <v>93692</v>
      </c>
      <c r="F27" s="308">
        <v>0</v>
      </c>
      <c r="G27" s="309">
        <v>494</v>
      </c>
      <c r="H27" s="217">
        <f t="shared" si="0"/>
        <v>217790</v>
      </c>
    </row>
    <row r="28" spans="1:8" ht="18" customHeight="1" x14ac:dyDescent="0.4">
      <c r="A28" s="180" t="s">
        <v>124</v>
      </c>
      <c r="B28" s="176" t="s">
        <v>125</v>
      </c>
      <c r="D28" s="307"/>
      <c r="E28" s="307"/>
      <c r="F28" s="308"/>
      <c r="G28" s="309"/>
      <c r="H28" s="217"/>
    </row>
    <row r="29" spans="1:8" ht="18" customHeight="1" x14ac:dyDescent="0.4">
      <c r="A29" s="180" t="s">
        <v>126</v>
      </c>
      <c r="B29" s="176" t="s">
        <v>127</v>
      </c>
      <c r="D29" s="307">
        <v>2403752</v>
      </c>
      <c r="E29" s="307">
        <v>1807621</v>
      </c>
      <c r="F29" s="308">
        <v>0</v>
      </c>
      <c r="G29" s="309">
        <v>5105</v>
      </c>
      <c r="H29" s="217">
        <f t="shared" si="0"/>
        <v>4206268</v>
      </c>
    </row>
    <row r="30" spans="1:8" ht="18" customHeight="1" x14ac:dyDescent="0.4">
      <c r="A30" s="180" t="s">
        <v>128</v>
      </c>
      <c r="B30" s="310"/>
      <c r="D30" s="184"/>
      <c r="E30" s="216"/>
      <c r="F30" s="216"/>
      <c r="G30" s="184"/>
      <c r="H30" s="217">
        <f t="shared" si="0"/>
        <v>0</v>
      </c>
    </row>
    <row r="31" spans="1:8" ht="18" customHeight="1" x14ac:dyDescent="0.4">
      <c r="A31" s="180" t="s">
        <v>130</v>
      </c>
      <c r="B31" s="310"/>
      <c r="D31" s="184"/>
      <c r="E31" s="216"/>
      <c r="F31" s="216"/>
      <c r="G31" s="184"/>
      <c r="H31" s="217">
        <f t="shared" si="0"/>
        <v>0</v>
      </c>
    </row>
    <row r="32" spans="1:8" ht="18" customHeight="1" x14ac:dyDescent="0.4">
      <c r="A32" s="180" t="s">
        <v>131</v>
      </c>
      <c r="B32" s="310"/>
      <c r="D32" s="184"/>
      <c r="E32" s="216"/>
      <c r="F32" s="216"/>
      <c r="G32" s="184"/>
      <c r="H32" s="217">
        <f t="shared" si="0"/>
        <v>0</v>
      </c>
    </row>
    <row r="33" spans="1:8" ht="18" customHeight="1" x14ac:dyDescent="0.4">
      <c r="A33" s="180" t="s">
        <v>132</v>
      </c>
      <c r="B33" s="310"/>
      <c r="D33" s="184"/>
      <c r="E33" s="216"/>
      <c r="F33" s="216"/>
      <c r="G33" s="184"/>
      <c r="H33" s="217">
        <f t="shared" si="0"/>
        <v>0</v>
      </c>
    </row>
    <row r="34" spans="1:8" ht="18" customHeight="1" x14ac:dyDescent="0.4">
      <c r="A34" s="180" t="s">
        <v>133</v>
      </c>
      <c r="B34" s="310"/>
      <c r="D34" s="184"/>
      <c r="E34" s="216"/>
      <c r="F34" s="216"/>
      <c r="G34" s="184"/>
      <c r="H34" s="217">
        <f t="shared" si="0"/>
        <v>0</v>
      </c>
    </row>
    <row r="35" spans="1:8" ht="18" customHeight="1" x14ac:dyDescent="0.4">
      <c r="H35" s="186"/>
    </row>
    <row r="36" spans="1:8" ht="18" customHeight="1" x14ac:dyDescent="0.4">
      <c r="A36" s="183" t="s">
        <v>134</v>
      </c>
      <c r="B36" s="179" t="s">
        <v>135</v>
      </c>
      <c r="C36" s="179" t="s">
        <v>248</v>
      </c>
      <c r="D36" s="217">
        <f>SUM(D21:D34)</f>
        <v>3550165</v>
      </c>
      <c r="E36" s="217">
        <f>SUM(E21:E34)</f>
        <v>2668350</v>
      </c>
      <c r="F36" s="311">
        <f>SUM(F21:F34)</f>
        <v>0</v>
      </c>
      <c r="G36" s="217">
        <f>SUM(G21:G34)</f>
        <v>97784</v>
      </c>
      <c r="H36" s="217">
        <f>SUM(H21:H34)</f>
        <v>6120731</v>
      </c>
    </row>
    <row r="37" spans="1:8" ht="18" customHeight="1" thickBot="1" x14ac:dyDescent="0.45">
      <c r="B37" s="179"/>
      <c r="D37" s="187"/>
      <c r="E37" s="187"/>
      <c r="F37" s="187"/>
      <c r="G37" s="187"/>
      <c r="H37" s="188"/>
    </row>
    <row r="38" spans="1:8" ht="42.75" customHeight="1" x14ac:dyDescent="0.4">
      <c r="D38" s="182" t="s">
        <v>99</v>
      </c>
      <c r="E38" s="182" t="s">
        <v>100</v>
      </c>
      <c r="F38" s="182" t="s">
        <v>431</v>
      </c>
      <c r="G38" s="182" t="s">
        <v>432</v>
      </c>
      <c r="H38" s="182" t="s">
        <v>244</v>
      </c>
    </row>
    <row r="39" spans="1:8" ht="18.75" customHeight="1" x14ac:dyDescent="0.4">
      <c r="A39" s="183" t="s">
        <v>249</v>
      </c>
      <c r="B39" s="179" t="s">
        <v>137</v>
      </c>
    </row>
    <row r="40" spans="1:8" ht="18" customHeight="1" x14ac:dyDescent="0.4">
      <c r="A40" s="180" t="s">
        <v>250</v>
      </c>
      <c r="B40" s="176" t="s">
        <v>139</v>
      </c>
      <c r="D40" s="307">
        <v>34335</v>
      </c>
      <c r="E40" s="306">
        <v>25821</v>
      </c>
      <c r="F40" s="308">
        <v>0</v>
      </c>
      <c r="G40" s="309">
        <v>0</v>
      </c>
      <c r="H40" s="312">
        <f>(D40+E40)-F40-G40</f>
        <v>60156</v>
      </c>
    </row>
    <row r="41" spans="1:8" ht="18" customHeight="1" x14ac:dyDescent="0.4">
      <c r="A41" s="180" t="s">
        <v>251</v>
      </c>
      <c r="B41" s="176" t="s">
        <v>141</v>
      </c>
      <c r="D41" s="307">
        <v>980370</v>
      </c>
      <c r="E41" s="306">
        <v>737239</v>
      </c>
      <c r="F41" s="308">
        <v>0</v>
      </c>
      <c r="G41" s="309">
        <v>0</v>
      </c>
      <c r="H41" s="312">
        <f t="shared" ref="H41:H47" si="1">(D41+E41)-F41-G41</f>
        <v>1717609</v>
      </c>
    </row>
    <row r="42" spans="1:8" ht="18" customHeight="1" x14ac:dyDescent="0.4">
      <c r="A42" s="180" t="s">
        <v>252</v>
      </c>
      <c r="B42" s="176" t="s">
        <v>515</v>
      </c>
      <c r="D42" s="307">
        <v>255773</v>
      </c>
      <c r="E42" s="306">
        <v>192341</v>
      </c>
      <c r="F42" s="308">
        <v>0</v>
      </c>
      <c r="G42" s="309">
        <v>3403</v>
      </c>
      <c r="H42" s="312">
        <f t="shared" si="1"/>
        <v>444711</v>
      </c>
    </row>
    <row r="43" spans="1:8" ht="18" customHeight="1" x14ac:dyDescent="0.4">
      <c r="A43" s="180" t="s">
        <v>253</v>
      </c>
      <c r="B43" s="176" t="s">
        <v>145</v>
      </c>
      <c r="D43" s="307">
        <v>4872</v>
      </c>
      <c r="E43" s="306">
        <v>3664</v>
      </c>
      <c r="F43" s="308">
        <v>0</v>
      </c>
      <c r="G43" s="309">
        <v>0</v>
      </c>
      <c r="H43" s="312">
        <f t="shared" si="1"/>
        <v>8536</v>
      </c>
    </row>
    <row r="44" spans="1:8" ht="18" customHeight="1" x14ac:dyDescent="0.4">
      <c r="A44" s="180" t="s">
        <v>146</v>
      </c>
      <c r="B44" s="176" t="s">
        <v>516</v>
      </c>
      <c r="D44" s="307">
        <v>328433</v>
      </c>
      <c r="E44" s="306">
        <v>246981</v>
      </c>
      <c r="F44" s="308">
        <v>0</v>
      </c>
      <c r="G44" s="307">
        <v>0</v>
      </c>
      <c r="H44" s="312">
        <f t="shared" si="1"/>
        <v>575414</v>
      </c>
    </row>
    <row r="45" spans="1:8" ht="18" customHeight="1" x14ac:dyDescent="0.4">
      <c r="A45" s="180" t="s">
        <v>147</v>
      </c>
      <c r="B45" s="310"/>
      <c r="D45" s="184"/>
      <c r="E45" s="216"/>
      <c r="F45" s="216"/>
      <c r="G45" s="184"/>
      <c r="H45" s="217">
        <f t="shared" si="1"/>
        <v>0</v>
      </c>
    </row>
    <row r="46" spans="1:8" ht="18" customHeight="1" x14ac:dyDescent="0.4">
      <c r="A46" s="180" t="s">
        <v>148</v>
      </c>
      <c r="B46" s="310"/>
      <c r="D46" s="184"/>
      <c r="E46" s="216"/>
      <c r="F46" s="216"/>
      <c r="G46" s="184"/>
      <c r="H46" s="217">
        <f t="shared" si="1"/>
        <v>0</v>
      </c>
    </row>
    <row r="47" spans="1:8" ht="18" customHeight="1" x14ac:dyDescent="0.4">
      <c r="A47" s="180" t="s">
        <v>149</v>
      </c>
      <c r="B47" s="310"/>
      <c r="D47" s="184"/>
      <c r="E47" s="216"/>
      <c r="F47" s="216"/>
      <c r="G47" s="184"/>
      <c r="H47" s="217">
        <f t="shared" si="1"/>
        <v>0</v>
      </c>
    </row>
    <row r="49" spans="1:12" ht="18" customHeight="1" x14ac:dyDescent="0.4">
      <c r="A49" s="183" t="s">
        <v>150</v>
      </c>
      <c r="B49" s="179" t="s">
        <v>254</v>
      </c>
      <c r="C49" s="179" t="s">
        <v>248</v>
      </c>
      <c r="D49" s="217">
        <f>SUM(D40:D47)</f>
        <v>1603783</v>
      </c>
      <c r="E49" s="217">
        <f>SUM(E40:E47)</f>
        <v>1206046</v>
      </c>
      <c r="F49" s="311">
        <f>SUM(F40:F47)</f>
        <v>0</v>
      </c>
      <c r="G49" s="217">
        <f>SUM(G40:G47)</f>
        <v>3403</v>
      </c>
      <c r="H49" s="217">
        <f>SUM(H40:H47)</f>
        <v>2806426</v>
      </c>
    </row>
    <row r="50" spans="1:12" ht="18" customHeight="1" thickBot="1" x14ac:dyDescent="0.45">
      <c r="D50" s="189"/>
      <c r="E50" s="189"/>
      <c r="F50" s="189"/>
      <c r="G50" s="189"/>
      <c r="H50" s="189"/>
    </row>
    <row r="51" spans="1:12" ht="42.75" customHeight="1" x14ac:dyDescent="0.4">
      <c r="D51" s="182" t="s">
        <v>99</v>
      </c>
      <c r="E51" s="182" t="s">
        <v>100</v>
      </c>
      <c r="F51" s="182" t="s">
        <v>431</v>
      </c>
      <c r="G51" s="182" t="s">
        <v>432</v>
      </c>
      <c r="H51" s="182" t="s">
        <v>244</v>
      </c>
    </row>
    <row r="52" spans="1:12" ht="18" customHeight="1" x14ac:dyDescent="0.4">
      <c r="A52" s="183" t="s">
        <v>255</v>
      </c>
      <c r="B52" s="221" t="s">
        <v>256</v>
      </c>
    </row>
    <row r="53" spans="1:12" ht="18" customHeight="1" x14ac:dyDescent="0.4">
      <c r="A53" s="180" t="s">
        <v>257</v>
      </c>
      <c r="B53" s="313" t="s">
        <v>517</v>
      </c>
      <c r="D53" s="281">
        <v>15367890</v>
      </c>
      <c r="E53" s="274">
        <v>0</v>
      </c>
      <c r="F53" s="274">
        <v>0</v>
      </c>
      <c r="G53" s="281">
        <v>514053</v>
      </c>
      <c r="H53" s="217">
        <v>14853837</v>
      </c>
      <c r="I53" s="424"/>
    </row>
    <row r="54" spans="1:12" ht="18" customHeight="1" x14ac:dyDescent="0.4">
      <c r="A54" s="180" t="s">
        <v>259</v>
      </c>
      <c r="B54" s="313" t="s">
        <v>518</v>
      </c>
      <c r="D54" s="285">
        <v>526324</v>
      </c>
      <c r="E54" s="314">
        <v>0</v>
      </c>
      <c r="F54" s="314">
        <v>0</v>
      </c>
      <c r="G54" s="285">
        <v>0</v>
      </c>
      <c r="H54" s="217">
        <f>(D54+E54)-F54-G54</f>
        <v>526324</v>
      </c>
    </row>
    <row r="55" spans="1:12" ht="18" customHeight="1" x14ac:dyDescent="0.4">
      <c r="A55" s="180" t="s">
        <v>260</v>
      </c>
      <c r="B55" s="313" t="s">
        <v>519</v>
      </c>
      <c r="D55" s="285">
        <v>21961</v>
      </c>
      <c r="E55" s="314">
        <v>0</v>
      </c>
      <c r="F55" s="314">
        <v>0</v>
      </c>
      <c r="G55" s="285">
        <v>740</v>
      </c>
      <c r="H55" s="217">
        <f>(D55+E55)-F55-G55</f>
        <v>21221</v>
      </c>
    </row>
    <row r="56" spans="1:12" ht="18" customHeight="1" x14ac:dyDescent="0.4">
      <c r="A56" s="180" t="s">
        <v>261</v>
      </c>
      <c r="B56" s="313" t="s">
        <v>520</v>
      </c>
      <c r="C56" s="212"/>
      <c r="D56" s="285">
        <v>197753</v>
      </c>
      <c r="E56" s="274">
        <v>0</v>
      </c>
      <c r="F56" s="273">
        <f>37741+36983</f>
        <v>74724</v>
      </c>
      <c r="G56" s="281">
        <v>30591</v>
      </c>
      <c r="H56" s="217">
        <f>(D56+E56)-F56-G56</f>
        <v>92438</v>
      </c>
    </row>
    <row r="57" spans="1:12" ht="18" customHeight="1" x14ac:dyDescent="0.4">
      <c r="A57" s="180" t="s">
        <v>263</v>
      </c>
      <c r="B57" s="313"/>
      <c r="C57" s="212"/>
      <c r="D57" s="285"/>
      <c r="E57" s="274"/>
      <c r="F57" s="274"/>
      <c r="G57" s="281"/>
      <c r="H57" s="217"/>
    </row>
    <row r="58" spans="1:12" ht="18" customHeight="1" x14ac:dyDescent="0.4">
      <c r="A58" s="180" t="s">
        <v>264</v>
      </c>
      <c r="B58" s="313"/>
      <c r="C58" s="212"/>
      <c r="D58" s="285"/>
      <c r="E58" s="314"/>
      <c r="F58" s="314"/>
      <c r="G58" s="285"/>
      <c r="H58" s="217"/>
    </row>
    <row r="59" spans="1:12" ht="18" customHeight="1" x14ac:dyDescent="0.4">
      <c r="A59" s="180" t="s">
        <v>265</v>
      </c>
      <c r="B59" s="313"/>
      <c r="C59" s="212"/>
      <c r="D59" s="285"/>
      <c r="E59" s="314"/>
      <c r="F59" s="314"/>
      <c r="G59" s="285"/>
      <c r="H59" s="217"/>
    </row>
    <row r="60" spans="1:12" ht="18" customHeight="1" x14ac:dyDescent="0.4">
      <c r="A60" s="180" t="s">
        <v>266</v>
      </c>
      <c r="B60" s="313"/>
      <c r="C60" s="212"/>
      <c r="D60" s="285"/>
      <c r="E60" s="274"/>
      <c r="F60" s="273"/>
      <c r="G60" s="281"/>
      <c r="H60" s="217"/>
    </row>
    <row r="61" spans="1:12" ht="18" customHeight="1" x14ac:dyDescent="0.4">
      <c r="A61" s="180" t="s">
        <v>267</v>
      </c>
      <c r="B61" s="313"/>
      <c r="C61" s="212"/>
      <c r="D61" s="285"/>
      <c r="E61" s="274"/>
      <c r="F61" s="274"/>
      <c r="G61" s="281"/>
      <c r="H61" s="217"/>
    </row>
    <row r="62" spans="1:12" ht="18" customHeight="1" x14ac:dyDescent="0.4">
      <c r="A62" s="180" t="s">
        <v>268</v>
      </c>
      <c r="B62" s="313"/>
      <c r="C62" s="212"/>
      <c r="D62" s="285"/>
      <c r="E62" s="314"/>
      <c r="F62" s="314"/>
      <c r="G62" s="285"/>
      <c r="H62" s="217"/>
    </row>
    <row r="63" spans="1:12" ht="18" customHeight="1" x14ac:dyDescent="0.4">
      <c r="A63" s="180"/>
      <c r="E63" s="315"/>
      <c r="F63" s="315"/>
    </row>
    <row r="64" spans="1:12" ht="18" customHeight="1" x14ac:dyDescent="0.4">
      <c r="A64" s="180" t="s">
        <v>269</v>
      </c>
      <c r="B64" s="179" t="s">
        <v>270</v>
      </c>
      <c r="C64" s="179" t="s">
        <v>248</v>
      </c>
      <c r="D64" s="217">
        <f>SUM(D53:D62)</f>
        <v>16113928</v>
      </c>
      <c r="E64" s="311">
        <f>SUM(E53:E62)</f>
        <v>0</v>
      </c>
      <c r="F64" s="312">
        <f>SUM(F53:F62)</f>
        <v>74724</v>
      </c>
      <c r="G64" s="217">
        <f>SUM(G53:G62)</f>
        <v>545384</v>
      </c>
      <c r="H64" s="217">
        <f>SUM(H53:H62)</f>
        <v>15493820</v>
      </c>
      <c r="I64" s="275"/>
      <c r="L64" s="263"/>
    </row>
    <row r="65" spans="1:8" ht="18" customHeight="1" x14ac:dyDescent="0.4">
      <c r="D65" s="190"/>
      <c r="E65" s="190"/>
      <c r="F65" s="190"/>
      <c r="G65" s="190"/>
      <c r="H65" s="316"/>
    </row>
    <row r="66" spans="1:8" ht="42.75" customHeight="1" x14ac:dyDescent="0.4">
      <c r="D66" s="182" t="s">
        <v>99</v>
      </c>
      <c r="E66" s="182" t="s">
        <v>100</v>
      </c>
      <c r="F66" s="182" t="s">
        <v>431</v>
      </c>
      <c r="G66" s="182" t="s">
        <v>432</v>
      </c>
      <c r="H66" s="182" t="s">
        <v>244</v>
      </c>
    </row>
    <row r="67" spans="1:8" ht="18" customHeight="1" x14ac:dyDescent="0.4">
      <c r="A67" s="183" t="s">
        <v>271</v>
      </c>
      <c r="B67" s="179" t="s">
        <v>155</v>
      </c>
      <c r="D67" s="191"/>
      <c r="E67" s="192"/>
      <c r="F67" s="192"/>
      <c r="G67" s="191"/>
      <c r="H67" s="192"/>
    </row>
    <row r="68" spans="1:8" ht="18" customHeight="1" x14ac:dyDescent="0.4">
      <c r="A68" s="180" t="s">
        <v>272</v>
      </c>
      <c r="B68" s="176" t="s">
        <v>157</v>
      </c>
      <c r="D68" s="309">
        <v>1186418</v>
      </c>
      <c r="E68" s="308">
        <v>0</v>
      </c>
      <c r="F68" s="308">
        <v>0</v>
      </c>
      <c r="G68" s="309">
        <v>1186418</v>
      </c>
      <c r="H68" s="312">
        <f>(D68+E68)-F68-G68</f>
        <v>0</v>
      </c>
    </row>
    <row r="69" spans="1:8" ht="18" customHeight="1" x14ac:dyDescent="0.4">
      <c r="A69" s="180" t="s">
        <v>273</v>
      </c>
      <c r="B69" s="176" t="s">
        <v>159</v>
      </c>
      <c r="D69" s="309">
        <v>312658</v>
      </c>
      <c r="E69" s="308">
        <v>0</v>
      </c>
      <c r="F69" s="308">
        <v>0</v>
      </c>
      <c r="G69" s="309">
        <v>312658</v>
      </c>
      <c r="H69" s="312">
        <f>(D69+E69)-F69-G69</f>
        <v>0</v>
      </c>
    </row>
    <row r="70" spans="1:8" ht="18" customHeight="1" x14ac:dyDescent="0.4">
      <c r="A70" s="180" t="s">
        <v>274</v>
      </c>
      <c r="B70" s="313"/>
      <c r="C70" s="179"/>
      <c r="D70" s="224"/>
      <c r="E70" s="216"/>
      <c r="F70" s="225"/>
      <c r="G70" s="224"/>
      <c r="H70" s="311">
        <f>(D70+E70)-F70-G70</f>
        <v>0</v>
      </c>
    </row>
    <row r="71" spans="1:8" ht="18" customHeight="1" x14ac:dyDescent="0.4">
      <c r="A71" s="180" t="s">
        <v>275</v>
      </c>
      <c r="B71" s="313"/>
      <c r="C71" s="179"/>
      <c r="D71" s="224"/>
      <c r="E71" s="216"/>
      <c r="F71" s="225"/>
      <c r="G71" s="224"/>
      <c r="H71" s="311">
        <f>(D71+E71)-F71-G71</f>
        <v>0</v>
      </c>
    </row>
    <row r="72" spans="1:8" ht="18" customHeight="1" x14ac:dyDescent="0.4">
      <c r="A72" s="180" t="s">
        <v>276</v>
      </c>
      <c r="B72" s="313"/>
      <c r="C72" s="179"/>
      <c r="D72" s="184"/>
      <c r="E72" s="216"/>
      <c r="F72" s="216"/>
      <c r="G72" s="184"/>
      <c r="H72" s="311">
        <f>(D72+E72)-F72-G72</f>
        <v>0</v>
      </c>
    </row>
    <row r="73" spans="1:8" ht="18" customHeight="1" x14ac:dyDescent="0.4">
      <c r="A73" s="180"/>
      <c r="C73" s="179"/>
      <c r="D73" s="195"/>
      <c r="E73" s="192"/>
      <c r="F73" s="192"/>
      <c r="G73" s="195"/>
      <c r="H73" s="192"/>
    </row>
    <row r="74" spans="1:8" ht="18" customHeight="1" x14ac:dyDescent="0.4">
      <c r="A74" s="183" t="s">
        <v>161</v>
      </c>
      <c r="B74" s="179" t="s">
        <v>277</v>
      </c>
      <c r="C74" s="179" t="s">
        <v>248</v>
      </c>
      <c r="D74" s="317">
        <f>SUM(D68:D72)</f>
        <v>1499076</v>
      </c>
      <c r="E74" s="318">
        <f>SUM(E68:E72)</f>
        <v>0</v>
      </c>
      <c r="F74" s="318">
        <f>SUM(F68:F72)</f>
        <v>0</v>
      </c>
      <c r="G74" s="317">
        <f>SUM(G68:G72)</f>
        <v>1499076</v>
      </c>
      <c r="H74" s="317">
        <f>SUM(H68:H72)</f>
        <v>0</v>
      </c>
    </row>
    <row r="75" spans="1:8" ht="42.75" customHeight="1" x14ac:dyDescent="0.4">
      <c r="D75" s="182" t="s">
        <v>99</v>
      </c>
      <c r="E75" s="182" t="s">
        <v>100</v>
      </c>
      <c r="F75" s="182" t="s">
        <v>431</v>
      </c>
      <c r="G75" s="182" t="s">
        <v>432</v>
      </c>
      <c r="H75" s="182" t="s">
        <v>244</v>
      </c>
    </row>
    <row r="76" spans="1:8" ht="18" customHeight="1" x14ac:dyDescent="0.4">
      <c r="A76" s="183" t="s">
        <v>278</v>
      </c>
      <c r="B76" s="179" t="s">
        <v>279</v>
      </c>
    </row>
    <row r="77" spans="1:8" ht="18" customHeight="1" x14ac:dyDescent="0.4">
      <c r="A77" s="180" t="s">
        <v>280</v>
      </c>
      <c r="B77" s="176" t="s">
        <v>164</v>
      </c>
      <c r="D77" s="251">
        <v>325750</v>
      </c>
      <c r="E77" s="319"/>
      <c r="F77" s="320">
        <v>0</v>
      </c>
      <c r="G77" s="321">
        <v>0</v>
      </c>
      <c r="H77" s="217">
        <f>(D77-F77-G77)</f>
        <v>325750</v>
      </c>
    </row>
    <row r="78" spans="1:8" ht="18" customHeight="1" x14ac:dyDescent="0.4">
      <c r="A78" s="180" t="s">
        <v>281</v>
      </c>
      <c r="B78" s="176" t="s">
        <v>166</v>
      </c>
      <c r="D78" s="321">
        <v>0</v>
      </c>
      <c r="E78" s="319"/>
      <c r="F78" s="320">
        <v>0</v>
      </c>
      <c r="G78" s="321">
        <v>0</v>
      </c>
      <c r="H78" s="217">
        <f>(D78-F78-G78)</f>
        <v>0</v>
      </c>
    </row>
    <row r="79" spans="1:8" ht="18" customHeight="1" x14ac:dyDescent="0.4">
      <c r="A79" s="180" t="s">
        <v>282</v>
      </c>
      <c r="B79" s="176" t="s">
        <v>168</v>
      </c>
      <c r="D79" s="322">
        <v>12569</v>
      </c>
      <c r="E79" s="319"/>
      <c r="F79" s="320">
        <v>0</v>
      </c>
      <c r="G79" s="321">
        <v>0</v>
      </c>
      <c r="H79" s="217">
        <f>(D79-F79-G79)</f>
        <v>12569</v>
      </c>
    </row>
    <row r="80" spans="1:8" ht="18" customHeight="1" x14ac:dyDescent="0.4">
      <c r="A80" s="180" t="s">
        <v>283</v>
      </c>
      <c r="B80" s="176" t="s">
        <v>170</v>
      </c>
      <c r="D80" s="321">
        <v>0</v>
      </c>
      <c r="E80" s="323"/>
      <c r="F80" s="324">
        <v>0</v>
      </c>
      <c r="G80" s="321">
        <v>0</v>
      </c>
      <c r="H80" s="217">
        <f>(D80-F80-G80)</f>
        <v>0</v>
      </c>
    </row>
    <row r="81" spans="1:8" ht="18" customHeight="1" x14ac:dyDescent="0.4">
      <c r="A81" s="180"/>
      <c r="D81" s="275"/>
      <c r="E81" s="275"/>
      <c r="F81" s="275"/>
      <c r="G81" s="275"/>
      <c r="H81" s="325"/>
    </row>
    <row r="82" spans="1:8" ht="18" customHeight="1" x14ac:dyDescent="0.4">
      <c r="A82" s="180" t="s">
        <v>171</v>
      </c>
      <c r="B82" s="179" t="s">
        <v>284</v>
      </c>
      <c r="C82" s="179" t="s">
        <v>248</v>
      </c>
      <c r="D82" s="217">
        <f>SUM(D77:D80)</f>
        <v>338319</v>
      </c>
      <c r="E82" s="215"/>
      <c r="F82" s="326">
        <f>SUM(F77:F80)</f>
        <v>0</v>
      </c>
      <c r="G82" s="326">
        <f>SUM(G77:G80)</f>
        <v>0</v>
      </c>
      <c r="H82" s="217">
        <f>SUM(H77:H80)</f>
        <v>338319</v>
      </c>
    </row>
    <row r="83" spans="1:8" ht="18" customHeight="1" thickBot="1" x14ac:dyDescent="0.45">
      <c r="A83" s="180"/>
      <c r="D83" s="327"/>
      <c r="E83" s="327"/>
      <c r="F83" s="327"/>
      <c r="G83" s="327"/>
      <c r="H83" s="327"/>
    </row>
    <row r="84" spans="1:8" ht="42.75" customHeight="1" x14ac:dyDescent="0.4">
      <c r="D84" s="182" t="s">
        <v>99</v>
      </c>
      <c r="E84" s="182" t="s">
        <v>100</v>
      </c>
      <c r="F84" s="182" t="s">
        <v>431</v>
      </c>
      <c r="G84" s="182" t="s">
        <v>432</v>
      </c>
      <c r="H84" s="182" t="s">
        <v>244</v>
      </c>
    </row>
    <row r="85" spans="1:8" ht="18" customHeight="1" x14ac:dyDescent="0.4">
      <c r="A85" s="183" t="s">
        <v>285</v>
      </c>
      <c r="B85" s="179" t="s">
        <v>173</v>
      </c>
    </row>
    <row r="86" spans="1:8" ht="18" customHeight="1" x14ac:dyDescent="0.4">
      <c r="A86" s="180" t="s">
        <v>191</v>
      </c>
      <c r="B86" s="176" t="s">
        <v>286</v>
      </c>
      <c r="D86" s="328">
        <v>0</v>
      </c>
      <c r="E86" s="328">
        <v>0</v>
      </c>
      <c r="F86" s="328">
        <v>0</v>
      </c>
      <c r="G86" s="328">
        <v>0</v>
      </c>
      <c r="H86" s="329">
        <f>(D86+E86)-F86-G86</f>
        <v>0</v>
      </c>
    </row>
    <row r="87" spans="1:8" ht="18" customHeight="1" x14ac:dyDescent="0.4">
      <c r="A87" s="180" t="s">
        <v>287</v>
      </c>
      <c r="B87" s="176" t="s">
        <v>177</v>
      </c>
      <c r="D87" s="328">
        <v>0</v>
      </c>
      <c r="E87" s="328">
        <v>0</v>
      </c>
      <c r="F87" s="328">
        <v>0</v>
      </c>
      <c r="G87" s="328">
        <v>0</v>
      </c>
      <c r="H87" s="329">
        <f t="shared" ref="H87:H93" si="2">(D87+E87)-F87-G87</f>
        <v>0</v>
      </c>
    </row>
    <row r="88" spans="1:8" ht="18" customHeight="1" x14ac:dyDescent="0.4">
      <c r="A88" s="180" t="s">
        <v>288</v>
      </c>
      <c r="B88" s="176" t="s">
        <v>289</v>
      </c>
      <c r="D88" s="330">
        <v>127563</v>
      </c>
      <c r="E88" s="331">
        <v>95926</v>
      </c>
      <c r="F88" s="328">
        <v>0</v>
      </c>
      <c r="G88" s="332">
        <v>13613</v>
      </c>
      <c r="H88" s="333">
        <f t="shared" si="2"/>
        <v>209876</v>
      </c>
    </row>
    <row r="89" spans="1:8" ht="18" customHeight="1" x14ac:dyDescent="0.4">
      <c r="A89" s="180" t="s">
        <v>290</v>
      </c>
      <c r="B89" s="176" t="s">
        <v>181</v>
      </c>
      <c r="D89" s="330">
        <v>95081</v>
      </c>
      <c r="E89" s="331">
        <v>71501</v>
      </c>
      <c r="F89" s="328">
        <v>0</v>
      </c>
      <c r="G89" s="285">
        <v>0</v>
      </c>
      <c r="H89" s="333">
        <f t="shared" si="2"/>
        <v>166582</v>
      </c>
    </row>
    <row r="90" spans="1:8" ht="18" customHeight="1" x14ac:dyDescent="0.4">
      <c r="A90" s="180" t="s">
        <v>291</v>
      </c>
      <c r="B90" s="176" t="s">
        <v>183</v>
      </c>
      <c r="D90" s="328">
        <v>0</v>
      </c>
      <c r="E90" s="328">
        <v>0</v>
      </c>
      <c r="F90" s="328">
        <v>0</v>
      </c>
      <c r="G90" s="328">
        <v>0</v>
      </c>
      <c r="H90" s="329">
        <f t="shared" si="2"/>
        <v>0</v>
      </c>
    </row>
    <row r="91" spans="1:8" ht="18" customHeight="1" x14ac:dyDescent="0.4">
      <c r="A91" s="180" t="s">
        <v>292</v>
      </c>
      <c r="B91" s="176" t="s">
        <v>185</v>
      </c>
      <c r="D91" s="330">
        <v>200934</v>
      </c>
      <c r="E91" s="331">
        <v>151104</v>
      </c>
      <c r="F91" s="328">
        <v>0</v>
      </c>
      <c r="G91" s="332">
        <v>17016</v>
      </c>
      <c r="H91" s="333">
        <f t="shared" si="2"/>
        <v>335022</v>
      </c>
    </row>
    <row r="92" spans="1:8" ht="18" customHeight="1" x14ac:dyDescent="0.4">
      <c r="A92" s="180" t="s">
        <v>293</v>
      </c>
      <c r="B92" s="176" t="s">
        <v>294</v>
      </c>
      <c r="D92" s="328">
        <v>0</v>
      </c>
      <c r="E92" s="328">
        <v>0</v>
      </c>
      <c r="F92" s="328">
        <v>0</v>
      </c>
      <c r="G92" s="328">
        <v>0</v>
      </c>
      <c r="H92" s="329">
        <f t="shared" si="2"/>
        <v>0</v>
      </c>
    </row>
    <row r="93" spans="1:8" ht="18" customHeight="1" x14ac:dyDescent="0.4">
      <c r="A93" s="180" t="s">
        <v>295</v>
      </c>
      <c r="B93" s="176" t="s">
        <v>296</v>
      </c>
      <c r="D93" s="330">
        <v>87396</v>
      </c>
      <c r="E93" s="331">
        <v>65668</v>
      </c>
      <c r="F93" s="328">
        <v>0</v>
      </c>
      <c r="G93" s="285">
        <v>0</v>
      </c>
      <c r="H93" s="333">
        <f t="shared" si="2"/>
        <v>153064</v>
      </c>
    </row>
    <row r="94" spans="1:8" ht="18" customHeight="1" x14ac:dyDescent="0.4">
      <c r="A94" s="180" t="s">
        <v>297</v>
      </c>
      <c r="B94" s="313"/>
      <c r="D94" s="334"/>
      <c r="E94" s="216"/>
      <c r="F94" s="216"/>
      <c r="G94" s="184"/>
      <c r="H94" s="217"/>
    </row>
    <row r="95" spans="1:8" ht="18" customHeight="1" x14ac:dyDescent="0.4">
      <c r="A95" s="180" t="s">
        <v>298</v>
      </c>
      <c r="B95" s="313"/>
      <c r="D95" s="334"/>
      <c r="E95" s="216"/>
      <c r="F95" s="216"/>
      <c r="G95" s="184"/>
      <c r="H95" s="217"/>
    </row>
    <row r="96" spans="1:8" ht="18" customHeight="1" x14ac:dyDescent="0.4">
      <c r="A96" s="180" t="s">
        <v>299</v>
      </c>
      <c r="B96" s="313"/>
      <c r="D96" s="334"/>
      <c r="E96" s="216"/>
      <c r="F96" s="216"/>
      <c r="G96" s="184"/>
      <c r="H96" s="217"/>
    </row>
    <row r="97" spans="1:8" ht="18" customHeight="1" x14ac:dyDescent="0.4">
      <c r="A97" s="180"/>
    </row>
    <row r="98" spans="1:8" ht="18" customHeight="1" x14ac:dyDescent="0.4">
      <c r="A98" s="183" t="s">
        <v>193</v>
      </c>
      <c r="B98" s="179" t="s">
        <v>300</v>
      </c>
      <c r="C98" s="179" t="s">
        <v>248</v>
      </c>
      <c r="D98" s="217">
        <f>SUM(D86:D96)</f>
        <v>510974</v>
      </c>
      <c r="E98" s="217">
        <f>SUM(E86:E96)</f>
        <v>384199</v>
      </c>
      <c r="F98" s="311">
        <f>SUM(F86:F96)</f>
        <v>0</v>
      </c>
      <c r="G98" s="217">
        <f>SUM(G86:G96)</f>
        <v>30629</v>
      </c>
      <c r="H98" s="217">
        <f>SUM(H86:H96)</f>
        <v>864544</v>
      </c>
    </row>
    <row r="99" spans="1:8" ht="18" customHeight="1" thickBot="1" x14ac:dyDescent="0.45">
      <c r="B99" s="179"/>
      <c r="D99" s="189"/>
      <c r="E99" s="189"/>
      <c r="F99" s="189"/>
      <c r="G99" s="189"/>
      <c r="H99" s="189"/>
    </row>
    <row r="100" spans="1:8" ht="42.75" customHeight="1" x14ac:dyDescent="0.4">
      <c r="D100" s="182" t="s">
        <v>99</v>
      </c>
      <c r="E100" s="182" t="s">
        <v>100</v>
      </c>
      <c r="F100" s="182" t="s">
        <v>431</v>
      </c>
      <c r="G100" s="182" t="s">
        <v>432</v>
      </c>
      <c r="H100" s="182" t="s">
        <v>244</v>
      </c>
    </row>
    <row r="101" spans="1:8" ht="18" customHeight="1" x14ac:dyDescent="0.4">
      <c r="A101" s="183" t="s">
        <v>301</v>
      </c>
      <c r="B101" s="179" t="s">
        <v>195</v>
      </c>
    </row>
    <row r="102" spans="1:8" ht="18" customHeight="1" x14ac:dyDescent="0.4">
      <c r="A102" s="180" t="s">
        <v>302</v>
      </c>
      <c r="B102" s="176" t="s">
        <v>303</v>
      </c>
      <c r="D102" s="322">
        <v>106404</v>
      </c>
      <c r="E102" s="335">
        <v>80015</v>
      </c>
      <c r="F102" s="314">
        <v>0</v>
      </c>
      <c r="G102" s="251">
        <v>8508</v>
      </c>
      <c r="H102" s="217">
        <f>(D102+E102)-F102-G102</f>
        <v>177911</v>
      </c>
    </row>
    <row r="103" spans="1:8" ht="18" customHeight="1" x14ac:dyDescent="0.4">
      <c r="A103" s="180" t="s">
        <v>304</v>
      </c>
      <c r="B103" s="176" t="s">
        <v>521</v>
      </c>
      <c r="D103" s="322">
        <v>151237</v>
      </c>
      <c r="E103" s="335">
        <v>113730</v>
      </c>
      <c r="F103" s="314">
        <v>0</v>
      </c>
      <c r="G103" s="251">
        <v>17016</v>
      </c>
      <c r="H103" s="217">
        <f>(D103+E103)-F103-G103</f>
        <v>247951</v>
      </c>
    </row>
    <row r="104" spans="1:8" ht="18" customHeight="1" x14ac:dyDescent="0.4">
      <c r="A104" s="180" t="s">
        <v>305</v>
      </c>
      <c r="B104" s="313"/>
      <c r="D104" s="184"/>
      <c r="E104" s="216"/>
      <c r="F104" s="216"/>
      <c r="G104" s="184"/>
      <c r="H104" s="217">
        <f>(D104+E104)-F104-G104</f>
        <v>0</v>
      </c>
    </row>
    <row r="105" spans="1:8" ht="18" customHeight="1" x14ac:dyDescent="0.4">
      <c r="A105" s="180" t="s">
        <v>306</v>
      </c>
      <c r="B105" s="313"/>
      <c r="D105" s="184"/>
      <c r="E105" s="216"/>
      <c r="F105" s="216"/>
      <c r="G105" s="184"/>
      <c r="H105" s="217">
        <f>(D105+E105)-F105-G105</f>
        <v>0</v>
      </c>
    </row>
    <row r="106" spans="1:8" ht="18" customHeight="1" x14ac:dyDescent="0.4">
      <c r="A106" s="180" t="s">
        <v>307</v>
      </c>
      <c r="B106" s="313"/>
      <c r="D106" s="184"/>
      <c r="E106" s="216"/>
      <c r="F106" s="216"/>
      <c r="G106" s="184"/>
      <c r="H106" s="217">
        <f>(D106+E106)-F106-G106</f>
        <v>0</v>
      </c>
    </row>
    <row r="107" spans="1:8" ht="18" customHeight="1" x14ac:dyDescent="0.4">
      <c r="B107" s="179"/>
    </row>
    <row r="108" spans="1:8" ht="18" customHeight="1" x14ac:dyDescent="0.4">
      <c r="A108" s="183" t="s">
        <v>204</v>
      </c>
      <c r="B108" s="179" t="s">
        <v>308</v>
      </c>
      <c r="C108" s="179" t="s">
        <v>248</v>
      </c>
      <c r="D108" s="217">
        <f>SUM(D102:D106)</f>
        <v>257641</v>
      </c>
      <c r="E108" s="217">
        <f>SUM(E102:E106)</f>
        <v>193745</v>
      </c>
      <c r="F108" s="311">
        <f>SUM(F102:F106)</f>
        <v>0</v>
      </c>
      <c r="G108" s="217">
        <f>SUM(G102:G106)</f>
        <v>25524</v>
      </c>
      <c r="H108" s="217">
        <f>SUM(H102:H106)</f>
        <v>425862</v>
      </c>
    </row>
    <row r="109" spans="1:8" ht="18" customHeight="1" thickBot="1" x14ac:dyDescent="0.45">
      <c r="A109" s="197"/>
      <c r="B109" s="198"/>
      <c r="C109" s="199"/>
      <c r="D109" s="189"/>
      <c r="E109" s="189"/>
      <c r="F109" s="189"/>
      <c r="G109" s="189"/>
      <c r="H109" s="189"/>
    </row>
    <row r="110" spans="1:8" ht="24.6" x14ac:dyDescent="0.4">
      <c r="A110" s="183" t="s">
        <v>309</v>
      </c>
      <c r="B110" s="179" t="s">
        <v>434</v>
      </c>
      <c r="F110" s="182"/>
      <c r="G110" s="182" t="s">
        <v>435</v>
      </c>
      <c r="H110" s="182" t="s">
        <v>244</v>
      </c>
    </row>
    <row r="111" spans="1:8" ht="18" customHeight="1" x14ac:dyDescent="0.4">
      <c r="A111" s="183" t="s">
        <v>310</v>
      </c>
      <c r="B111" s="179" t="s">
        <v>311</v>
      </c>
      <c r="E111" s="179" t="s">
        <v>436</v>
      </c>
      <c r="F111" s="184">
        <v>5868000</v>
      </c>
      <c r="G111" s="184"/>
      <c r="H111" s="217">
        <f>F111-G111</f>
        <v>5868000</v>
      </c>
    </row>
    <row r="112" spans="1:8" ht="18" customHeight="1" x14ac:dyDescent="0.4">
      <c r="B112" s="179"/>
      <c r="D112" s="179"/>
    </row>
    <row r="113" spans="1:7" ht="18" customHeight="1" x14ac:dyDescent="0.4">
      <c r="A113" s="183"/>
      <c r="B113" s="179" t="s">
        <v>312</v>
      </c>
    </row>
    <row r="114" spans="1:7" ht="18" customHeight="1" x14ac:dyDescent="0.4">
      <c r="A114" s="180" t="s">
        <v>313</v>
      </c>
      <c r="B114" s="176" t="s">
        <v>314</v>
      </c>
      <c r="D114" s="235" t="s">
        <v>428</v>
      </c>
      <c r="E114" s="236">
        <v>0.752</v>
      </c>
      <c r="F114" s="235" t="s">
        <v>429</v>
      </c>
      <c r="G114" s="236">
        <v>0.752</v>
      </c>
    </row>
    <row r="115" spans="1:7" ht="18" customHeight="1" x14ac:dyDescent="0.4">
      <c r="A115" s="180"/>
      <c r="B115" s="179"/>
      <c r="F115" s="212"/>
    </row>
    <row r="116" spans="1:7" ht="18" customHeight="1" x14ac:dyDescent="0.4">
      <c r="A116" s="180" t="s">
        <v>315</v>
      </c>
      <c r="B116" s="179" t="s">
        <v>316</v>
      </c>
      <c r="F116" s="212"/>
    </row>
    <row r="117" spans="1:7" ht="18" customHeight="1" x14ac:dyDescent="0.4">
      <c r="A117" s="180" t="s">
        <v>317</v>
      </c>
      <c r="B117" s="176" t="s">
        <v>318</v>
      </c>
      <c r="E117" s="251">
        <v>319074000</v>
      </c>
      <c r="F117" s="237"/>
    </row>
    <row r="118" spans="1:7" ht="18" customHeight="1" x14ac:dyDescent="0.4">
      <c r="A118" s="180" t="s">
        <v>319</v>
      </c>
      <c r="B118" s="176" t="s">
        <v>320</v>
      </c>
      <c r="E118" s="251">
        <v>32781000</v>
      </c>
      <c r="F118" s="237"/>
    </row>
    <row r="119" spans="1:7" ht="18" customHeight="1" x14ac:dyDescent="0.4">
      <c r="A119" s="180" t="s">
        <v>321</v>
      </c>
      <c r="B119" s="179" t="s">
        <v>322</v>
      </c>
      <c r="E119" s="217">
        <f>SUM(E117:E118)</f>
        <v>351855000</v>
      </c>
      <c r="F119" s="238"/>
    </row>
    <row r="120" spans="1:7" ht="18" customHeight="1" x14ac:dyDescent="0.4">
      <c r="A120" s="180"/>
      <c r="B120" s="179"/>
      <c r="F120" s="212"/>
    </row>
    <row r="121" spans="1:7" ht="18" customHeight="1" x14ac:dyDescent="0.4">
      <c r="A121" s="180" t="s">
        <v>323</v>
      </c>
      <c r="B121" s="179" t="s">
        <v>324</v>
      </c>
      <c r="E121" s="251">
        <v>335865000</v>
      </c>
      <c r="F121" s="237"/>
    </row>
    <row r="122" spans="1:7" ht="18" customHeight="1" x14ac:dyDescent="0.4">
      <c r="A122" s="180"/>
      <c r="E122" s="275"/>
      <c r="F122" s="212"/>
    </row>
    <row r="123" spans="1:7" ht="18" customHeight="1" x14ac:dyDescent="0.4">
      <c r="A123" s="180" t="s">
        <v>325</v>
      </c>
      <c r="B123" s="179" t="s">
        <v>326</v>
      </c>
      <c r="E123" s="336">
        <f>E119-E121</f>
        <v>15990000</v>
      </c>
      <c r="F123" s="237"/>
    </row>
    <row r="124" spans="1:7" ht="18" customHeight="1" x14ac:dyDescent="0.4">
      <c r="A124" s="180"/>
      <c r="F124" s="212"/>
    </row>
    <row r="125" spans="1:7" ht="18" customHeight="1" x14ac:dyDescent="0.4">
      <c r="A125" s="180" t="s">
        <v>327</v>
      </c>
      <c r="B125" s="179" t="s">
        <v>328</v>
      </c>
      <c r="E125" s="251">
        <v>60489000</v>
      </c>
      <c r="F125" s="237"/>
    </row>
    <row r="126" spans="1:7" ht="18" customHeight="1" x14ac:dyDescent="0.4">
      <c r="A126" s="180"/>
      <c r="F126" s="212"/>
    </row>
    <row r="127" spans="1:7" ht="18" customHeight="1" x14ac:dyDescent="0.4">
      <c r="A127" s="180" t="s">
        <v>329</v>
      </c>
      <c r="B127" s="179" t="s">
        <v>330</v>
      </c>
      <c r="E127" s="336">
        <f>E123+E125</f>
        <v>76479000</v>
      </c>
      <c r="F127" s="237"/>
    </row>
    <row r="128" spans="1:7" ht="18" customHeight="1" x14ac:dyDescent="0.4">
      <c r="A128" s="180"/>
    </row>
    <row r="129" spans="1:10" ht="42.75" customHeight="1" x14ac:dyDescent="0.4">
      <c r="D129" s="182" t="s">
        <v>99</v>
      </c>
      <c r="E129" s="182" t="s">
        <v>100</v>
      </c>
      <c r="F129" s="182" t="s">
        <v>431</v>
      </c>
      <c r="G129" s="182" t="s">
        <v>432</v>
      </c>
      <c r="H129" s="182" t="s">
        <v>244</v>
      </c>
    </row>
    <row r="130" spans="1:10" ht="18" customHeight="1" x14ac:dyDescent="0.4">
      <c r="A130" s="183" t="s">
        <v>331</v>
      </c>
      <c r="B130" s="179" t="s">
        <v>208</v>
      </c>
    </row>
    <row r="131" spans="1:10" ht="18" customHeight="1" x14ac:dyDescent="0.4">
      <c r="A131" s="180" t="s">
        <v>332</v>
      </c>
      <c r="B131" s="176" t="s">
        <v>210</v>
      </c>
      <c r="D131" s="251">
        <v>23064</v>
      </c>
      <c r="E131" s="335"/>
      <c r="F131" s="314">
        <v>0</v>
      </c>
      <c r="G131" s="321">
        <v>0</v>
      </c>
      <c r="H131" s="217">
        <f>(D131+E131)-F131-G131</f>
        <v>23064</v>
      </c>
    </row>
    <row r="132" spans="1:10" ht="18" customHeight="1" x14ac:dyDescent="0.4">
      <c r="A132" s="180" t="s">
        <v>333</v>
      </c>
      <c r="B132" s="176" t="s">
        <v>68</v>
      </c>
      <c r="D132" s="251">
        <v>573768</v>
      </c>
      <c r="E132" s="335"/>
      <c r="F132" s="314">
        <v>0</v>
      </c>
      <c r="G132" s="321">
        <v>0</v>
      </c>
      <c r="H132" s="217">
        <f>(D132+E132)-F132-G132</f>
        <v>573768</v>
      </c>
    </row>
    <row r="133" spans="1:10" ht="18" customHeight="1" x14ac:dyDescent="0.4">
      <c r="A133" s="180" t="s">
        <v>334</v>
      </c>
      <c r="B133" s="310"/>
      <c r="D133" s="184"/>
      <c r="E133" s="216"/>
      <c r="F133" s="216"/>
      <c r="G133" s="184"/>
      <c r="H133" s="217">
        <f>(D133+E133)-F133-G133</f>
        <v>0</v>
      </c>
    </row>
    <row r="134" spans="1:10" ht="18" customHeight="1" x14ac:dyDescent="0.4">
      <c r="A134" s="180" t="s">
        <v>335</v>
      </c>
      <c r="B134" s="310"/>
      <c r="D134" s="184"/>
      <c r="E134" s="216"/>
      <c r="F134" s="216"/>
      <c r="G134" s="184"/>
      <c r="H134" s="217">
        <f>(D134+E134)-F134-G134</f>
        <v>0</v>
      </c>
    </row>
    <row r="135" spans="1:10" ht="18" customHeight="1" x14ac:dyDescent="0.4">
      <c r="A135" s="180" t="s">
        <v>336</v>
      </c>
      <c r="B135" s="310"/>
      <c r="D135" s="184"/>
      <c r="E135" s="216"/>
      <c r="F135" s="216"/>
      <c r="G135" s="184"/>
      <c r="H135" s="217">
        <f>(D135+E135)-F135-G135</f>
        <v>0</v>
      </c>
    </row>
    <row r="136" spans="1:10" ht="18" customHeight="1" x14ac:dyDescent="0.4">
      <c r="A136" s="183"/>
    </row>
    <row r="137" spans="1:10" ht="18" customHeight="1" x14ac:dyDescent="0.4">
      <c r="A137" s="183" t="s">
        <v>215</v>
      </c>
      <c r="B137" s="179" t="s">
        <v>337</v>
      </c>
      <c r="D137" s="217">
        <f>SUM(D131:D135)</f>
        <v>596832</v>
      </c>
      <c r="E137" s="217">
        <f>SUM(E131:E135)</f>
        <v>0</v>
      </c>
      <c r="F137" s="311">
        <f>SUM(F131:F135)</f>
        <v>0</v>
      </c>
      <c r="G137" s="311">
        <f>SUM(G131:G135)</f>
        <v>0</v>
      </c>
      <c r="H137" s="217">
        <f>SUM(H131:H135)</f>
        <v>596832</v>
      </c>
    </row>
    <row r="138" spans="1:10" ht="18" customHeight="1" x14ac:dyDescent="0.4">
      <c r="A138" s="176"/>
    </row>
    <row r="139" spans="1:10" ht="42.75" customHeight="1" x14ac:dyDescent="0.4">
      <c r="D139" s="182" t="s">
        <v>99</v>
      </c>
      <c r="E139" s="182" t="s">
        <v>100</v>
      </c>
      <c r="F139" s="182" t="s">
        <v>431</v>
      </c>
      <c r="G139" s="182" t="s">
        <v>432</v>
      </c>
      <c r="H139" s="182" t="s">
        <v>244</v>
      </c>
    </row>
    <row r="140" spans="1:10" ht="18" customHeight="1" x14ac:dyDescent="0.4">
      <c r="A140" s="183" t="s">
        <v>338</v>
      </c>
      <c r="B140" s="179" t="s">
        <v>217</v>
      </c>
    </row>
    <row r="141" spans="1:10" ht="18" customHeight="1" x14ac:dyDescent="0.4">
      <c r="A141" s="180" t="s">
        <v>134</v>
      </c>
      <c r="B141" s="179" t="s">
        <v>66</v>
      </c>
      <c r="D141" s="337">
        <f>D36</f>
        <v>3550165</v>
      </c>
      <c r="E141" s="337">
        <f>E36</f>
        <v>2668350</v>
      </c>
      <c r="F141" s="337">
        <f>F36</f>
        <v>0</v>
      </c>
      <c r="G141" s="337">
        <f>G36</f>
        <v>97784</v>
      </c>
      <c r="H141" s="337">
        <f>H36</f>
        <v>6120731</v>
      </c>
    </row>
    <row r="142" spans="1:10" ht="18" customHeight="1" x14ac:dyDescent="0.4">
      <c r="A142" s="180" t="s">
        <v>150</v>
      </c>
      <c r="B142" s="179" t="s">
        <v>220</v>
      </c>
      <c r="D142" s="337">
        <f>D49</f>
        <v>1603783</v>
      </c>
      <c r="E142" s="337">
        <f>E49</f>
        <v>1206046</v>
      </c>
      <c r="F142" s="337">
        <f>F49</f>
        <v>0</v>
      </c>
      <c r="G142" s="337">
        <f>G49</f>
        <v>3403</v>
      </c>
      <c r="H142" s="337">
        <f>H49</f>
        <v>2806426</v>
      </c>
    </row>
    <row r="143" spans="1:10" ht="18" customHeight="1" x14ac:dyDescent="0.4">
      <c r="A143" s="180" t="s">
        <v>269</v>
      </c>
      <c r="B143" s="179" t="s">
        <v>222</v>
      </c>
      <c r="D143" s="337">
        <f>D64</f>
        <v>16113928</v>
      </c>
      <c r="E143" s="337">
        <f>E64</f>
        <v>0</v>
      </c>
      <c r="F143" s="337">
        <f>F64</f>
        <v>74724</v>
      </c>
      <c r="G143" s="337">
        <f>G64</f>
        <v>545384</v>
      </c>
      <c r="H143" s="337">
        <f>H64</f>
        <v>15493820</v>
      </c>
      <c r="J143" s="338"/>
    </row>
    <row r="144" spans="1:10" ht="18" customHeight="1" x14ac:dyDescent="0.4">
      <c r="A144" s="180" t="s">
        <v>161</v>
      </c>
      <c r="B144" s="179" t="s">
        <v>70</v>
      </c>
      <c r="D144" s="337">
        <f>D74</f>
        <v>1499076</v>
      </c>
      <c r="E144" s="337">
        <f>E74</f>
        <v>0</v>
      </c>
      <c r="F144" s="337">
        <f>F74</f>
        <v>0</v>
      </c>
      <c r="G144" s="337">
        <f>G74</f>
        <v>1499076</v>
      </c>
      <c r="H144" s="337">
        <f>H74</f>
        <v>0</v>
      </c>
    </row>
    <row r="145" spans="1:8" ht="18" customHeight="1" x14ac:dyDescent="0.4">
      <c r="A145" s="180" t="s">
        <v>171</v>
      </c>
      <c r="B145" s="179" t="s">
        <v>69</v>
      </c>
      <c r="D145" s="337">
        <f>D82</f>
        <v>338319</v>
      </c>
      <c r="E145" s="337">
        <f>E82</f>
        <v>0</v>
      </c>
      <c r="F145" s="337">
        <f>F82</f>
        <v>0</v>
      </c>
      <c r="G145" s="337">
        <f>G82</f>
        <v>0</v>
      </c>
      <c r="H145" s="337">
        <f>H82</f>
        <v>338319</v>
      </c>
    </row>
    <row r="146" spans="1:8" ht="18" customHeight="1" x14ac:dyDescent="0.4">
      <c r="A146" s="180" t="s">
        <v>193</v>
      </c>
      <c r="B146" s="179" t="s">
        <v>226</v>
      </c>
      <c r="D146" s="337">
        <f>D98</f>
        <v>510974</v>
      </c>
      <c r="E146" s="337">
        <f>E98</f>
        <v>384199</v>
      </c>
      <c r="F146" s="337">
        <f>F98</f>
        <v>0</v>
      </c>
      <c r="G146" s="337">
        <f>G98</f>
        <v>30629</v>
      </c>
      <c r="H146" s="337">
        <f>H98</f>
        <v>864544</v>
      </c>
    </row>
    <row r="147" spans="1:8" ht="18" customHeight="1" x14ac:dyDescent="0.4">
      <c r="A147" s="180" t="s">
        <v>204</v>
      </c>
      <c r="B147" s="179" t="s">
        <v>71</v>
      </c>
      <c r="D147" s="312">
        <f>D108</f>
        <v>257641</v>
      </c>
      <c r="E147" s="312">
        <f>E108</f>
        <v>193745</v>
      </c>
      <c r="F147" s="312">
        <f>F108</f>
        <v>0</v>
      </c>
      <c r="G147" s="312">
        <f>G108</f>
        <v>25524</v>
      </c>
      <c r="H147" s="312">
        <f>H108</f>
        <v>425862</v>
      </c>
    </row>
    <row r="148" spans="1:8" ht="18" customHeight="1" x14ac:dyDescent="0.4">
      <c r="A148" s="180" t="s">
        <v>310</v>
      </c>
      <c r="B148" s="179" t="s">
        <v>58</v>
      </c>
      <c r="D148" s="339" t="s">
        <v>245</v>
      </c>
      <c r="E148" s="339" t="s">
        <v>245</v>
      </c>
      <c r="F148" s="339"/>
      <c r="G148" s="339" t="s">
        <v>245</v>
      </c>
      <c r="H148" s="337">
        <f>H111</f>
        <v>5868000</v>
      </c>
    </row>
    <row r="149" spans="1:8" ht="18" customHeight="1" x14ac:dyDescent="0.4">
      <c r="A149" s="180" t="s">
        <v>215</v>
      </c>
      <c r="B149" s="179" t="s">
        <v>230</v>
      </c>
      <c r="D149" s="312">
        <f>D137</f>
        <v>596832</v>
      </c>
      <c r="E149" s="312">
        <f>E137</f>
        <v>0</v>
      </c>
      <c r="F149" s="312">
        <f>F137</f>
        <v>0</v>
      </c>
      <c r="G149" s="312">
        <f>G137</f>
        <v>0</v>
      </c>
      <c r="H149" s="312">
        <f>H137</f>
        <v>596832</v>
      </c>
    </row>
    <row r="150" spans="1:8" ht="18" customHeight="1" x14ac:dyDescent="0.4">
      <c r="A150" s="180" t="s">
        <v>103</v>
      </c>
      <c r="B150" s="179" t="s">
        <v>104</v>
      </c>
      <c r="D150" s="312">
        <f>D18</f>
        <v>6526438.3353838604</v>
      </c>
      <c r="E150" s="312">
        <f>E18</f>
        <v>0</v>
      </c>
      <c r="F150" s="312">
        <f>F18</f>
        <v>0</v>
      </c>
      <c r="G150" s="312">
        <f>G18</f>
        <v>5408917.3034357307</v>
      </c>
      <c r="H150" s="312">
        <f>H18</f>
        <v>1117521.0319481296</v>
      </c>
    </row>
    <row r="151" spans="1:8" ht="18" customHeight="1" x14ac:dyDescent="0.4">
      <c r="B151" s="179"/>
      <c r="D151" s="340"/>
      <c r="E151" s="340"/>
      <c r="F151" s="340"/>
      <c r="G151" s="340"/>
      <c r="H151" s="340"/>
    </row>
    <row r="152" spans="1:8" ht="18" customHeight="1" x14ac:dyDescent="0.4">
      <c r="A152" s="183" t="s">
        <v>231</v>
      </c>
      <c r="B152" s="179" t="s">
        <v>217</v>
      </c>
      <c r="D152" s="341">
        <f>SUM(D141:D150)</f>
        <v>30997156.335383862</v>
      </c>
      <c r="E152" s="341">
        <f>SUM(E141:E150)</f>
        <v>4452340</v>
      </c>
      <c r="F152" s="341">
        <f>SUM(F141:F150)</f>
        <v>74724</v>
      </c>
      <c r="G152" s="341">
        <f>SUM(G141:G150)</f>
        <v>7610717.3034357307</v>
      </c>
      <c r="H152" s="341">
        <f>SUM(H141:H150)</f>
        <v>33632055.031948127</v>
      </c>
    </row>
    <row r="153" spans="1:8" ht="18" customHeight="1" x14ac:dyDescent="0.4">
      <c r="H153" s="338"/>
    </row>
    <row r="154" spans="1:8" ht="18" customHeight="1" x14ac:dyDescent="0.55000000000000004">
      <c r="A154" s="183" t="s">
        <v>339</v>
      </c>
      <c r="B154" s="179" t="s">
        <v>340</v>
      </c>
      <c r="D154" s="242">
        <f>H152/E121</f>
        <v>0.1001356349484112</v>
      </c>
    </row>
    <row r="155" spans="1:8" ht="18" customHeight="1" x14ac:dyDescent="0.55000000000000004">
      <c r="A155" s="183" t="s">
        <v>341</v>
      </c>
      <c r="B155" s="179" t="s">
        <v>342</v>
      </c>
      <c r="D155" s="242">
        <f>H152/E127</f>
        <v>0.43975542347504709</v>
      </c>
      <c r="H155" s="338"/>
    </row>
    <row r="156" spans="1:8" ht="18" customHeight="1" x14ac:dyDescent="0.4">
      <c r="H156" s="338"/>
    </row>
  </sheetData>
  <mergeCells count="2">
    <mergeCell ref="C2:D2"/>
    <mergeCell ref="B13:D13"/>
  </mergeCells>
  <hyperlinks>
    <hyperlink ref="C11" r:id="rId1" xr:uid="{237C12CF-6A50-4154-B943-5AD8191A2CE3}"/>
  </hyperlinks>
  <printOptions headings="1" gridLines="1"/>
  <pageMargins left="0.17" right="0.16" top="0.35" bottom="0.32" header="0.17" footer="0.17"/>
  <pageSetup scale="59" fitToHeight="3" orientation="landscape" horizontalDpi="4294967294" r:id="rId2"/>
  <headerFooter alignWithMargins="0"/>
  <rowBreaks count="4" manualBreakCount="4">
    <brk id="37" max="16383" man="1"/>
    <brk id="74" max="16383" man="1"/>
    <brk id="109" max="16383" man="1"/>
    <brk id="138"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9818A-17D5-469A-BB7C-D98B5CA29480}">
  <sheetPr codeName="Sheet28"/>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21.2617187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176" t="s">
        <v>522</v>
      </c>
      <c r="D5" s="247" t="s">
        <v>523</v>
      </c>
      <c r="E5" s="247" t="s">
        <v>524</v>
      </c>
      <c r="F5" s="208"/>
    </row>
    <row r="6" spans="1:8" ht="18" customHeight="1" x14ac:dyDescent="0.55000000000000004">
      <c r="B6" s="180" t="s">
        <v>237</v>
      </c>
      <c r="C6" s="244">
        <v>210023</v>
      </c>
      <c r="D6" s="244"/>
      <c r="E6" s="244"/>
      <c r="F6" s="209"/>
    </row>
    <row r="7" spans="1:8" ht="18" customHeight="1" x14ac:dyDescent="0.55000000000000004">
      <c r="B7" s="180" t="s">
        <v>238</v>
      </c>
      <c r="C7" s="246"/>
      <c r="D7" s="246"/>
      <c r="E7" s="246"/>
      <c r="F7" s="210"/>
    </row>
    <row r="8" spans="1:8" ht="18" customHeight="1" x14ac:dyDescent="0.55000000000000004">
      <c r="C8" s="211"/>
      <c r="D8" s="211"/>
      <c r="E8" s="211"/>
      <c r="F8" s="212"/>
    </row>
    <row r="9" spans="1:8" ht="18" customHeight="1" x14ac:dyDescent="0.55000000000000004">
      <c r="B9" s="180" t="s">
        <v>239</v>
      </c>
      <c r="C9" s="247" t="s">
        <v>525</v>
      </c>
      <c r="D9" s="247" t="s">
        <v>526</v>
      </c>
      <c r="E9" s="247"/>
      <c r="F9" s="208"/>
    </row>
    <row r="10" spans="1:8" ht="18" customHeight="1" x14ac:dyDescent="0.55000000000000004">
      <c r="B10" s="180" t="s">
        <v>241</v>
      </c>
      <c r="C10" s="342"/>
      <c r="D10" s="248"/>
      <c r="E10" s="248"/>
      <c r="F10" s="213"/>
    </row>
    <row r="11" spans="1:8" ht="18" customHeight="1" x14ac:dyDescent="0.55000000000000004">
      <c r="B11" s="180" t="s">
        <v>243</v>
      </c>
      <c r="C11" s="258" t="s">
        <v>527</v>
      </c>
      <c r="D11" s="247"/>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12622278.131712554</v>
      </c>
      <c r="E18" s="214"/>
      <c r="F18" s="214"/>
      <c r="G18" s="214">
        <v>10460967.38940274</v>
      </c>
      <c r="H18" s="249">
        <f>(D18+E18)-G18</f>
        <v>2161310.7423098143</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1040466.43</v>
      </c>
      <c r="E21" s="216">
        <v>97300</v>
      </c>
      <c r="F21" s="216"/>
      <c r="G21" s="184">
        <v>136191.56</v>
      </c>
      <c r="H21" s="217">
        <f>(D21+E21)-F21-G21</f>
        <v>1001574.8700000001</v>
      </c>
    </row>
    <row r="22" spans="1:8" ht="18" customHeight="1" x14ac:dyDescent="0.55000000000000004">
      <c r="A22" s="180" t="s">
        <v>112</v>
      </c>
      <c r="B22" s="176" t="s">
        <v>113</v>
      </c>
      <c r="D22" s="184"/>
      <c r="E22" s="216"/>
      <c r="F22" s="216"/>
      <c r="G22" s="184"/>
      <c r="H22" s="217">
        <f>(D22+E22)-F22-G22</f>
        <v>0</v>
      </c>
    </row>
    <row r="23" spans="1:8" ht="18" customHeight="1" x14ac:dyDescent="0.55000000000000004">
      <c r="A23" s="180" t="s">
        <v>114</v>
      </c>
      <c r="B23" s="176" t="s">
        <v>115</v>
      </c>
      <c r="D23" s="184"/>
      <c r="E23" s="216"/>
      <c r="F23" s="216"/>
      <c r="G23" s="184"/>
      <c r="H23" s="217">
        <f t="shared" ref="H23:H34" si="0">(D23+E23)-F23-G23</f>
        <v>0</v>
      </c>
    </row>
    <row r="24" spans="1:8" ht="18" customHeight="1" x14ac:dyDescent="0.55000000000000004">
      <c r="A24" s="180" t="s">
        <v>116</v>
      </c>
      <c r="B24" s="176" t="s">
        <v>117</v>
      </c>
      <c r="D24" s="343">
        <v>679611.94</v>
      </c>
      <c r="E24" s="343">
        <v>54426.98</v>
      </c>
      <c r="F24" s="216"/>
      <c r="G24" s="184"/>
      <c r="H24" s="217">
        <f t="shared" si="0"/>
        <v>734038.91999999993</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v>0</v>
      </c>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v>1261792.55</v>
      </c>
      <c r="E29" s="216">
        <v>285501.79517499998</v>
      </c>
      <c r="F29" s="216">
        <v>810039.62</v>
      </c>
      <c r="G29" s="184">
        <v>1200</v>
      </c>
      <c r="H29" s="217">
        <f t="shared" si="0"/>
        <v>736054.72517499991</v>
      </c>
    </row>
    <row r="30" spans="1:8" ht="18" customHeight="1" x14ac:dyDescent="0.55000000000000004">
      <c r="A30" s="180" t="s">
        <v>128</v>
      </c>
      <c r="B30" s="185" t="s">
        <v>528</v>
      </c>
      <c r="D30" s="184">
        <v>229853</v>
      </c>
      <c r="E30" s="216">
        <v>40355</v>
      </c>
      <c r="F30" s="216"/>
      <c r="G30" s="184">
        <v>13935</v>
      </c>
      <c r="H30" s="217">
        <f t="shared" si="0"/>
        <v>256273</v>
      </c>
    </row>
    <row r="31" spans="1:8" ht="18" customHeight="1" x14ac:dyDescent="0.55000000000000004">
      <c r="A31" s="180" t="s">
        <v>130</v>
      </c>
      <c r="B31" s="185" t="s">
        <v>529</v>
      </c>
      <c r="D31" s="184">
        <v>70600.91</v>
      </c>
      <c r="E31" s="216">
        <v>45078.68</v>
      </c>
      <c r="F31" s="216"/>
      <c r="G31" s="184"/>
      <c r="H31" s="217">
        <f t="shared" si="0"/>
        <v>115679.59</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3282324.83</v>
      </c>
      <c r="E36" s="217">
        <f>SUM(E21:E34)</f>
        <v>522662.45517499995</v>
      </c>
      <c r="F36" s="217">
        <f>SUM(F21:F34)</f>
        <v>810039.62</v>
      </c>
      <c r="G36" s="217">
        <f>SUM(G21:G34)</f>
        <v>151326.56</v>
      </c>
      <c r="H36" s="217">
        <f>SUM(H21:H34)</f>
        <v>2843621.1051749997</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216">
        <v>7858083</v>
      </c>
      <c r="E40" s="216">
        <v>5206854.58</v>
      </c>
      <c r="F40" s="216"/>
      <c r="G40" s="184">
        <v>507258</v>
      </c>
      <c r="H40" s="217">
        <f>(D40+E40)-F40-G40</f>
        <v>12557679.58</v>
      </c>
    </row>
    <row r="41" spans="1:8" ht="18" customHeight="1" x14ac:dyDescent="0.55000000000000004">
      <c r="A41" s="180" t="s">
        <v>251</v>
      </c>
      <c r="B41" s="176" t="s">
        <v>141</v>
      </c>
      <c r="D41" s="184">
        <v>2172280</v>
      </c>
      <c r="E41" s="216">
        <v>1387000.78</v>
      </c>
      <c r="F41" s="216"/>
      <c r="G41" s="184"/>
      <c r="H41" s="217">
        <f>(D41+E41)-F41-G41</f>
        <v>3559280.7800000003</v>
      </c>
    </row>
    <row r="42" spans="1:8" ht="18" customHeight="1" x14ac:dyDescent="0.55000000000000004">
      <c r="A42" s="180" t="s">
        <v>252</v>
      </c>
      <c r="B42" s="176" t="s">
        <v>143</v>
      </c>
      <c r="D42" s="216">
        <v>189789</v>
      </c>
      <c r="E42" s="184">
        <v>121180.28</v>
      </c>
      <c r="F42" s="216"/>
      <c r="G42" s="184"/>
      <c r="H42" s="217">
        <f>(E42+D42)-F42-G42</f>
        <v>310969.28000000003</v>
      </c>
    </row>
    <row r="43" spans="1:8" ht="18" customHeight="1" x14ac:dyDescent="0.55000000000000004">
      <c r="A43" s="180" t="s">
        <v>253</v>
      </c>
      <c r="B43" s="176" t="s">
        <v>145</v>
      </c>
      <c r="D43" s="184"/>
      <c r="E43" s="216"/>
      <c r="F43" s="216"/>
      <c r="G43" s="184"/>
      <c r="H43" s="217">
        <f>(D43+E43)-F43-G43</f>
        <v>0</v>
      </c>
    </row>
    <row r="44" spans="1:8" ht="18" customHeight="1" x14ac:dyDescent="0.55000000000000004">
      <c r="A44" s="180" t="s">
        <v>146</v>
      </c>
      <c r="B44" s="185"/>
      <c r="D44" s="219"/>
      <c r="E44" s="220"/>
      <c r="F44" s="220"/>
      <c r="G44" s="219"/>
      <c r="H44" s="217">
        <f>(D44+E44)-F44-G44</f>
        <v>0</v>
      </c>
    </row>
    <row r="45" spans="1:8" ht="18" customHeight="1" x14ac:dyDescent="0.55000000000000004">
      <c r="A45" s="180" t="s">
        <v>147</v>
      </c>
      <c r="B45" s="185"/>
      <c r="D45" s="184"/>
      <c r="E45" s="216"/>
      <c r="F45" s="216"/>
      <c r="G45" s="184"/>
      <c r="H45" s="217">
        <f>(D45+E45)-F45-G45</f>
        <v>0</v>
      </c>
    </row>
    <row r="46" spans="1:8" ht="18" customHeight="1" x14ac:dyDescent="0.55000000000000004">
      <c r="A46" s="180" t="s">
        <v>148</v>
      </c>
      <c r="B46" s="185"/>
      <c r="D46" s="184"/>
      <c r="E46" s="216"/>
      <c r="F46" s="216"/>
      <c r="G46" s="184"/>
      <c r="H46" s="217">
        <f>(D46+E46)-F46-G46</f>
        <v>0</v>
      </c>
    </row>
    <row r="47" spans="1:8" ht="18" customHeight="1" x14ac:dyDescent="0.55000000000000004">
      <c r="A47" s="180" t="s">
        <v>149</v>
      </c>
      <c r="B47" s="185"/>
      <c r="D47" s="184"/>
      <c r="E47" s="216"/>
      <c r="F47" s="216"/>
      <c r="G47" s="184"/>
      <c r="H47" s="217">
        <f>(D47+E47)-F47-G47</f>
        <v>0</v>
      </c>
    </row>
    <row r="49" spans="1:8" ht="18" customHeight="1" x14ac:dyDescent="0.55000000000000004">
      <c r="A49" s="183" t="s">
        <v>150</v>
      </c>
      <c r="B49" s="179" t="s">
        <v>254</v>
      </c>
      <c r="C49" s="179" t="s">
        <v>248</v>
      </c>
      <c r="D49" s="217">
        <f>SUM(D40:D47)</f>
        <v>10220152</v>
      </c>
      <c r="E49" s="217">
        <f>SUM(E40:E47)</f>
        <v>6715035.6400000006</v>
      </c>
      <c r="F49" s="217">
        <f>SUM(F40:F47)</f>
        <v>0</v>
      </c>
      <c r="G49" s="217">
        <f>SUM(G40:G47)</f>
        <v>507258</v>
      </c>
      <c r="H49" s="217">
        <f>SUM(H40:H47)</f>
        <v>16427929.639999999</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344">
        <v>33984175.119999997</v>
      </c>
      <c r="E53" s="222"/>
      <c r="F53" s="222"/>
      <c r="G53" s="344"/>
      <c r="H53" s="217">
        <f>(D53+E53)-F53-G53</f>
        <v>33984175.119999997</v>
      </c>
    </row>
    <row r="54" spans="1:8" ht="18" customHeight="1" x14ac:dyDescent="0.55000000000000004">
      <c r="A54" s="180" t="s">
        <v>259</v>
      </c>
      <c r="B54" s="193" t="s">
        <v>530</v>
      </c>
      <c r="D54" s="184">
        <v>91792.33</v>
      </c>
      <c r="E54" s="216"/>
      <c r="F54" s="216"/>
      <c r="G54" s="184"/>
      <c r="H54" s="217">
        <f t="shared" ref="H54:H62" si="1">(D54+E54)-F54-G54</f>
        <v>91792.33</v>
      </c>
    </row>
    <row r="55" spans="1:8" ht="18" customHeight="1" x14ac:dyDescent="0.55000000000000004">
      <c r="A55" s="180" t="s">
        <v>260</v>
      </c>
      <c r="B55" s="226" t="s">
        <v>531</v>
      </c>
      <c r="D55" s="184">
        <v>3111168</v>
      </c>
      <c r="E55" s="216"/>
      <c r="F55" s="216"/>
      <c r="G55" s="184"/>
      <c r="H55" s="217">
        <f t="shared" si="1"/>
        <v>3111168</v>
      </c>
    </row>
    <row r="56" spans="1:8" ht="18" customHeight="1" x14ac:dyDescent="0.55000000000000004">
      <c r="A56" s="180" t="s">
        <v>261</v>
      </c>
      <c r="B56" s="193"/>
      <c r="D56" s="184"/>
      <c r="E56" s="216"/>
      <c r="F56" s="216"/>
      <c r="G56" s="184"/>
      <c r="H56" s="217">
        <f t="shared" si="1"/>
        <v>0</v>
      </c>
    </row>
    <row r="57" spans="1:8" ht="18" customHeight="1" x14ac:dyDescent="0.55000000000000004">
      <c r="A57" s="180" t="s">
        <v>263</v>
      </c>
      <c r="B57" s="193"/>
      <c r="D57" s="184"/>
      <c r="E57" s="216"/>
      <c r="F57" s="216"/>
      <c r="G57" s="184"/>
      <c r="H57" s="217">
        <f t="shared" si="1"/>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1"/>
        <v>0</v>
      </c>
    </row>
    <row r="60" spans="1:8" ht="18" customHeight="1" x14ac:dyDescent="0.55000000000000004">
      <c r="A60" s="180" t="s">
        <v>266</v>
      </c>
      <c r="B60" s="226"/>
      <c r="C60" s="212"/>
      <c r="D60" s="265"/>
      <c r="E60" s="222"/>
      <c r="F60" s="222"/>
      <c r="G60" s="222"/>
      <c r="H60" s="217">
        <f t="shared" si="1"/>
        <v>0</v>
      </c>
    </row>
    <row r="61" spans="1:8" ht="18" customHeight="1" x14ac:dyDescent="0.55000000000000004">
      <c r="A61" s="180" t="s">
        <v>267</v>
      </c>
      <c r="B61" s="226"/>
      <c r="C61" s="212"/>
      <c r="D61" s="265"/>
      <c r="E61" s="222"/>
      <c r="F61" s="222"/>
      <c r="G61" s="222"/>
      <c r="H61" s="217">
        <f t="shared" si="1"/>
        <v>0</v>
      </c>
    </row>
    <row r="62" spans="1:8" ht="18" customHeight="1" x14ac:dyDescent="0.55000000000000004">
      <c r="A62" s="180" t="s">
        <v>268</v>
      </c>
      <c r="B62" s="226"/>
      <c r="C62" s="212"/>
      <c r="D62" s="222"/>
      <c r="E62" s="222"/>
      <c r="F62" s="222"/>
      <c r="G62" s="222"/>
      <c r="H62" s="217">
        <f t="shared" si="1"/>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37187135.449999996</v>
      </c>
      <c r="E64" s="217">
        <f>SUM(E53:E62)</f>
        <v>0</v>
      </c>
      <c r="F64" s="217">
        <f>SUM(F53:F62)</f>
        <v>0</v>
      </c>
      <c r="G64" s="217">
        <f>SUM(G53:G62)</f>
        <v>0</v>
      </c>
      <c r="H64" s="217">
        <f>SUM(H53:H62)</f>
        <v>37187135.449999996</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184">
        <v>113018.14</v>
      </c>
      <c r="E68" s="216">
        <v>72162.080000000002</v>
      </c>
      <c r="F68" s="216"/>
      <c r="G68" s="228"/>
      <c r="H68" s="217">
        <f>(D68+E68)-F68-G68</f>
        <v>185180.22</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113018.14</v>
      </c>
      <c r="E74" s="229">
        <f>SUM(E68:E72)</f>
        <v>72162.080000000002</v>
      </c>
      <c r="F74" s="229">
        <f>SUM(F68:F72)</f>
        <v>0</v>
      </c>
      <c r="G74" s="217">
        <f>SUM(G68:G72)</f>
        <v>0</v>
      </c>
      <c r="H74" s="217">
        <f>SUM(H68:H72)</f>
        <v>185180.22</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v>17583.599999999999</v>
      </c>
      <c r="E79" s="230">
        <v>4842.13</v>
      </c>
      <c r="F79" s="220"/>
      <c r="G79" s="184"/>
      <c r="H79" s="217">
        <f>(D79-F79-G79)</f>
        <v>17583.599999999999</v>
      </c>
    </row>
    <row r="80" spans="1:10" ht="18" customHeight="1" x14ac:dyDescent="0.55000000000000004">
      <c r="A80" s="180" t="s">
        <v>283</v>
      </c>
      <c r="B80" s="176" t="s">
        <v>170</v>
      </c>
      <c r="D80" s="184">
        <v>2511530</v>
      </c>
      <c r="E80" s="230"/>
      <c r="F80" s="220"/>
      <c r="G80" s="184"/>
      <c r="H80" s="217">
        <f>(D80-F80-G80)</f>
        <v>2511530</v>
      </c>
    </row>
    <row r="81" spans="1:8" ht="18" customHeight="1" x14ac:dyDescent="0.55000000000000004">
      <c r="A81" s="180"/>
      <c r="H81" s="196"/>
    </row>
    <row r="82" spans="1:8" ht="18" customHeight="1" x14ac:dyDescent="0.55000000000000004">
      <c r="A82" s="180" t="s">
        <v>171</v>
      </c>
      <c r="B82" s="179" t="s">
        <v>284</v>
      </c>
      <c r="C82" s="179" t="s">
        <v>248</v>
      </c>
      <c r="D82" s="217">
        <f>SUM(D77:D80)</f>
        <v>2529113.6</v>
      </c>
      <c r="E82" s="231"/>
      <c r="F82" s="217">
        <f>SUM(F77:F80)</f>
        <v>0</v>
      </c>
      <c r="G82" s="217">
        <f>SUM(G77:G80)</f>
        <v>0</v>
      </c>
      <c r="H82" s="217">
        <f>SUM(H77:H80)</f>
        <v>2529113.6</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2">(D87+E87)-F87-G87</f>
        <v>0</v>
      </c>
    </row>
    <row r="88" spans="1:8" ht="18" customHeight="1" x14ac:dyDescent="0.55000000000000004">
      <c r="A88" s="180" t="s">
        <v>288</v>
      </c>
      <c r="B88" s="176" t="s">
        <v>289</v>
      </c>
      <c r="D88" s="184">
        <v>16247</v>
      </c>
      <c r="E88" s="216">
        <v>10373.709999999999</v>
      </c>
      <c r="F88" s="216"/>
      <c r="G88" s="184"/>
      <c r="H88" s="217">
        <f t="shared" si="2"/>
        <v>26620.71</v>
      </c>
    </row>
    <row r="89" spans="1:8" ht="18" customHeight="1" x14ac:dyDescent="0.55000000000000004">
      <c r="A89" s="180" t="s">
        <v>290</v>
      </c>
      <c r="B89" s="176" t="s">
        <v>181</v>
      </c>
      <c r="D89" s="184">
        <v>540</v>
      </c>
      <c r="E89" s="216">
        <v>344.79</v>
      </c>
      <c r="F89" s="216"/>
      <c r="G89" s="184"/>
      <c r="H89" s="217">
        <f t="shared" si="2"/>
        <v>884.79</v>
      </c>
    </row>
    <row r="90" spans="1:8" ht="18" customHeight="1" x14ac:dyDescent="0.55000000000000004">
      <c r="A90" s="180" t="s">
        <v>291</v>
      </c>
      <c r="B90" s="176" t="s">
        <v>183</v>
      </c>
      <c r="D90" s="184">
        <v>17680</v>
      </c>
      <c r="E90" s="216">
        <v>11288.68</v>
      </c>
      <c r="F90" s="216"/>
      <c r="G90" s="184"/>
      <c r="H90" s="217">
        <f t="shared" si="2"/>
        <v>28968.68</v>
      </c>
    </row>
    <row r="91" spans="1:8" ht="18" customHeight="1" x14ac:dyDescent="0.55000000000000004">
      <c r="A91" s="180" t="s">
        <v>292</v>
      </c>
      <c r="B91" s="176" t="s">
        <v>185</v>
      </c>
      <c r="D91" s="184"/>
      <c r="E91" s="216"/>
      <c r="F91" s="216"/>
      <c r="G91" s="184"/>
      <c r="H91" s="217">
        <f t="shared" si="2"/>
        <v>0</v>
      </c>
    </row>
    <row r="92" spans="1:8" ht="18" customHeight="1" x14ac:dyDescent="0.55000000000000004">
      <c r="A92" s="180" t="s">
        <v>293</v>
      </c>
      <c r="B92" s="176" t="s">
        <v>294</v>
      </c>
      <c r="D92" s="233"/>
      <c r="E92" s="216"/>
      <c r="F92" s="234"/>
      <c r="G92" s="233"/>
      <c r="H92" s="217">
        <f t="shared" si="2"/>
        <v>0</v>
      </c>
    </row>
    <row r="93" spans="1:8" ht="18" customHeight="1" x14ac:dyDescent="0.55000000000000004">
      <c r="A93" s="180" t="s">
        <v>295</v>
      </c>
      <c r="B93" s="176" t="s">
        <v>296</v>
      </c>
      <c r="D93" s="184"/>
      <c r="E93" s="216"/>
      <c r="F93" s="216"/>
      <c r="G93" s="184"/>
      <c r="H93" s="217">
        <f t="shared" si="2"/>
        <v>0</v>
      </c>
    </row>
    <row r="94" spans="1:8" ht="18" customHeight="1" x14ac:dyDescent="0.55000000000000004">
      <c r="A94" s="180" t="s">
        <v>297</v>
      </c>
      <c r="B94" s="193" t="s">
        <v>532</v>
      </c>
      <c r="D94" s="184">
        <v>700000</v>
      </c>
      <c r="E94" s="216">
        <v>410760</v>
      </c>
      <c r="F94" s="216"/>
      <c r="G94" s="184"/>
      <c r="H94" s="217">
        <f t="shared" si="2"/>
        <v>1110760</v>
      </c>
    </row>
    <row r="95" spans="1:8" ht="18" customHeight="1" x14ac:dyDescent="0.55000000000000004">
      <c r="A95" s="180" t="s">
        <v>298</v>
      </c>
      <c r="B95" s="193"/>
      <c r="D95" s="184"/>
      <c r="E95" s="216"/>
      <c r="F95" s="216"/>
      <c r="G95" s="184"/>
      <c r="H95" s="217">
        <f t="shared" si="2"/>
        <v>0</v>
      </c>
    </row>
    <row r="96" spans="1:8" ht="18" customHeight="1" x14ac:dyDescent="0.55000000000000004">
      <c r="A96" s="180" t="s">
        <v>299</v>
      </c>
      <c r="B96" s="193"/>
      <c r="D96" s="184"/>
      <c r="E96" s="216"/>
      <c r="F96" s="216"/>
      <c r="G96" s="184"/>
      <c r="H96" s="217">
        <f t="shared" si="2"/>
        <v>0</v>
      </c>
    </row>
    <row r="97" spans="1:8" ht="18" customHeight="1" x14ac:dyDescent="0.55000000000000004">
      <c r="A97" s="180"/>
    </row>
    <row r="98" spans="1:8" ht="18" customHeight="1" x14ac:dyDescent="0.55000000000000004">
      <c r="A98" s="183" t="s">
        <v>193</v>
      </c>
      <c r="B98" s="179" t="s">
        <v>300</v>
      </c>
      <c r="C98" s="179" t="s">
        <v>248</v>
      </c>
      <c r="D98" s="217">
        <f>SUM(D86:D96)</f>
        <v>734467</v>
      </c>
      <c r="E98" s="217">
        <f>SUM(E86:E96)</f>
        <v>432767.18</v>
      </c>
      <c r="F98" s="217">
        <f>SUM(F86:F96)</f>
        <v>0</v>
      </c>
      <c r="G98" s="217">
        <f>SUM(G86:G96)</f>
        <v>0</v>
      </c>
      <c r="H98" s="217">
        <f>SUM(H86:H96)</f>
        <v>1167234.18</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t="s">
        <v>533</v>
      </c>
      <c r="E102" s="216"/>
      <c r="F102" s="216"/>
      <c r="G102" s="184"/>
      <c r="H102" s="217"/>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c r="D104" s="184"/>
      <c r="E104" s="216"/>
      <c r="F104" s="216"/>
      <c r="G104" s="184"/>
      <c r="H104" s="217"/>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0</v>
      </c>
      <c r="E108" s="217">
        <f>SUM(E102:E106)</f>
        <v>0</v>
      </c>
      <c r="F108" s="217">
        <f>SUM(F102:F106)</f>
        <v>0</v>
      </c>
      <c r="G108" s="217">
        <f>SUM(G102:G106)</f>
        <v>0</v>
      </c>
      <c r="H108" s="217">
        <f>SUM(H102:H106)</f>
        <v>0</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c r="G111" s="184"/>
      <c r="H111" s="217">
        <v>3806489</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0.63849999999999996</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611873000</v>
      </c>
      <c r="F117" s="237"/>
    </row>
    <row r="118" spans="1:7" ht="18" customHeight="1" x14ac:dyDescent="0.55000000000000004">
      <c r="A118" s="180" t="s">
        <v>319</v>
      </c>
      <c r="B118" s="176" t="s">
        <v>320</v>
      </c>
      <c r="E118" s="184">
        <v>26580000</v>
      </c>
      <c r="F118" s="237"/>
    </row>
    <row r="119" spans="1:7" ht="18" customHeight="1" x14ac:dyDescent="0.55000000000000004">
      <c r="A119" s="180" t="s">
        <v>321</v>
      </c>
      <c r="B119" s="179" t="s">
        <v>322</v>
      </c>
      <c r="E119" s="217">
        <f>SUM(E117:E118)</f>
        <v>638453000</v>
      </c>
      <c r="F119" s="238"/>
    </row>
    <row r="120" spans="1:7" ht="18" customHeight="1" x14ac:dyDescent="0.55000000000000004">
      <c r="A120" s="180"/>
      <c r="B120" s="179"/>
      <c r="F120" s="212"/>
    </row>
    <row r="121" spans="1:7" ht="18" customHeight="1" x14ac:dyDescent="0.55000000000000004">
      <c r="A121" s="180" t="s">
        <v>323</v>
      </c>
      <c r="B121" s="179" t="s">
        <v>324</v>
      </c>
      <c r="E121" s="184">
        <v>600619000</v>
      </c>
      <c r="F121" s="237"/>
    </row>
    <row r="122" spans="1:7" ht="18" customHeight="1" x14ac:dyDescent="0.55000000000000004">
      <c r="A122" s="180"/>
      <c r="F122" s="212"/>
    </row>
    <row r="123" spans="1:7" ht="18" customHeight="1" x14ac:dyDescent="0.55000000000000004">
      <c r="A123" s="180" t="s">
        <v>325</v>
      </c>
      <c r="B123" s="179" t="s">
        <v>326</v>
      </c>
      <c r="E123" s="184">
        <v>37834000</v>
      </c>
      <c r="F123" s="237"/>
    </row>
    <row r="124" spans="1:7" ht="18" customHeight="1" x14ac:dyDescent="0.55000000000000004">
      <c r="A124" s="180"/>
      <c r="F124" s="212"/>
    </row>
    <row r="125" spans="1:7" ht="18" customHeight="1" x14ac:dyDescent="0.55000000000000004">
      <c r="A125" s="180" t="s">
        <v>327</v>
      </c>
      <c r="B125" s="179" t="s">
        <v>328</v>
      </c>
      <c r="E125" s="184">
        <v>133381000</v>
      </c>
      <c r="F125" s="237"/>
    </row>
    <row r="126" spans="1:7" ht="18" customHeight="1" x14ac:dyDescent="0.55000000000000004">
      <c r="A126" s="180"/>
      <c r="F126" s="212"/>
    </row>
    <row r="127" spans="1:7" ht="18" customHeight="1" x14ac:dyDescent="0.55000000000000004">
      <c r="A127" s="180" t="s">
        <v>329</v>
      </c>
      <c r="B127" s="179" t="s">
        <v>330</v>
      </c>
      <c r="E127" s="184">
        <v>171215000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3282324.83</v>
      </c>
      <c r="E141" s="239">
        <f>E36</f>
        <v>522662.45517499995</v>
      </c>
      <c r="F141" s="239">
        <f>F36</f>
        <v>810039.62</v>
      </c>
      <c r="G141" s="239">
        <f>G36</f>
        <v>151326.56</v>
      </c>
      <c r="H141" s="239">
        <f>H36</f>
        <v>2843621.1051749997</v>
      </c>
    </row>
    <row r="142" spans="1:8" ht="18" customHeight="1" x14ac:dyDescent="0.55000000000000004">
      <c r="A142" s="180" t="s">
        <v>150</v>
      </c>
      <c r="B142" s="179" t="s">
        <v>220</v>
      </c>
      <c r="D142" s="239">
        <f>D49</f>
        <v>10220152</v>
      </c>
      <c r="E142" s="239">
        <f>E49</f>
        <v>6715035.6400000006</v>
      </c>
      <c r="F142" s="239">
        <f>F49</f>
        <v>0</v>
      </c>
      <c r="G142" s="239">
        <f>G49</f>
        <v>507258</v>
      </c>
      <c r="H142" s="239">
        <f>H49</f>
        <v>16427929.639999999</v>
      </c>
    </row>
    <row r="143" spans="1:8" ht="18" customHeight="1" x14ac:dyDescent="0.55000000000000004">
      <c r="A143" s="180" t="s">
        <v>269</v>
      </c>
      <c r="B143" s="179" t="s">
        <v>222</v>
      </c>
      <c r="D143" s="239">
        <f>D64</f>
        <v>37187135.449999996</v>
      </c>
      <c r="E143" s="239">
        <f>E64</f>
        <v>0</v>
      </c>
      <c r="F143" s="239">
        <f>F64</f>
        <v>0</v>
      </c>
      <c r="G143" s="239">
        <f>G64</f>
        <v>0</v>
      </c>
      <c r="H143" s="239">
        <f>H64</f>
        <v>37187135.449999996</v>
      </c>
    </row>
    <row r="144" spans="1:8" ht="18" customHeight="1" x14ac:dyDescent="0.55000000000000004">
      <c r="A144" s="180" t="s">
        <v>161</v>
      </c>
      <c r="B144" s="179" t="s">
        <v>70</v>
      </c>
      <c r="D144" s="239">
        <f>D74</f>
        <v>113018.14</v>
      </c>
      <c r="E144" s="239">
        <f>E74</f>
        <v>72162.080000000002</v>
      </c>
      <c r="F144" s="239">
        <f>F74</f>
        <v>0</v>
      </c>
      <c r="G144" s="239">
        <f>G74</f>
        <v>0</v>
      </c>
      <c r="H144" s="239">
        <f>H74</f>
        <v>185180.22</v>
      </c>
    </row>
    <row r="145" spans="1:8" ht="18" customHeight="1" x14ac:dyDescent="0.55000000000000004">
      <c r="A145" s="180" t="s">
        <v>171</v>
      </c>
      <c r="B145" s="179" t="s">
        <v>69</v>
      </c>
      <c r="D145" s="239">
        <f>D82</f>
        <v>2529113.6</v>
      </c>
      <c r="E145" s="239">
        <f>E82</f>
        <v>0</v>
      </c>
      <c r="F145" s="239">
        <f>F82</f>
        <v>0</v>
      </c>
      <c r="G145" s="239">
        <f>G82</f>
        <v>0</v>
      </c>
      <c r="H145" s="239">
        <f>H82</f>
        <v>2529113.6</v>
      </c>
    </row>
    <row r="146" spans="1:8" ht="18" customHeight="1" x14ac:dyDescent="0.55000000000000004">
      <c r="A146" s="180" t="s">
        <v>193</v>
      </c>
      <c r="B146" s="179" t="s">
        <v>226</v>
      </c>
      <c r="D146" s="239">
        <f>D98</f>
        <v>734467</v>
      </c>
      <c r="E146" s="239">
        <f>E98</f>
        <v>432767.18</v>
      </c>
      <c r="F146" s="239">
        <f>F98</f>
        <v>0</v>
      </c>
      <c r="G146" s="239">
        <f>G98</f>
        <v>0</v>
      </c>
      <c r="H146" s="239">
        <f>H98</f>
        <v>1167234.18</v>
      </c>
    </row>
    <row r="147" spans="1:8" ht="18" customHeight="1" x14ac:dyDescent="0.55000000000000004">
      <c r="A147" s="180" t="s">
        <v>204</v>
      </c>
      <c r="B147" s="179" t="s">
        <v>71</v>
      </c>
      <c r="D147" s="217">
        <f>D108</f>
        <v>0</v>
      </c>
      <c r="E147" s="217">
        <f>E108</f>
        <v>0</v>
      </c>
      <c r="F147" s="217">
        <f>F108</f>
        <v>0</v>
      </c>
      <c r="G147" s="217">
        <f>G108</f>
        <v>0</v>
      </c>
      <c r="H147" s="217">
        <f>H108</f>
        <v>0</v>
      </c>
    </row>
    <row r="148" spans="1:8" ht="18" customHeight="1" x14ac:dyDescent="0.55000000000000004">
      <c r="A148" s="180" t="s">
        <v>310</v>
      </c>
      <c r="B148" s="179" t="s">
        <v>58</v>
      </c>
      <c r="D148" s="240" t="s">
        <v>245</v>
      </c>
      <c r="E148" s="240" t="s">
        <v>245</v>
      </c>
      <c r="F148" s="240"/>
      <c r="G148" s="240" t="s">
        <v>245</v>
      </c>
      <c r="H148" s="239">
        <f>H111</f>
        <v>3806489</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12622278.131712554</v>
      </c>
      <c r="E150" s="217">
        <f>E18</f>
        <v>0</v>
      </c>
      <c r="F150" s="217">
        <f>F18</f>
        <v>0</v>
      </c>
      <c r="G150" s="217">
        <f>G18</f>
        <v>10460967.38940274</v>
      </c>
      <c r="H150" s="217">
        <f>H18</f>
        <v>2161310.7423098143</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66688489.151712552</v>
      </c>
      <c r="E152" s="241">
        <f>SUM(E141:E150)</f>
        <v>7742627.3551750006</v>
      </c>
      <c r="F152" s="241">
        <f>SUM(F141:F150)</f>
        <v>810039.62</v>
      </c>
      <c r="G152" s="241">
        <f>SUM(G141:G150)</f>
        <v>11119551.94940274</v>
      </c>
      <c r="H152" s="241">
        <f>SUM(H141:H150)</f>
        <v>66308013.937484808</v>
      </c>
    </row>
    <row r="154" spans="1:8" ht="18" customHeight="1" x14ac:dyDescent="0.55000000000000004">
      <c r="A154" s="183" t="s">
        <v>339</v>
      </c>
      <c r="B154" s="179" t="s">
        <v>340</v>
      </c>
      <c r="D154" s="242">
        <f>H152/E121</f>
        <v>0.11039946111842085</v>
      </c>
    </row>
    <row r="155" spans="1:8" ht="18" customHeight="1" x14ac:dyDescent="0.55000000000000004">
      <c r="A155" s="183" t="s">
        <v>341</v>
      </c>
      <c r="B155" s="179" t="s">
        <v>342</v>
      </c>
      <c r="D155" s="242">
        <f>H152/E127</f>
        <v>0.3872792333468727</v>
      </c>
    </row>
  </sheetData>
  <mergeCells count="2">
    <mergeCell ref="C2:D2"/>
    <mergeCell ref="B13:D13"/>
  </mergeCells>
  <hyperlinks>
    <hyperlink ref="C11" r:id="rId1" xr:uid="{92F26953-E5F3-44D6-AE7D-DE428457978D}"/>
  </hyperlinks>
  <pageMargins left="0.7" right="0.7" top="0.75" bottom="0.75" header="0.3" footer="0.3"/>
  <pageSetup orientation="portrait" horizontalDpi="1200" verticalDpi="1200"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90600-5073-4DF8-B1C2-DC4D0C21661D}">
  <sheetPr codeName="Sheet29"/>
  <dimension ref="A1:N158"/>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1" width="11.26171875" style="176" bestFit="1" customWidth="1"/>
    <col min="12" max="12" width="9" style="176"/>
    <col min="13" max="13" width="10.26171875" style="176" bestFit="1" customWidth="1"/>
    <col min="14" max="14" width="11.26171875" style="176" bestFit="1" customWidth="1"/>
    <col min="15" max="16384" width="9" style="176"/>
  </cols>
  <sheetData>
    <row r="1" spans="1:8" ht="18" customHeight="1" x14ac:dyDescent="0.55000000000000004">
      <c r="C1" s="177"/>
      <c r="D1" s="177"/>
      <c r="E1" s="177"/>
      <c r="F1" s="177"/>
      <c r="G1" s="177"/>
      <c r="H1" s="177"/>
    </row>
    <row r="2" spans="1:8" ht="18" customHeight="1" x14ac:dyDescent="0.55000000000000004">
      <c r="C2" s="517" t="s">
        <v>699</v>
      </c>
      <c r="D2" s="518"/>
      <c r="E2" s="518"/>
      <c r="F2" s="518"/>
      <c r="G2" s="518"/>
    </row>
    <row r="3" spans="1:8" ht="18" customHeight="1" x14ac:dyDescent="0.55000000000000004">
      <c r="B3" s="179" t="s">
        <v>235</v>
      </c>
    </row>
    <row r="5" spans="1:8" ht="18" customHeight="1" x14ac:dyDescent="0.55000000000000004">
      <c r="B5" s="180" t="s">
        <v>236</v>
      </c>
      <c r="C5" s="501" t="s">
        <v>26</v>
      </c>
      <c r="D5" s="501"/>
      <c r="E5" s="501"/>
      <c r="F5" s="208"/>
    </row>
    <row r="6" spans="1:8" ht="18" customHeight="1" x14ac:dyDescent="0.55000000000000004">
      <c r="B6" s="180" t="s">
        <v>237</v>
      </c>
      <c r="C6" s="516">
        <v>210024</v>
      </c>
      <c r="D6" s="516"/>
      <c r="E6" s="516"/>
      <c r="F6" s="209"/>
    </row>
    <row r="7" spans="1:8" ht="18" customHeight="1" x14ac:dyDescent="0.55000000000000004">
      <c r="B7" s="180" t="s">
        <v>238</v>
      </c>
      <c r="C7" s="361" t="s">
        <v>708</v>
      </c>
      <c r="D7" s="245"/>
      <c r="E7" s="245"/>
      <c r="F7" s="210"/>
    </row>
    <row r="8" spans="1:8" ht="18" customHeight="1" x14ac:dyDescent="0.55000000000000004">
      <c r="C8" s="361"/>
      <c r="D8" s="255"/>
      <c r="E8" s="255"/>
      <c r="F8" s="212"/>
    </row>
    <row r="9" spans="1:8" ht="18" customHeight="1" x14ac:dyDescent="0.55000000000000004">
      <c r="B9" s="180" t="s">
        <v>239</v>
      </c>
      <c r="C9" s="361" t="s">
        <v>701</v>
      </c>
      <c r="D9" s="361"/>
      <c r="E9" s="361"/>
      <c r="F9" s="208"/>
    </row>
    <row r="10" spans="1:8" ht="18" customHeight="1" x14ac:dyDescent="0.55000000000000004">
      <c r="B10" s="180" t="s">
        <v>241</v>
      </c>
      <c r="C10" s="256" t="s">
        <v>702</v>
      </c>
      <c r="D10" s="256"/>
      <c r="E10" s="256"/>
      <c r="F10" s="213"/>
    </row>
    <row r="11" spans="1:8" ht="18" customHeight="1" x14ac:dyDescent="0.55000000000000004">
      <c r="B11" s="180" t="s">
        <v>243</v>
      </c>
      <c r="C11" s="521" t="s">
        <v>704</v>
      </c>
      <c r="D11" s="521"/>
      <c r="E11" s="52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8032218.3675583303</v>
      </c>
      <c r="E18" s="214"/>
      <c r="F18" s="214"/>
      <c r="G18" s="214">
        <v>6656862.852394551</v>
      </c>
      <c r="H18" s="215">
        <f>(D18+E18)-G18</f>
        <v>1375355.5151637793</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123525</v>
      </c>
      <c r="E21" s="184">
        <v>0</v>
      </c>
      <c r="F21" s="216"/>
      <c r="G21" s="184">
        <v>0</v>
      </c>
      <c r="H21" s="217">
        <v>123525</v>
      </c>
    </row>
    <row r="22" spans="1:8" ht="18" customHeight="1" x14ac:dyDescent="0.55000000000000004">
      <c r="A22" s="180" t="s">
        <v>112</v>
      </c>
      <c r="B22" s="176" t="s">
        <v>113</v>
      </c>
      <c r="D22" s="184"/>
      <c r="E22" s="184"/>
      <c r="F22" s="216"/>
      <c r="G22" s="184"/>
      <c r="H22" s="217">
        <v>0</v>
      </c>
    </row>
    <row r="23" spans="1:8" ht="18" customHeight="1" x14ac:dyDescent="0.55000000000000004">
      <c r="A23" s="180" t="s">
        <v>114</v>
      </c>
      <c r="B23" s="176" t="s">
        <v>115</v>
      </c>
      <c r="D23" s="184">
        <v>3735</v>
      </c>
      <c r="E23" s="184">
        <v>0</v>
      </c>
      <c r="F23" s="216"/>
      <c r="G23" s="184">
        <v>0</v>
      </c>
      <c r="H23" s="217">
        <v>3735</v>
      </c>
    </row>
    <row r="24" spans="1:8" ht="18" customHeight="1" x14ac:dyDescent="0.55000000000000004">
      <c r="A24" s="180" t="s">
        <v>116</v>
      </c>
      <c r="B24" s="176" t="s">
        <v>117</v>
      </c>
      <c r="D24" s="184">
        <v>51245</v>
      </c>
      <c r="E24" s="184">
        <v>37973</v>
      </c>
      <c r="F24" s="216"/>
      <c r="G24" s="184">
        <v>51425</v>
      </c>
      <c r="H24" s="217">
        <v>37793</v>
      </c>
    </row>
    <row r="25" spans="1:8" ht="18" customHeight="1" x14ac:dyDescent="0.55000000000000004">
      <c r="A25" s="180" t="s">
        <v>118</v>
      </c>
      <c r="B25" s="176" t="s">
        <v>119</v>
      </c>
      <c r="D25" s="184"/>
      <c r="E25" s="184"/>
      <c r="F25" s="216"/>
      <c r="G25" s="184"/>
      <c r="H25" s="217">
        <v>0</v>
      </c>
    </row>
    <row r="26" spans="1:8" ht="18" customHeight="1" x14ac:dyDescent="0.55000000000000004">
      <c r="A26" s="180" t="s">
        <v>120</v>
      </c>
      <c r="B26" s="176" t="s">
        <v>121</v>
      </c>
      <c r="D26" s="184"/>
      <c r="E26" s="184"/>
      <c r="F26" s="216"/>
      <c r="G26" s="184"/>
      <c r="H26" s="217">
        <v>0</v>
      </c>
    </row>
    <row r="27" spans="1:8" ht="18" customHeight="1" x14ac:dyDescent="0.55000000000000004">
      <c r="A27" s="180" t="s">
        <v>122</v>
      </c>
      <c r="B27" s="176" t="s">
        <v>246</v>
      </c>
      <c r="D27" s="184">
        <v>96428</v>
      </c>
      <c r="E27" s="184">
        <v>0</v>
      </c>
      <c r="F27" s="216"/>
      <c r="G27" s="184">
        <v>0</v>
      </c>
      <c r="H27" s="217">
        <v>96428</v>
      </c>
    </row>
    <row r="28" spans="1:8" ht="18" customHeight="1" x14ac:dyDescent="0.55000000000000004">
      <c r="A28" s="180" t="s">
        <v>124</v>
      </c>
      <c r="B28" s="176" t="s">
        <v>125</v>
      </c>
      <c r="D28" s="184"/>
      <c r="E28" s="184"/>
      <c r="F28" s="216"/>
      <c r="G28" s="184"/>
      <c r="H28" s="217">
        <v>0</v>
      </c>
    </row>
    <row r="29" spans="1:8" ht="18" customHeight="1" x14ac:dyDescent="0.55000000000000004">
      <c r="A29" s="180" t="s">
        <v>126</v>
      </c>
      <c r="B29" s="176" t="s">
        <v>127</v>
      </c>
      <c r="D29" s="184">
        <v>774450</v>
      </c>
      <c r="E29" s="184">
        <v>153915</v>
      </c>
      <c r="F29" s="216"/>
      <c r="G29" s="184">
        <v>0</v>
      </c>
      <c r="H29" s="217">
        <v>928365</v>
      </c>
    </row>
    <row r="30" spans="1:8" ht="18" customHeight="1" x14ac:dyDescent="0.55000000000000004">
      <c r="A30" s="180" t="s">
        <v>128</v>
      </c>
      <c r="B30" s="185"/>
      <c r="D30" s="184"/>
      <c r="E30" s="216"/>
      <c r="F30" s="216"/>
      <c r="G30" s="184"/>
      <c r="H30" s="217">
        <v>0</v>
      </c>
    </row>
    <row r="31" spans="1:8" ht="18" customHeight="1" x14ac:dyDescent="0.55000000000000004">
      <c r="A31" s="180" t="s">
        <v>130</v>
      </c>
      <c r="B31" s="185"/>
      <c r="D31" s="184"/>
      <c r="E31" s="216"/>
      <c r="F31" s="216"/>
      <c r="G31" s="184"/>
      <c r="H31" s="217">
        <v>0</v>
      </c>
    </row>
    <row r="32" spans="1:8" ht="18" customHeight="1" x14ac:dyDescent="0.55000000000000004">
      <c r="A32" s="180" t="s">
        <v>131</v>
      </c>
      <c r="B32" s="185"/>
      <c r="D32" s="184"/>
      <c r="E32" s="216"/>
      <c r="F32" s="216"/>
      <c r="G32" s="184"/>
      <c r="H32" s="217">
        <v>0</v>
      </c>
    </row>
    <row r="33" spans="1:8" ht="18" customHeight="1" x14ac:dyDescent="0.55000000000000004">
      <c r="A33" s="180" t="s">
        <v>132</v>
      </c>
      <c r="B33" s="185"/>
      <c r="D33" s="184"/>
      <c r="E33" s="216"/>
      <c r="F33" s="216"/>
      <c r="G33" s="184"/>
      <c r="H33" s="217">
        <v>0</v>
      </c>
    </row>
    <row r="34" spans="1:8" ht="18" customHeight="1" x14ac:dyDescent="0.55000000000000004">
      <c r="A34" s="180" t="s">
        <v>133</v>
      </c>
      <c r="B34" s="185"/>
      <c r="D34" s="184"/>
      <c r="E34" s="216"/>
      <c r="F34" s="216"/>
      <c r="G34" s="184"/>
      <c r="H34" s="217">
        <v>0</v>
      </c>
    </row>
    <row r="35" spans="1:8" ht="18" customHeight="1" x14ac:dyDescent="0.55000000000000004">
      <c r="H35" s="186"/>
    </row>
    <row r="36" spans="1:8" ht="18" customHeight="1" x14ac:dyDescent="0.55000000000000004">
      <c r="A36" s="183" t="s">
        <v>134</v>
      </c>
      <c r="B36" s="179" t="s">
        <v>135</v>
      </c>
      <c r="C36" s="179" t="s">
        <v>248</v>
      </c>
      <c r="D36" s="217">
        <v>1049383</v>
      </c>
      <c r="E36" s="217">
        <v>191888</v>
      </c>
      <c r="F36" s="217">
        <v>0</v>
      </c>
      <c r="G36" s="217">
        <v>51425</v>
      </c>
      <c r="H36" s="217">
        <v>1189846</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11769942</v>
      </c>
      <c r="E40" s="184">
        <v>8721527</v>
      </c>
      <c r="F40" s="216"/>
      <c r="G40" s="184">
        <v>0</v>
      </c>
      <c r="H40" s="217">
        <v>20491469</v>
      </c>
    </row>
    <row r="41" spans="1:8" ht="18" customHeight="1" x14ac:dyDescent="0.55000000000000004">
      <c r="A41" s="180" t="s">
        <v>251</v>
      </c>
      <c r="B41" s="176" t="s">
        <v>141</v>
      </c>
      <c r="D41" s="184">
        <v>517127</v>
      </c>
      <c r="E41" s="184">
        <v>383192</v>
      </c>
      <c r="F41" s="216"/>
      <c r="G41" s="184">
        <v>0</v>
      </c>
      <c r="H41" s="217">
        <v>900319</v>
      </c>
    </row>
    <row r="42" spans="1:8" ht="18" customHeight="1" x14ac:dyDescent="0.55000000000000004">
      <c r="A42" s="180" t="s">
        <v>252</v>
      </c>
      <c r="B42" s="176" t="s">
        <v>143</v>
      </c>
      <c r="D42" s="184"/>
      <c r="E42" s="216"/>
      <c r="F42" s="216"/>
      <c r="G42" s="184"/>
      <c r="H42" s="217">
        <v>0</v>
      </c>
    </row>
    <row r="43" spans="1:8" ht="18" customHeight="1" x14ac:dyDescent="0.55000000000000004">
      <c r="A43" s="180" t="s">
        <v>253</v>
      </c>
      <c r="B43" s="176" t="s">
        <v>145</v>
      </c>
      <c r="D43" s="184"/>
      <c r="E43" s="216"/>
      <c r="F43" s="216"/>
      <c r="G43" s="184"/>
      <c r="H43" s="217">
        <v>0</v>
      </c>
    </row>
    <row r="44" spans="1:8" ht="18" customHeight="1" x14ac:dyDescent="0.55000000000000004">
      <c r="A44" s="180" t="s">
        <v>146</v>
      </c>
      <c r="B44" s="185"/>
      <c r="D44" s="219"/>
      <c r="E44" s="220"/>
      <c r="F44" s="220"/>
      <c r="G44" s="219"/>
      <c r="H44" s="217">
        <v>0</v>
      </c>
    </row>
    <row r="45" spans="1:8" ht="18" customHeight="1" x14ac:dyDescent="0.55000000000000004">
      <c r="A45" s="180" t="s">
        <v>147</v>
      </c>
      <c r="B45" s="185"/>
      <c r="D45" s="184"/>
      <c r="E45" s="216"/>
      <c r="F45" s="216"/>
      <c r="G45" s="184"/>
      <c r="H45" s="217">
        <v>0</v>
      </c>
    </row>
    <row r="46" spans="1:8" ht="18" customHeight="1" x14ac:dyDescent="0.55000000000000004">
      <c r="A46" s="180" t="s">
        <v>148</v>
      </c>
      <c r="B46" s="185"/>
      <c r="D46" s="184"/>
      <c r="E46" s="216"/>
      <c r="F46" s="216"/>
      <c r="G46" s="184"/>
      <c r="H46" s="217">
        <v>0</v>
      </c>
    </row>
    <row r="47" spans="1:8" ht="18" customHeight="1" x14ac:dyDescent="0.55000000000000004">
      <c r="A47" s="180" t="s">
        <v>149</v>
      </c>
      <c r="B47" s="185"/>
      <c r="D47" s="184"/>
      <c r="E47" s="216"/>
      <c r="F47" s="216"/>
      <c r="G47" s="184"/>
      <c r="H47" s="217">
        <v>0</v>
      </c>
    </row>
    <row r="49" spans="1:8" ht="18" customHeight="1" x14ac:dyDescent="0.55000000000000004">
      <c r="A49" s="183" t="s">
        <v>150</v>
      </c>
      <c r="B49" s="179" t="s">
        <v>254</v>
      </c>
      <c r="C49" s="179" t="s">
        <v>248</v>
      </c>
      <c r="D49" s="217">
        <v>12287069</v>
      </c>
      <c r="E49" s="217">
        <v>9104719</v>
      </c>
      <c r="F49" s="217">
        <v>0</v>
      </c>
      <c r="G49" s="217">
        <v>0</v>
      </c>
      <c r="H49" s="217">
        <v>21391788</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51">
        <v>7538794.4767180011</v>
      </c>
      <c r="E53" s="184">
        <v>0</v>
      </c>
      <c r="F53" s="222"/>
      <c r="G53" s="251">
        <v>3460111.1799999997</v>
      </c>
      <c r="H53" s="217">
        <v>4078683.2967180014</v>
      </c>
    </row>
    <row r="54" spans="1:8" ht="18" customHeight="1" x14ac:dyDescent="0.55000000000000004">
      <c r="A54" s="180" t="s">
        <v>259</v>
      </c>
      <c r="B54" s="193"/>
      <c r="D54" s="184"/>
      <c r="E54" s="216"/>
      <c r="F54" s="216"/>
      <c r="G54" s="216"/>
      <c r="H54" s="217">
        <v>0</v>
      </c>
    </row>
    <row r="55" spans="1:8" ht="18" customHeight="1" x14ac:dyDescent="0.55000000000000004">
      <c r="A55" s="180" t="s">
        <v>260</v>
      </c>
      <c r="B55" s="194"/>
      <c r="D55" s="184"/>
      <c r="E55" s="216"/>
      <c r="F55" s="216"/>
      <c r="G55" s="216"/>
      <c r="H55" s="217">
        <v>0</v>
      </c>
    </row>
    <row r="56" spans="1:8" ht="18" customHeight="1" x14ac:dyDescent="0.55000000000000004">
      <c r="A56" s="180" t="s">
        <v>261</v>
      </c>
      <c r="B56" s="193"/>
      <c r="D56" s="184"/>
      <c r="E56" s="216"/>
      <c r="F56" s="216"/>
      <c r="G56" s="216"/>
      <c r="H56" s="217">
        <v>0</v>
      </c>
    </row>
    <row r="57" spans="1:8" ht="18" customHeight="1" x14ac:dyDescent="0.55000000000000004">
      <c r="A57" s="180" t="s">
        <v>263</v>
      </c>
      <c r="B57" s="193"/>
      <c r="D57" s="184"/>
      <c r="E57" s="184"/>
      <c r="F57" s="216"/>
      <c r="G57" s="184"/>
      <c r="H57" s="217">
        <v>0</v>
      </c>
    </row>
    <row r="58" spans="1:8" ht="18" customHeight="1" x14ac:dyDescent="0.55000000000000004">
      <c r="A58" s="180" t="s">
        <v>264</v>
      </c>
      <c r="B58" s="193"/>
      <c r="D58" s="184"/>
      <c r="E58" s="216"/>
      <c r="F58" s="216"/>
      <c r="G58" s="184"/>
      <c r="H58" s="217">
        <v>0</v>
      </c>
    </row>
    <row r="59" spans="1:8" ht="18" customHeight="1" x14ac:dyDescent="0.55000000000000004">
      <c r="A59" s="180" t="s">
        <v>265</v>
      </c>
      <c r="B59" s="223"/>
      <c r="D59" s="224"/>
      <c r="E59" s="225"/>
      <c r="F59" s="225"/>
      <c r="G59" s="224"/>
      <c r="H59" s="217">
        <v>0</v>
      </c>
    </row>
    <row r="60" spans="1:8" ht="18" customHeight="1" x14ac:dyDescent="0.55000000000000004">
      <c r="A60" s="180" t="s">
        <v>266</v>
      </c>
      <c r="B60" s="226"/>
      <c r="C60" s="212"/>
      <c r="D60" s="222"/>
      <c r="E60" s="222"/>
      <c r="F60" s="222"/>
      <c r="G60" s="222"/>
      <c r="H60" s="217">
        <v>0</v>
      </c>
    </row>
    <row r="61" spans="1:8" ht="18" customHeight="1" x14ac:dyDescent="0.55000000000000004">
      <c r="A61" s="180" t="s">
        <v>267</v>
      </c>
      <c r="B61" s="226"/>
      <c r="C61" s="212"/>
      <c r="D61" s="222"/>
      <c r="E61" s="222"/>
      <c r="F61" s="222"/>
      <c r="G61" s="222"/>
      <c r="H61" s="217">
        <v>0</v>
      </c>
    </row>
    <row r="62" spans="1:8" ht="18" customHeight="1" x14ac:dyDescent="0.55000000000000004">
      <c r="A62" s="180" t="s">
        <v>268</v>
      </c>
      <c r="B62" s="226"/>
      <c r="C62" s="212"/>
      <c r="D62" s="222"/>
      <c r="E62" s="222"/>
      <c r="F62" s="222"/>
      <c r="G62" s="222"/>
      <c r="H62" s="217">
        <v>0</v>
      </c>
    </row>
    <row r="63" spans="1:8" ht="18" customHeight="1" x14ac:dyDescent="0.55000000000000004">
      <c r="A63" s="180"/>
      <c r="E63" s="227"/>
      <c r="F63" s="192"/>
    </row>
    <row r="64" spans="1:8" ht="18" customHeight="1" x14ac:dyDescent="0.55000000000000004">
      <c r="A64" s="180" t="s">
        <v>269</v>
      </c>
      <c r="B64" s="179" t="s">
        <v>270</v>
      </c>
      <c r="C64" s="179" t="s">
        <v>248</v>
      </c>
      <c r="D64" s="217">
        <v>7538794.4767180011</v>
      </c>
      <c r="E64" s="217">
        <v>0</v>
      </c>
      <c r="F64" s="217">
        <v>0</v>
      </c>
      <c r="G64" s="217">
        <v>3460111.1799999997</v>
      </c>
      <c r="H64" s="217">
        <v>4078683.2967180014</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184">
        <v>1431563</v>
      </c>
      <c r="E68" s="184">
        <v>1060788</v>
      </c>
      <c r="F68" s="216"/>
      <c r="G68" s="184">
        <v>77112</v>
      </c>
      <c r="H68" s="217">
        <v>2415239</v>
      </c>
      <c r="J68" s="254"/>
    </row>
    <row r="69" spans="1:10" ht="18" customHeight="1" x14ac:dyDescent="0.55000000000000004">
      <c r="A69" s="180" t="s">
        <v>273</v>
      </c>
      <c r="B69" s="176" t="s">
        <v>159</v>
      </c>
      <c r="D69" s="228"/>
      <c r="E69" s="216"/>
      <c r="F69" s="216"/>
      <c r="G69" s="228"/>
      <c r="H69" s="217">
        <v>0</v>
      </c>
    </row>
    <row r="70" spans="1:10" ht="18" customHeight="1" x14ac:dyDescent="0.55000000000000004">
      <c r="A70" s="180" t="s">
        <v>274</v>
      </c>
      <c r="B70" s="193"/>
      <c r="C70" s="179"/>
      <c r="D70" s="224"/>
      <c r="E70" s="216"/>
      <c r="F70" s="225"/>
      <c r="G70" s="224"/>
      <c r="H70" s="217">
        <v>0</v>
      </c>
    </row>
    <row r="71" spans="1:10" ht="18" customHeight="1" x14ac:dyDescent="0.55000000000000004">
      <c r="A71" s="180" t="s">
        <v>275</v>
      </c>
      <c r="B71" s="193"/>
      <c r="C71" s="179"/>
      <c r="D71" s="224"/>
      <c r="E71" s="216"/>
      <c r="F71" s="225"/>
      <c r="G71" s="224"/>
      <c r="H71" s="217">
        <v>0</v>
      </c>
    </row>
    <row r="72" spans="1:10" ht="18" customHeight="1" x14ac:dyDescent="0.55000000000000004">
      <c r="A72" s="180" t="s">
        <v>276</v>
      </c>
      <c r="B72" s="194"/>
      <c r="C72" s="179"/>
      <c r="D72" s="184"/>
      <c r="E72" s="216"/>
      <c r="F72" s="216"/>
      <c r="G72" s="184"/>
      <c r="H72" s="217">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v>1431563</v>
      </c>
      <c r="E74" s="229">
        <v>1060788</v>
      </c>
      <c r="F74" s="229">
        <v>0</v>
      </c>
      <c r="G74" s="217">
        <v>77112</v>
      </c>
      <c r="H74" s="217">
        <v>2415239</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48037</v>
      </c>
      <c r="E77" s="230"/>
      <c r="F77" s="220"/>
      <c r="G77" s="184"/>
      <c r="H77" s="217">
        <v>48037</v>
      </c>
    </row>
    <row r="78" spans="1:10" ht="18" customHeight="1" x14ac:dyDescent="0.55000000000000004">
      <c r="A78" s="180" t="s">
        <v>281</v>
      </c>
      <c r="B78" s="176" t="s">
        <v>166</v>
      </c>
      <c r="D78" s="184"/>
      <c r="E78" s="230"/>
      <c r="F78" s="220"/>
      <c r="G78" s="184"/>
      <c r="H78" s="217">
        <v>0</v>
      </c>
    </row>
    <row r="79" spans="1:10" ht="18" customHeight="1" x14ac:dyDescent="0.55000000000000004">
      <c r="A79" s="180" t="s">
        <v>282</v>
      </c>
      <c r="B79" s="176" t="s">
        <v>168</v>
      </c>
      <c r="D79" s="184">
        <v>143986</v>
      </c>
      <c r="E79" s="230"/>
      <c r="F79" s="220"/>
      <c r="G79" s="184"/>
      <c r="H79" s="217">
        <v>143986</v>
      </c>
    </row>
    <row r="80" spans="1:10" ht="18" customHeight="1" x14ac:dyDescent="0.55000000000000004">
      <c r="A80" s="180" t="s">
        <v>283</v>
      </c>
      <c r="B80" s="176" t="s">
        <v>170</v>
      </c>
      <c r="D80" s="184"/>
      <c r="E80" s="230"/>
      <c r="F80" s="220"/>
      <c r="G80" s="184"/>
      <c r="H80" s="217">
        <v>0</v>
      </c>
    </row>
    <row r="81" spans="1:8" ht="18" customHeight="1" x14ac:dyDescent="0.55000000000000004">
      <c r="A81" s="180"/>
      <c r="H81" s="196"/>
    </row>
    <row r="82" spans="1:8" ht="18" customHeight="1" x14ac:dyDescent="0.55000000000000004">
      <c r="A82" s="180" t="s">
        <v>171</v>
      </c>
      <c r="B82" s="179" t="s">
        <v>284</v>
      </c>
      <c r="C82" s="179" t="s">
        <v>248</v>
      </c>
      <c r="D82" s="217">
        <v>192023</v>
      </c>
      <c r="E82" s="231"/>
      <c r="F82" s="217">
        <v>0</v>
      </c>
      <c r="G82" s="217">
        <v>0</v>
      </c>
      <c r="H82" s="217">
        <v>192023</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v>58000</v>
      </c>
      <c r="E86" s="184">
        <v>0</v>
      </c>
      <c r="F86" s="216"/>
      <c r="G86" s="184">
        <v>0</v>
      </c>
      <c r="H86" s="217">
        <v>58000</v>
      </c>
    </row>
    <row r="87" spans="1:8" ht="18" customHeight="1" x14ac:dyDescent="0.55000000000000004">
      <c r="A87" s="180" t="s">
        <v>287</v>
      </c>
      <c r="B87" s="176" t="s">
        <v>177</v>
      </c>
      <c r="D87" s="184"/>
      <c r="E87" s="184"/>
      <c r="F87" s="216"/>
      <c r="G87" s="184"/>
      <c r="H87" s="217">
        <v>0</v>
      </c>
    </row>
    <row r="88" spans="1:8" ht="18" customHeight="1" x14ac:dyDescent="0.55000000000000004">
      <c r="A88" s="180" t="s">
        <v>288</v>
      </c>
      <c r="B88" s="176" t="s">
        <v>289</v>
      </c>
      <c r="D88" s="184">
        <v>11666</v>
      </c>
      <c r="E88" s="184">
        <v>0</v>
      </c>
      <c r="F88" s="216"/>
      <c r="G88" s="184">
        <v>0</v>
      </c>
      <c r="H88" s="217">
        <v>11666</v>
      </c>
    </row>
    <row r="89" spans="1:8" ht="18" customHeight="1" x14ac:dyDescent="0.55000000000000004">
      <c r="A89" s="180" t="s">
        <v>290</v>
      </c>
      <c r="B89" s="176" t="s">
        <v>181</v>
      </c>
      <c r="D89" s="184"/>
      <c r="E89" s="184"/>
      <c r="F89" s="216"/>
      <c r="G89" s="184"/>
      <c r="H89" s="217">
        <v>0</v>
      </c>
    </row>
    <row r="90" spans="1:8" ht="18" customHeight="1" x14ac:dyDescent="0.55000000000000004">
      <c r="A90" s="180" t="s">
        <v>291</v>
      </c>
      <c r="B90" s="176" t="s">
        <v>183</v>
      </c>
      <c r="D90" s="184"/>
      <c r="E90" s="184"/>
      <c r="F90" s="216"/>
      <c r="G90" s="184"/>
      <c r="H90" s="217">
        <v>0</v>
      </c>
    </row>
    <row r="91" spans="1:8" ht="18" customHeight="1" x14ac:dyDescent="0.55000000000000004">
      <c r="A91" s="180" t="s">
        <v>292</v>
      </c>
      <c r="B91" s="176" t="s">
        <v>185</v>
      </c>
      <c r="D91" s="184"/>
      <c r="E91" s="184"/>
      <c r="F91" s="216"/>
      <c r="G91" s="184"/>
      <c r="H91" s="217">
        <v>0</v>
      </c>
    </row>
    <row r="92" spans="1:8" ht="18" customHeight="1" x14ac:dyDescent="0.55000000000000004">
      <c r="A92" s="180" t="s">
        <v>293</v>
      </c>
      <c r="B92" s="176" t="s">
        <v>294</v>
      </c>
      <c r="D92" s="184">
        <v>42701</v>
      </c>
      <c r="E92" s="184">
        <v>0</v>
      </c>
      <c r="F92" s="234"/>
      <c r="G92" s="184">
        <v>0</v>
      </c>
      <c r="H92" s="217">
        <v>42701</v>
      </c>
    </row>
    <row r="93" spans="1:8" ht="18" customHeight="1" x14ac:dyDescent="0.55000000000000004">
      <c r="A93" s="180" t="s">
        <v>295</v>
      </c>
      <c r="B93" s="176" t="s">
        <v>296</v>
      </c>
      <c r="D93" s="184">
        <v>36780</v>
      </c>
      <c r="E93" s="184">
        <v>15991</v>
      </c>
      <c r="F93" s="216"/>
      <c r="G93" s="184">
        <v>0</v>
      </c>
      <c r="H93" s="217">
        <v>52771</v>
      </c>
    </row>
    <row r="94" spans="1:8" ht="18" customHeight="1" x14ac:dyDescent="0.55000000000000004">
      <c r="A94" s="180" t="s">
        <v>297</v>
      </c>
      <c r="B94" s="193"/>
      <c r="D94" s="184"/>
      <c r="E94" s="216"/>
      <c r="F94" s="216"/>
      <c r="G94" s="184"/>
      <c r="H94" s="217">
        <v>0</v>
      </c>
    </row>
    <row r="95" spans="1:8" ht="18" customHeight="1" x14ac:dyDescent="0.55000000000000004">
      <c r="A95" s="180" t="s">
        <v>298</v>
      </c>
      <c r="B95" s="193"/>
      <c r="D95" s="184"/>
      <c r="E95" s="216"/>
      <c r="F95" s="216"/>
      <c r="G95" s="184"/>
      <c r="H95" s="217">
        <v>0</v>
      </c>
    </row>
    <row r="96" spans="1:8" ht="18" customHeight="1" x14ac:dyDescent="0.55000000000000004">
      <c r="A96" s="180" t="s">
        <v>299</v>
      </c>
      <c r="B96" s="193"/>
      <c r="D96" s="184"/>
      <c r="E96" s="216"/>
      <c r="F96" s="216"/>
      <c r="G96" s="184"/>
      <c r="H96" s="217">
        <v>0</v>
      </c>
    </row>
    <row r="97" spans="1:14" ht="18" customHeight="1" x14ac:dyDescent="0.55000000000000004">
      <c r="A97" s="180"/>
    </row>
    <row r="98" spans="1:14" ht="18" customHeight="1" x14ac:dyDescent="0.55000000000000004">
      <c r="A98" s="183" t="s">
        <v>193</v>
      </c>
      <c r="B98" s="179" t="s">
        <v>300</v>
      </c>
      <c r="C98" s="179" t="s">
        <v>248</v>
      </c>
      <c r="D98" s="217">
        <v>149147</v>
      </c>
      <c r="E98" s="217">
        <v>15991</v>
      </c>
      <c r="F98" s="217">
        <v>0</v>
      </c>
      <c r="G98" s="217">
        <v>0</v>
      </c>
      <c r="H98" s="217">
        <v>165138</v>
      </c>
    </row>
    <row r="99" spans="1:14" ht="18" customHeight="1" thickBot="1" x14ac:dyDescent="0.6">
      <c r="B99" s="179"/>
      <c r="D99" s="189"/>
      <c r="E99" s="189"/>
      <c r="F99" s="189"/>
      <c r="G99" s="189"/>
      <c r="H99" s="189"/>
    </row>
    <row r="100" spans="1:14" ht="42.75" customHeight="1" x14ac:dyDescent="0.55000000000000004">
      <c r="D100" s="182" t="s">
        <v>99</v>
      </c>
      <c r="E100" s="182" t="s">
        <v>100</v>
      </c>
      <c r="F100" s="182" t="s">
        <v>431</v>
      </c>
      <c r="G100" s="182" t="s">
        <v>432</v>
      </c>
      <c r="H100" s="182" t="s">
        <v>244</v>
      </c>
    </row>
    <row r="101" spans="1:14" ht="18" customHeight="1" x14ac:dyDescent="0.55000000000000004">
      <c r="A101" s="183" t="s">
        <v>301</v>
      </c>
      <c r="B101" s="179" t="s">
        <v>195</v>
      </c>
    </row>
    <row r="102" spans="1:14" ht="18" customHeight="1" x14ac:dyDescent="0.55000000000000004">
      <c r="A102" s="180" t="s">
        <v>302</v>
      </c>
      <c r="B102" s="176" t="s">
        <v>303</v>
      </c>
      <c r="D102" s="184">
        <v>221207</v>
      </c>
      <c r="E102" s="184">
        <v>83424</v>
      </c>
      <c r="F102" s="216"/>
      <c r="G102" s="184">
        <v>0</v>
      </c>
      <c r="H102" s="217">
        <v>304631</v>
      </c>
    </row>
    <row r="103" spans="1:14" ht="18" customHeight="1" x14ac:dyDescent="0.55000000000000004">
      <c r="A103" s="180" t="s">
        <v>304</v>
      </c>
      <c r="B103" s="176" t="s">
        <v>199</v>
      </c>
      <c r="D103" s="184">
        <v>4182</v>
      </c>
      <c r="E103" s="184">
        <v>0</v>
      </c>
      <c r="F103" s="216"/>
      <c r="G103" s="184">
        <v>0</v>
      </c>
      <c r="H103" s="217">
        <v>4182</v>
      </c>
    </row>
    <row r="104" spans="1:14" ht="18" customHeight="1" x14ac:dyDescent="0.55000000000000004">
      <c r="A104" s="180" t="s">
        <v>305</v>
      </c>
      <c r="B104" s="193" t="s">
        <v>201</v>
      </c>
      <c r="D104" s="184">
        <v>63701</v>
      </c>
      <c r="E104" s="184">
        <v>0</v>
      </c>
      <c r="F104" s="216"/>
      <c r="G104" s="184">
        <v>0</v>
      </c>
      <c r="H104" s="217">
        <v>63701</v>
      </c>
    </row>
    <row r="105" spans="1:14" ht="18" customHeight="1" x14ac:dyDescent="0.55000000000000004">
      <c r="A105" s="180" t="s">
        <v>306</v>
      </c>
      <c r="B105" s="193"/>
      <c r="D105" s="184"/>
      <c r="E105" s="216"/>
      <c r="F105" s="216"/>
      <c r="G105" s="184"/>
      <c r="H105" s="217">
        <v>0</v>
      </c>
    </row>
    <row r="106" spans="1:14" ht="18" customHeight="1" x14ac:dyDescent="0.55000000000000004">
      <c r="A106" s="180" t="s">
        <v>307</v>
      </c>
      <c r="B106" s="193"/>
      <c r="D106" s="184"/>
      <c r="E106" s="216"/>
      <c r="F106" s="216"/>
      <c r="G106" s="184"/>
      <c r="H106" s="217">
        <v>0</v>
      </c>
    </row>
    <row r="107" spans="1:14" ht="18" customHeight="1" x14ac:dyDescent="0.55000000000000004">
      <c r="B107" s="179"/>
    </row>
    <row r="108" spans="1:14" ht="18" customHeight="1" x14ac:dyDescent="0.55000000000000004">
      <c r="A108" s="183" t="s">
        <v>204</v>
      </c>
      <c r="B108" s="179" t="s">
        <v>308</v>
      </c>
      <c r="C108" s="179" t="s">
        <v>248</v>
      </c>
      <c r="D108" s="217">
        <v>289090</v>
      </c>
      <c r="E108" s="217">
        <v>83424</v>
      </c>
      <c r="F108" s="217">
        <v>0</v>
      </c>
      <c r="G108" s="217">
        <v>0</v>
      </c>
      <c r="H108" s="217">
        <v>372514</v>
      </c>
    </row>
    <row r="109" spans="1:14" ht="18" customHeight="1" thickBot="1" x14ac:dyDescent="0.6">
      <c r="A109" s="197"/>
      <c r="B109" s="198"/>
      <c r="C109" s="199"/>
      <c r="D109" s="189"/>
      <c r="E109" s="189"/>
      <c r="F109" s="189"/>
      <c r="G109" s="189"/>
      <c r="H109" s="189"/>
    </row>
    <row r="110" spans="1:14" ht="25.5" x14ac:dyDescent="0.55000000000000004">
      <c r="A110" s="183" t="s">
        <v>309</v>
      </c>
      <c r="B110" s="179" t="s">
        <v>434</v>
      </c>
      <c r="F110" s="182"/>
      <c r="G110" s="182" t="s">
        <v>435</v>
      </c>
      <c r="H110" s="182" t="s">
        <v>244</v>
      </c>
      <c r="J110" s="275"/>
      <c r="K110" s="275"/>
      <c r="L110" s="275"/>
      <c r="M110" s="275"/>
      <c r="N110" s="275"/>
    </row>
    <row r="111" spans="1:14" ht="18" customHeight="1" x14ac:dyDescent="0.55000000000000004">
      <c r="A111" s="183" t="s">
        <v>310</v>
      </c>
      <c r="B111" s="179" t="s">
        <v>311</v>
      </c>
      <c r="E111" s="179" t="s">
        <v>436</v>
      </c>
      <c r="F111" s="184">
        <v>7263944.6399999997</v>
      </c>
      <c r="G111" s="184"/>
      <c r="H111" s="217">
        <v>7263944.6399999997</v>
      </c>
    </row>
    <row r="112" spans="1:14"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0.74060000000000004</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427594057.30999988</v>
      </c>
      <c r="F117" s="237"/>
    </row>
    <row r="118" spans="1:7" ht="18" customHeight="1" x14ac:dyDescent="0.55000000000000004">
      <c r="A118" s="180" t="s">
        <v>319</v>
      </c>
      <c r="B118" s="176" t="s">
        <v>320</v>
      </c>
      <c r="E118" s="184">
        <v>31115840.620000001</v>
      </c>
      <c r="F118" s="237"/>
    </row>
    <row r="119" spans="1:7" ht="18" customHeight="1" x14ac:dyDescent="0.55000000000000004">
      <c r="A119" s="180" t="s">
        <v>321</v>
      </c>
      <c r="B119" s="179" t="s">
        <v>322</v>
      </c>
      <c r="E119" s="217">
        <v>458709897.92999989</v>
      </c>
      <c r="F119" s="238"/>
    </row>
    <row r="120" spans="1:7" ht="18" customHeight="1" x14ac:dyDescent="0.55000000000000004">
      <c r="A120" s="180"/>
      <c r="B120" s="179"/>
      <c r="F120" s="212"/>
    </row>
    <row r="121" spans="1:7" ht="18" customHeight="1" x14ac:dyDescent="0.55000000000000004">
      <c r="A121" s="180" t="s">
        <v>323</v>
      </c>
      <c r="B121" s="179" t="s">
        <v>324</v>
      </c>
      <c r="E121" s="184">
        <v>469421642.41000044</v>
      </c>
      <c r="F121" s="237"/>
    </row>
    <row r="122" spans="1:7" ht="18" customHeight="1" x14ac:dyDescent="0.55000000000000004">
      <c r="A122" s="180"/>
      <c r="F122" s="212"/>
    </row>
    <row r="123" spans="1:7" ht="18" customHeight="1" x14ac:dyDescent="0.55000000000000004">
      <c r="A123" s="180" t="s">
        <v>325</v>
      </c>
      <c r="B123" s="179" t="s">
        <v>326</v>
      </c>
      <c r="E123" s="184">
        <v>-10711744.480000556</v>
      </c>
      <c r="F123" s="237"/>
    </row>
    <row r="124" spans="1:7" ht="18" customHeight="1" x14ac:dyDescent="0.55000000000000004">
      <c r="A124" s="180"/>
      <c r="F124" s="212"/>
    </row>
    <row r="125" spans="1:7" ht="18" customHeight="1" x14ac:dyDescent="0.55000000000000004">
      <c r="A125" s="180" t="s">
        <v>327</v>
      </c>
      <c r="B125" s="179" t="s">
        <v>328</v>
      </c>
      <c r="E125" s="184">
        <v>14921399.209999999</v>
      </c>
      <c r="F125" s="237"/>
    </row>
    <row r="126" spans="1:7" ht="18" customHeight="1" x14ac:dyDescent="0.55000000000000004">
      <c r="A126" s="180"/>
      <c r="F126" s="212"/>
    </row>
    <row r="127" spans="1:7" ht="18" customHeight="1" x14ac:dyDescent="0.55000000000000004">
      <c r="A127" s="180" t="s">
        <v>329</v>
      </c>
      <c r="B127" s="179" t="s">
        <v>330</v>
      </c>
      <c r="E127" s="184">
        <v>4209654.7299994435</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v>0</v>
      </c>
    </row>
    <row r="132" spans="1:8" ht="18" customHeight="1" x14ac:dyDescent="0.55000000000000004">
      <c r="A132" s="180" t="s">
        <v>333</v>
      </c>
      <c r="B132" s="176" t="s">
        <v>68</v>
      </c>
      <c r="D132" s="184"/>
      <c r="E132" s="216"/>
      <c r="F132" s="216"/>
      <c r="G132" s="184"/>
      <c r="H132" s="217">
        <v>0</v>
      </c>
    </row>
    <row r="133" spans="1:8" ht="18" customHeight="1" x14ac:dyDescent="0.55000000000000004">
      <c r="A133" s="180" t="s">
        <v>334</v>
      </c>
      <c r="B133" s="185"/>
      <c r="D133" s="184"/>
      <c r="E133" s="216"/>
      <c r="F133" s="216"/>
      <c r="G133" s="184"/>
      <c r="H133" s="217">
        <v>0</v>
      </c>
    </row>
    <row r="134" spans="1:8" ht="18" customHeight="1" x14ac:dyDescent="0.55000000000000004">
      <c r="A134" s="180" t="s">
        <v>335</v>
      </c>
      <c r="B134" s="185"/>
      <c r="D134" s="184"/>
      <c r="E134" s="216"/>
      <c r="F134" s="216"/>
      <c r="G134" s="184"/>
      <c r="H134" s="217">
        <v>0</v>
      </c>
    </row>
    <row r="135" spans="1:8" ht="18" customHeight="1" x14ac:dyDescent="0.55000000000000004">
      <c r="A135" s="180" t="s">
        <v>336</v>
      </c>
      <c r="B135" s="185"/>
      <c r="D135" s="184"/>
      <c r="E135" s="216"/>
      <c r="F135" s="216"/>
      <c r="G135" s="184"/>
      <c r="H135" s="217">
        <v>0</v>
      </c>
    </row>
    <row r="136" spans="1:8" ht="18" customHeight="1" x14ac:dyDescent="0.55000000000000004">
      <c r="A136" s="183"/>
    </row>
    <row r="137" spans="1:8" ht="18" customHeight="1" x14ac:dyDescent="0.55000000000000004">
      <c r="A137" s="183" t="s">
        <v>215</v>
      </c>
      <c r="B137" s="179" t="s">
        <v>337</v>
      </c>
      <c r="D137" s="217">
        <v>0</v>
      </c>
      <c r="E137" s="217">
        <v>0</v>
      </c>
      <c r="F137" s="217">
        <v>0</v>
      </c>
      <c r="G137" s="217">
        <v>0</v>
      </c>
      <c r="H137" s="217">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v>1049383</v>
      </c>
      <c r="E141" s="239">
        <v>191888</v>
      </c>
      <c r="F141" s="239">
        <v>0</v>
      </c>
      <c r="G141" s="239">
        <v>51425</v>
      </c>
      <c r="H141" s="239">
        <v>1189846</v>
      </c>
    </row>
    <row r="142" spans="1:8" ht="18" customHeight="1" x14ac:dyDescent="0.55000000000000004">
      <c r="A142" s="180" t="s">
        <v>150</v>
      </c>
      <c r="B142" s="179" t="s">
        <v>220</v>
      </c>
      <c r="D142" s="239">
        <v>12287069</v>
      </c>
      <c r="E142" s="239">
        <v>9104719</v>
      </c>
      <c r="F142" s="239">
        <v>0</v>
      </c>
      <c r="G142" s="239">
        <v>0</v>
      </c>
      <c r="H142" s="239">
        <v>21391788</v>
      </c>
    </row>
    <row r="143" spans="1:8" ht="18" customHeight="1" x14ac:dyDescent="0.55000000000000004">
      <c r="A143" s="180" t="s">
        <v>269</v>
      </c>
      <c r="B143" s="179" t="s">
        <v>222</v>
      </c>
      <c r="D143" s="239">
        <v>7538794.4767180011</v>
      </c>
      <c r="E143" s="239">
        <v>0</v>
      </c>
      <c r="F143" s="239">
        <v>0</v>
      </c>
      <c r="G143" s="239">
        <v>3460111.1799999997</v>
      </c>
      <c r="H143" s="239">
        <v>4078683.2967180014</v>
      </c>
    </row>
    <row r="144" spans="1:8" ht="18" customHeight="1" x14ac:dyDescent="0.55000000000000004">
      <c r="A144" s="180" t="s">
        <v>161</v>
      </c>
      <c r="B144" s="179" t="s">
        <v>70</v>
      </c>
      <c r="D144" s="239">
        <v>1431563</v>
      </c>
      <c r="E144" s="239">
        <v>1060788</v>
      </c>
      <c r="F144" s="239">
        <v>0</v>
      </c>
      <c r="G144" s="239">
        <v>77112</v>
      </c>
      <c r="H144" s="239">
        <v>2415239</v>
      </c>
    </row>
    <row r="145" spans="1:8" ht="18" customHeight="1" x14ac:dyDescent="0.55000000000000004">
      <c r="A145" s="180" t="s">
        <v>171</v>
      </c>
      <c r="B145" s="179" t="s">
        <v>69</v>
      </c>
      <c r="D145" s="239">
        <v>192023</v>
      </c>
      <c r="E145" s="239">
        <v>0</v>
      </c>
      <c r="F145" s="239">
        <v>0</v>
      </c>
      <c r="G145" s="239">
        <v>0</v>
      </c>
      <c r="H145" s="239">
        <v>192023</v>
      </c>
    </row>
    <row r="146" spans="1:8" ht="18" customHeight="1" x14ac:dyDescent="0.55000000000000004">
      <c r="A146" s="180" t="s">
        <v>193</v>
      </c>
      <c r="B146" s="179" t="s">
        <v>226</v>
      </c>
      <c r="D146" s="239">
        <v>149147</v>
      </c>
      <c r="E146" s="239">
        <v>15991</v>
      </c>
      <c r="F146" s="239">
        <v>0</v>
      </c>
      <c r="G146" s="239">
        <v>0</v>
      </c>
      <c r="H146" s="239">
        <v>165138</v>
      </c>
    </row>
    <row r="147" spans="1:8" ht="18" customHeight="1" x14ac:dyDescent="0.55000000000000004">
      <c r="A147" s="180" t="s">
        <v>204</v>
      </c>
      <c r="B147" s="179" t="s">
        <v>71</v>
      </c>
      <c r="D147" s="217">
        <v>289090</v>
      </c>
      <c r="E147" s="217">
        <v>83424</v>
      </c>
      <c r="F147" s="217">
        <v>0</v>
      </c>
      <c r="G147" s="217">
        <v>0</v>
      </c>
      <c r="H147" s="217">
        <v>372514</v>
      </c>
    </row>
    <row r="148" spans="1:8" ht="18" customHeight="1" x14ac:dyDescent="0.55000000000000004">
      <c r="A148" s="180" t="s">
        <v>310</v>
      </c>
      <c r="B148" s="179" t="s">
        <v>58</v>
      </c>
      <c r="D148" s="240" t="s">
        <v>245</v>
      </c>
      <c r="E148" s="240" t="s">
        <v>245</v>
      </c>
      <c r="F148" s="240"/>
      <c r="G148" s="240" t="s">
        <v>245</v>
      </c>
      <c r="H148" s="239">
        <v>7263944.6399999997</v>
      </c>
    </row>
    <row r="149" spans="1:8" ht="18" customHeight="1" x14ac:dyDescent="0.55000000000000004">
      <c r="A149" s="180" t="s">
        <v>215</v>
      </c>
      <c r="B149" s="179" t="s">
        <v>230</v>
      </c>
      <c r="D149" s="217">
        <v>0</v>
      </c>
      <c r="E149" s="217">
        <v>0</v>
      </c>
      <c r="F149" s="217">
        <v>0</v>
      </c>
      <c r="G149" s="217">
        <v>0</v>
      </c>
      <c r="H149" s="217">
        <v>0</v>
      </c>
    </row>
    <row r="150" spans="1:8" ht="18" customHeight="1" x14ac:dyDescent="0.55000000000000004">
      <c r="A150" s="180" t="s">
        <v>103</v>
      </c>
      <c r="B150" s="179" t="s">
        <v>104</v>
      </c>
      <c r="D150" s="217">
        <f>D18</f>
        <v>8032218.3675583303</v>
      </c>
      <c r="E150" s="217">
        <f>E18</f>
        <v>0</v>
      </c>
      <c r="F150" s="217">
        <f>F18</f>
        <v>0</v>
      </c>
      <c r="G150" s="217">
        <f>G18</f>
        <v>6656862.852394551</v>
      </c>
      <c r="H150" s="217">
        <f>H18</f>
        <v>1375355.5151637793</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v>30116933.890317287</v>
      </c>
      <c r="E152" s="241">
        <v>10456810</v>
      </c>
      <c r="F152" s="241">
        <v>0</v>
      </c>
      <c r="G152" s="241">
        <v>9393157.0784355067</v>
      </c>
      <c r="H152" s="241">
        <v>38444531.451881781</v>
      </c>
    </row>
    <row r="154" spans="1:8" ht="18" customHeight="1" x14ac:dyDescent="0.55000000000000004">
      <c r="A154" s="183" t="s">
        <v>339</v>
      </c>
      <c r="B154" s="179" t="s">
        <v>340</v>
      </c>
      <c r="D154" s="242">
        <v>8.189765442962621E-2</v>
      </c>
    </row>
    <row r="155" spans="1:8" ht="18" customHeight="1" x14ac:dyDescent="0.55000000000000004">
      <c r="A155" s="183" t="s">
        <v>341</v>
      </c>
      <c r="B155" s="179" t="s">
        <v>342</v>
      </c>
      <c r="D155" s="242">
        <v>9.1324666552610267</v>
      </c>
    </row>
    <row r="157" spans="1:8" ht="18" customHeight="1" x14ac:dyDescent="0.55000000000000004">
      <c r="D157" s="275"/>
      <c r="E157" s="275"/>
      <c r="F157" s="275"/>
      <c r="G157" s="275"/>
    </row>
    <row r="158" spans="1:8" ht="18" customHeight="1" x14ac:dyDescent="0.55000000000000004">
      <c r="D158" s="275"/>
      <c r="E158" s="275"/>
    </row>
  </sheetData>
  <mergeCells count="5">
    <mergeCell ref="C2:G2"/>
    <mergeCell ref="C5:E5"/>
    <mergeCell ref="C6:E6"/>
    <mergeCell ref="C11:E11"/>
    <mergeCell ref="B13:D13"/>
  </mergeCells>
  <hyperlinks>
    <hyperlink ref="C11" r:id="rId1" xr:uid="{94F45C45-ECE1-4844-BA06-ACD9CE7999D2}"/>
  </hyperlinks>
  <pageMargins left="0.7" right="0.7" top="0.75" bottom="0.75" header="0.3" footer="0.3"/>
  <pageSetup orientation="portrait" horizontalDpi="1200" verticalDpi="1200"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DB143-A395-43FA-A92C-DAA99CEF030F}">
  <sheetPr codeName="Sheet30"/>
  <dimension ref="A1:J155"/>
  <sheetViews>
    <sheetView zoomScaleNormal="100" workbookViewId="0"/>
  </sheetViews>
  <sheetFormatPr defaultColWidth="9" defaultRowHeight="14.4" x14ac:dyDescent="0.55000000000000004"/>
  <cols>
    <col min="1" max="1" width="8.26171875" style="175" customWidth="1"/>
    <col min="2" max="2" width="60.83984375" style="176" customWidth="1"/>
    <col min="3" max="3" width="13.15625" style="176" bestFit="1" customWidth="1"/>
    <col min="4" max="4" width="17.15625" style="176" customWidth="1"/>
    <col min="5" max="6" width="21.15625" style="176" customWidth="1"/>
    <col min="7" max="7" width="19.83984375" style="176" customWidth="1"/>
    <col min="8" max="8" width="17.578125" style="176" customWidth="1"/>
    <col min="9" max="9" width="4.26171875" customWidth="1"/>
    <col min="10" max="10" width="13.41796875" style="176" bestFit="1" customWidth="1"/>
    <col min="11" max="248" width="9" style="176"/>
    <col min="249" max="249" width="8.26171875" style="176" customWidth="1"/>
    <col min="250" max="250" width="86.26171875" style="176" bestFit="1" customWidth="1"/>
    <col min="251" max="251" width="13.15625" style="176" bestFit="1" customWidth="1"/>
    <col min="252" max="252" width="17.15625" style="176" customWidth="1"/>
    <col min="253" max="254" width="21.15625" style="176" customWidth="1"/>
    <col min="255" max="255" width="19.83984375" style="176" customWidth="1"/>
    <col min="256" max="256" width="17.578125" style="176" customWidth="1"/>
    <col min="257" max="257" width="11.83984375" style="176" customWidth="1"/>
    <col min="258" max="258" width="9" style="176"/>
    <col min="259" max="259" width="12.83984375" style="176" bestFit="1" customWidth="1"/>
    <col min="260" max="504" width="9" style="176"/>
    <col min="505" max="505" width="8.26171875" style="176" customWidth="1"/>
    <col min="506" max="506" width="86.26171875" style="176" bestFit="1" customWidth="1"/>
    <col min="507" max="507" width="13.15625" style="176" bestFit="1" customWidth="1"/>
    <col min="508" max="508" width="17.15625" style="176" customWidth="1"/>
    <col min="509" max="510" width="21.15625" style="176" customWidth="1"/>
    <col min="511" max="511" width="19.83984375" style="176" customWidth="1"/>
    <col min="512" max="512" width="17.578125" style="176" customWidth="1"/>
    <col min="513" max="513" width="11.83984375" style="176" customWidth="1"/>
    <col min="514" max="514" width="9" style="176"/>
    <col min="515" max="515" width="12.83984375" style="176" bestFit="1" customWidth="1"/>
    <col min="516" max="760" width="9" style="176"/>
    <col min="761" max="761" width="8.26171875" style="176" customWidth="1"/>
    <col min="762" max="762" width="86.26171875" style="176" bestFit="1" customWidth="1"/>
    <col min="763" max="763" width="13.15625" style="176" bestFit="1" customWidth="1"/>
    <col min="764" max="764" width="17.15625" style="176" customWidth="1"/>
    <col min="765" max="766" width="21.15625" style="176" customWidth="1"/>
    <col min="767" max="767" width="19.83984375" style="176" customWidth="1"/>
    <col min="768" max="768" width="17.578125" style="176" customWidth="1"/>
    <col min="769" max="769" width="11.83984375" style="176" customWidth="1"/>
    <col min="770" max="770" width="9" style="176"/>
    <col min="771" max="771" width="12.83984375" style="176" bestFit="1" customWidth="1"/>
    <col min="772" max="1016" width="9" style="176"/>
    <col min="1017" max="1017" width="8.26171875" style="176" customWidth="1"/>
    <col min="1018" max="1018" width="86.26171875" style="176" bestFit="1" customWidth="1"/>
    <col min="1019" max="1019" width="13.15625" style="176" bestFit="1" customWidth="1"/>
    <col min="1020" max="1020" width="17.15625" style="176" customWidth="1"/>
    <col min="1021" max="1022" width="21.15625" style="176" customWidth="1"/>
    <col min="1023" max="1023" width="19.83984375" style="176" customWidth="1"/>
    <col min="1024" max="1024" width="17.578125" style="176" customWidth="1"/>
    <col min="1025" max="1025" width="11.83984375" style="176" customWidth="1"/>
    <col min="1026" max="1026" width="9" style="176"/>
    <col min="1027" max="1027" width="12.83984375" style="176" bestFit="1" customWidth="1"/>
    <col min="1028" max="1272" width="9" style="176"/>
    <col min="1273" max="1273" width="8.26171875" style="176" customWidth="1"/>
    <col min="1274" max="1274" width="86.26171875" style="176" bestFit="1" customWidth="1"/>
    <col min="1275" max="1275" width="13.15625" style="176" bestFit="1" customWidth="1"/>
    <col min="1276" max="1276" width="17.15625" style="176" customWidth="1"/>
    <col min="1277" max="1278" width="21.15625" style="176" customWidth="1"/>
    <col min="1279" max="1279" width="19.83984375" style="176" customWidth="1"/>
    <col min="1280" max="1280" width="17.578125" style="176" customWidth="1"/>
    <col min="1281" max="1281" width="11.83984375" style="176" customWidth="1"/>
    <col min="1282" max="1282" width="9" style="176"/>
    <col min="1283" max="1283" width="12.83984375" style="176" bestFit="1" customWidth="1"/>
    <col min="1284" max="1528" width="9" style="176"/>
    <col min="1529" max="1529" width="8.26171875" style="176" customWidth="1"/>
    <col min="1530" max="1530" width="86.26171875" style="176" bestFit="1" customWidth="1"/>
    <col min="1531" max="1531" width="13.15625" style="176" bestFit="1" customWidth="1"/>
    <col min="1532" max="1532" width="17.15625" style="176" customWidth="1"/>
    <col min="1533" max="1534" width="21.15625" style="176" customWidth="1"/>
    <col min="1535" max="1535" width="19.83984375" style="176" customWidth="1"/>
    <col min="1536" max="1536" width="17.578125" style="176" customWidth="1"/>
    <col min="1537" max="1537" width="11.83984375" style="176" customWidth="1"/>
    <col min="1538" max="1538" width="9" style="176"/>
    <col min="1539" max="1539" width="12.83984375" style="176" bestFit="1" customWidth="1"/>
    <col min="1540" max="1784" width="9" style="176"/>
    <col min="1785" max="1785" width="8.26171875" style="176" customWidth="1"/>
    <col min="1786" max="1786" width="86.26171875" style="176" bestFit="1" customWidth="1"/>
    <col min="1787" max="1787" width="13.15625" style="176" bestFit="1" customWidth="1"/>
    <col min="1788" max="1788" width="17.15625" style="176" customWidth="1"/>
    <col min="1789" max="1790" width="21.15625" style="176" customWidth="1"/>
    <col min="1791" max="1791" width="19.83984375" style="176" customWidth="1"/>
    <col min="1792" max="1792" width="17.578125" style="176" customWidth="1"/>
    <col min="1793" max="1793" width="11.83984375" style="176" customWidth="1"/>
    <col min="1794" max="1794" width="9" style="176"/>
    <col min="1795" max="1795" width="12.83984375" style="176" bestFit="1" customWidth="1"/>
    <col min="1796" max="2040" width="9" style="176"/>
    <col min="2041" max="2041" width="8.26171875" style="176" customWidth="1"/>
    <col min="2042" max="2042" width="86.26171875" style="176" bestFit="1" customWidth="1"/>
    <col min="2043" max="2043" width="13.15625" style="176" bestFit="1" customWidth="1"/>
    <col min="2044" max="2044" width="17.15625" style="176" customWidth="1"/>
    <col min="2045" max="2046" width="21.15625" style="176" customWidth="1"/>
    <col min="2047" max="2047" width="19.83984375" style="176" customWidth="1"/>
    <col min="2048" max="2048" width="17.578125" style="176" customWidth="1"/>
    <col min="2049" max="2049" width="11.83984375" style="176" customWidth="1"/>
    <col min="2050" max="2050" width="9" style="176"/>
    <col min="2051" max="2051" width="12.83984375" style="176" bestFit="1" customWidth="1"/>
    <col min="2052" max="2296" width="9" style="176"/>
    <col min="2297" max="2297" width="8.26171875" style="176" customWidth="1"/>
    <col min="2298" max="2298" width="86.26171875" style="176" bestFit="1" customWidth="1"/>
    <col min="2299" max="2299" width="13.15625" style="176" bestFit="1" customWidth="1"/>
    <col min="2300" max="2300" width="17.15625" style="176" customWidth="1"/>
    <col min="2301" max="2302" width="21.15625" style="176" customWidth="1"/>
    <col min="2303" max="2303" width="19.83984375" style="176" customWidth="1"/>
    <col min="2304" max="2304" width="17.578125" style="176" customWidth="1"/>
    <col min="2305" max="2305" width="11.83984375" style="176" customWidth="1"/>
    <col min="2306" max="2306" width="9" style="176"/>
    <col min="2307" max="2307" width="12.83984375" style="176" bestFit="1" customWidth="1"/>
    <col min="2308" max="2552" width="9" style="176"/>
    <col min="2553" max="2553" width="8.26171875" style="176" customWidth="1"/>
    <col min="2554" max="2554" width="86.26171875" style="176" bestFit="1" customWidth="1"/>
    <col min="2555" max="2555" width="13.15625" style="176" bestFit="1" customWidth="1"/>
    <col min="2556" max="2556" width="17.15625" style="176" customWidth="1"/>
    <col min="2557" max="2558" width="21.15625" style="176" customWidth="1"/>
    <col min="2559" max="2559" width="19.83984375" style="176" customWidth="1"/>
    <col min="2560" max="2560" width="17.578125" style="176" customWidth="1"/>
    <col min="2561" max="2561" width="11.83984375" style="176" customWidth="1"/>
    <col min="2562" max="2562" width="9" style="176"/>
    <col min="2563" max="2563" width="12.83984375" style="176" bestFit="1" customWidth="1"/>
    <col min="2564" max="2808" width="9" style="176"/>
    <col min="2809" max="2809" width="8.26171875" style="176" customWidth="1"/>
    <col min="2810" max="2810" width="86.26171875" style="176" bestFit="1" customWidth="1"/>
    <col min="2811" max="2811" width="13.15625" style="176" bestFit="1" customWidth="1"/>
    <col min="2812" max="2812" width="17.15625" style="176" customWidth="1"/>
    <col min="2813" max="2814" width="21.15625" style="176" customWidth="1"/>
    <col min="2815" max="2815" width="19.83984375" style="176" customWidth="1"/>
    <col min="2816" max="2816" width="17.578125" style="176" customWidth="1"/>
    <col min="2817" max="2817" width="11.83984375" style="176" customWidth="1"/>
    <col min="2818" max="2818" width="9" style="176"/>
    <col min="2819" max="2819" width="12.83984375" style="176" bestFit="1" customWidth="1"/>
    <col min="2820" max="3064" width="9" style="176"/>
    <col min="3065" max="3065" width="8.26171875" style="176" customWidth="1"/>
    <col min="3066" max="3066" width="86.26171875" style="176" bestFit="1" customWidth="1"/>
    <col min="3067" max="3067" width="13.15625" style="176" bestFit="1" customWidth="1"/>
    <col min="3068" max="3068" width="17.15625" style="176" customWidth="1"/>
    <col min="3069" max="3070" width="21.15625" style="176" customWidth="1"/>
    <col min="3071" max="3071" width="19.83984375" style="176" customWidth="1"/>
    <col min="3072" max="3072" width="17.578125" style="176" customWidth="1"/>
    <col min="3073" max="3073" width="11.83984375" style="176" customWidth="1"/>
    <col min="3074" max="3074" width="9" style="176"/>
    <col min="3075" max="3075" width="12.83984375" style="176" bestFit="1" customWidth="1"/>
    <col min="3076" max="3320" width="9" style="176"/>
    <col min="3321" max="3321" width="8.26171875" style="176" customWidth="1"/>
    <col min="3322" max="3322" width="86.26171875" style="176" bestFit="1" customWidth="1"/>
    <col min="3323" max="3323" width="13.15625" style="176" bestFit="1" customWidth="1"/>
    <col min="3324" max="3324" width="17.15625" style="176" customWidth="1"/>
    <col min="3325" max="3326" width="21.15625" style="176" customWidth="1"/>
    <col min="3327" max="3327" width="19.83984375" style="176" customWidth="1"/>
    <col min="3328" max="3328" width="17.578125" style="176" customWidth="1"/>
    <col min="3329" max="3329" width="11.83984375" style="176" customWidth="1"/>
    <col min="3330" max="3330" width="9" style="176"/>
    <col min="3331" max="3331" width="12.83984375" style="176" bestFit="1" customWidth="1"/>
    <col min="3332" max="3576" width="9" style="176"/>
    <col min="3577" max="3577" width="8.26171875" style="176" customWidth="1"/>
    <col min="3578" max="3578" width="86.26171875" style="176" bestFit="1" customWidth="1"/>
    <col min="3579" max="3579" width="13.15625" style="176" bestFit="1" customWidth="1"/>
    <col min="3580" max="3580" width="17.15625" style="176" customWidth="1"/>
    <col min="3581" max="3582" width="21.15625" style="176" customWidth="1"/>
    <col min="3583" max="3583" width="19.83984375" style="176" customWidth="1"/>
    <col min="3584" max="3584" width="17.578125" style="176" customWidth="1"/>
    <col min="3585" max="3585" width="11.83984375" style="176" customWidth="1"/>
    <col min="3586" max="3586" width="9" style="176"/>
    <col min="3587" max="3587" width="12.83984375" style="176" bestFit="1" customWidth="1"/>
    <col min="3588" max="3832" width="9" style="176"/>
    <col min="3833" max="3833" width="8.26171875" style="176" customWidth="1"/>
    <col min="3834" max="3834" width="86.26171875" style="176" bestFit="1" customWidth="1"/>
    <col min="3835" max="3835" width="13.15625" style="176" bestFit="1" customWidth="1"/>
    <col min="3836" max="3836" width="17.15625" style="176" customWidth="1"/>
    <col min="3837" max="3838" width="21.15625" style="176" customWidth="1"/>
    <col min="3839" max="3839" width="19.83984375" style="176" customWidth="1"/>
    <col min="3840" max="3840" width="17.578125" style="176" customWidth="1"/>
    <col min="3841" max="3841" width="11.83984375" style="176" customWidth="1"/>
    <col min="3842" max="3842" width="9" style="176"/>
    <col min="3843" max="3843" width="12.83984375" style="176" bestFit="1" customWidth="1"/>
    <col min="3844" max="4088" width="9" style="176"/>
    <col min="4089" max="4089" width="8.26171875" style="176" customWidth="1"/>
    <col min="4090" max="4090" width="86.26171875" style="176" bestFit="1" customWidth="1"/>
    <col min="4091" max="4091" width="13.15625" style="176" bestFit="1" customWidth="1"/>
    <col min="4092" max="4092" width="17.15625" style="176" customWidth="1"/>
    <col min="4093" max="4094" width="21.15625" style="176" customWidth="1"/>
    <col min="4095" max="4095" width="19.83984375" style="176" customWidth="1"/>
    <col min="4096" max="4096" width="17.578125" style="176" customWidth="1"/>
    <col min="4097" max="4097" width="11.83984375" style="176" customWidth="1"/>
    <col min="4098" max="4098" width="9" style="176"/>
    <col min="4099" max="4099" width="12.83984375" style="176" bestFit="1" customWidth="1"/>
    <col min="4100" max="4344" width="9" style="176"/>
    <col min="4345" max="4345" width="8.26171875" style="176" customWidth="1"/>
    <col min="4346" max="4346" width="86.26171875" style="176" bestFit="1" customWidth="1"/>
    <col min="4347" max="4347" width="13.15625" style="176" bestFit="1" customWidth="1"/>
    <col min="4348" max="4348" width="17.15625" style="176" customWidth="1"/>
    <col min="4349" max="4350" width="21.15625" style="176" customWidth="1"/>
    <col min="4351" max="4351" width="19.83984375" style="176" customWidth="1"/>
    <col min="4352" max="4352" width="17.578125" style="176" customWidth="1"/>
    <col min="4353" max="4353" width="11.83984375" style="176" customWidth="1"/>
    <col min="4354" max="4354" width="9" style="176"/>
    <col min="4355" max="4355" width="12.83984375" style="176" bestFit="1" customWidth="1"/>
    <col min="4356" max="4600" width="9" style="176"/>
    <col min="4601" max="4601" width="8.26171875" style="176" customWidth="1"/>
    <col min="4602" max="4602" width="86.26171875" style="176" bestFit="1" customWidth="1"/>
    <col min="4603" max="4603" width="13.15625" style="176" bestFit="1" customWidth="1"/>
    <col min="4604" max="4604" width="17.15625" style="176" customWidth="1"/>
    <col min="4605" max="4606" width="21.15625" style="176" customWidth="1"/>
    <col min="4607" max="4607" width="19.83984375" style="176" customWidth="1"/>
    <col min="4608" max="4608" width="17.578125" style="176" customWidth="1"/>
    <col min="4609" max="4609" width="11.83984375" style="176" customWidth="1"/>
    <col min="4610" max="4610" width="9" style="176"/>
    <col min="4611" max="4611" width="12.83984375" style="176" bestFit="1" customWidth="1"/>
    <col min="4612" max="4856" width="9" style="176"/>
    <col min="4857" max="4857" width="8.26171875" style="176" customWidth="1"/>
    <col min="4858" max="4858" width="86.26171875" style="176" bestFit="1" customWidth="1"/>
    <col min="4859" max="4859" width="13.15625" style="176" bestFit="1" customWidth="1"/>
    <col min="4860" max="4860" width="17.15625" style="176" customWidth="1"/>
    <col min="4861" max="4862" width="21.15625" style="176" customWidth="1"/>
    <col min="4863" max="4863" width="19.83984375" style="176" customWidth="1"/>
    <col min="4864" max="4864" width="17.578125" style="176" customWidth="1"/>
    <col min="4865" max="4865" width="11.83984375" style="176" customWidth="1"/>
    <col min="4866" max="4866" width="9" style="176"/>
    <col min="4867" max="4867" width="12.83984375" style="176" bestFit="1" customWidth="1"/>
    <col min="4868" max="5112" width="9" style="176"/>
    <col min="5113" max="5113" width="8.26171875" style="176" customWidth="1"/>
    <col min="5114" max="5114" width="86.26171875" style="176" bestFit="1" customWidth="1"/>
    <col min="5115" max="5115" width="13.15625" style="176" bestFit="1" customWidth="1"/>
    <col min="5116" max="5116" width="17.15625" style="176" customWidth="1"/>
    <col min="5117" max="5118" width="21.15625" style="176" customWidth="1"/>
    <col min="5119" max="5119" width="19.83984375" style="176" customWidth="1"/>
    <col min="5120" max="5120" width="17.578125" style="176" customWidth="1"/>
    <col min="5121" max="5121" width="11.83984375" style="176" customWidth="1"/>
    <col min="5122" max="5122" width="9" style="176"/>
    <col min="5123" max="5123" width="12.83984375" style="176" bestFit="1" customWidth="1"/>
    <col min="5124" max="5368" width="9" style="176"/>
    <col min="5369" max="5369" width="8.26171875" style="176" customWidth="1"/>
    <col min="5370" max="5370" width="86.26171875" style="176" bestFit="1" customWidth="1"/>
    <col min="5371" max="5371" width="13.15625" style="176" bestFit="1" customWidth="1"/>
    <col min="5372" max="5372" width="17.15625" style="176" customWidth="1"/>
    <col min="5373" max="5374" width="21.15625" style="176" customWidth="1"/>
    <col min="5375" max="5375" width="19.83984375" style="176" customWidth="1"/>
    <col min="5376" max="5376" width="17.578125" style="176" customWidth="1"/>
    <col min="5377" max="5377" width="11.83984375" style="176" customWidth="1"/>
    <col min="5378" max="5378" width="9" style="176"/>
    <col min="5379" max="5379" width="12.83984375" style="176" bestFit="1" customWidth="1"/>
    <col min="5380" max="5624" width="9" style="176"/>
    <col min="5625" max="5625" width="8.26171875" style="176" customWidth="1"/>
    <col min="5626" max="5626" width="86.26171875" style="176" bestFit="1" customWidth="1"/>
    <col min="5627" max="5627" width="13.15625" style="176" bestFit="1" customWidth="1"/>
    <col min="5628" max="5628" width="17.15625" style="176" customWidth="1"/>
    <col min="5629" max="5630" width="21.15625" style="176" customWidth="1"/>
    <col min="5631" max="5631" width="19.83984375" style="176" customWidth="1"/>
    <col min="5632" max="5632" width="17.578125" style="176" customWidth="1"/>
    <col min="5633" max="5633" width="11.83984375" style="176" customWidth="1"/>
    <col min="5634" max="5634" width="9" style="176"/>
    <col min="5635" max="5635" width="12.83984375" style="176" bestFit="1" customWidth="1"/>
    <col min="5636" max="5880" width="9" style="176"/>
    <col min="5881" max="5881" width="8.26171875" style="176" customWidth="1"/>
    <col min="5882" max="5882" width="86.26171875" style="176" bestFit="1" customWidth="1"/>
    <col min="5883" max="5883" width="13.15625" style="176" bestFit="1" customWidth="1"/>
    <col min="5884" max="5884" width="17.15625" style="176" customWidth="1"/>
    <col min="5885" max="5886" width="21.15625" style="176" customWidth="1"/>
    <col min="5887" max="5887" width="19.83984375" style="176" customWidth="1"/>
    <col min="5888" max="5888" width="17.578125" style="176" customWidth="1"/>
    <col min="5889" max="5889" width="11.83984375" style="176" customWidth="1"/>
    <col min="5890" max="5890" width="9" style="176"/>
    <col min="5891" max="5891" width="12.83984375" style="176" bestFit="1" customWidth="1"/>
    <col min="5892" max="6136" width="9" style="176"/>
    <col min="6137" max="6137" width="8.26171875" style="176" customWidth="1"/>
    <col min="6138" max="6138" width="86.26171875" style="176" bestFit="1" customWidth="1"/>
    <col min="6139" max="6139" width="13.15625" style="176" bestFit="1" customWidth="1"/>
    <col min="6140" max="6140" width="17.15625" style="176" customWidth="1"/>
    <col min="6141" max="6142" width="21.15625" style="176" customWidth="1"/>
    <col min="6143" max="6143" width="19.83984375" style="176" customWidth="1"/>
    <col min="6144" max="6144" width="17.578125" style="176" customWidth="1"/>
    <col min="6145" max="6145" width="11.83984375" style="176" customWidth="1"/>
    <col min="6146" max="6146" width="9" style="176"/>
    <col min="6147" max="6147" width="12.83984375" style="176" bestFit="1" customWidth="1"/>
    <col min="6148" max="6392" width="9" style="176"/>
    <col min="6393" max="6393" width="8.26171875" style="176" customWidth="1"/>
    <col min="6394" max="6394" width="86.26171875" style="176" bestFit="1" customWidth="1"/>
    <col min="6395" max="6395" width="13.15625" style="176" bestFit="1" customWidth="1"/>
    <col min="6396" max="6396" width="17.15625" style="176" customWidth="1"/>
    <col min="6397" max="6398" width="21.15625" style="176" customWidth="1"/>
    <col min="6399" max="6399" width="19.83984375" style="176" customWidth="1"/>
    <col min="6400" max="6400" width="17.578125" style="176" customWidth="1"/>
    <col min="6401" max="6401" width="11.83984375" style="176" customWidth="1"/>
    <col min="6402" max="6402" width="9" style="176"/>
    <col min="6403" max="6403" width="12.83984375" style="176" bestFit="1" customWidth="1"/>
    <col min="6404" max="6648" width="9" style="176"/>
    <col min="6649" max="6649" width="8.26171875" style="176" customWidth="1"/>
    <col min="6650" max="6650" width="86.26171875" style="176" bestFit="1" customWidth="1"/>
    <col min="6651" max="6651" width="13.15625" style="176" bestFit="1" customWidth="1"/>
    <col min="6652" max="6652" width="17.15625" style="176" customWidth="1"/>
    <col min="6653" max="6654" width="21.15625" style="176" customWidth="1"/>
    <col min="6655" max="6655" width="19.83984375" style="176" customWidth="1"/>
    <col min="6656" max="6656" width="17.578125" style="176" customWidth="1"/>
    <col min="6657" max="6657" width="11.83984375" style="176" customWidth="1"/>
    <col min="6658" max="6658" width="9" style="176"/>
    <col min="6659" max="6659" width="12.83984375" style="176" bestFit="1" customWidth="1"/>
    <col min="6660" max="6904" width="9" style="176"/>
    <col min="6905" max="6905" width="8.26171875" style="176" customWidth="1"/>
    <col min="6906" max="6906" width="86.26171875" style="176" bestFit="1" customWidth="1"/>
    <col min="6907" max="6907" width="13.15625" style="176" bestFit="1" customWidth="1"/>
    <col min="6908" max="6908" width="17.15625" style="176" customWidth="1"/>
    <col min="6909" max="6910" width="21.15625" style="176" customWidth="1"/>
    <col min="6911" max="6911" width="19.83984375" style="176" customWidth="1"/>
    <col min="6912" max="6912" width="17.578125" style="176" customWidth="1"/>
    <col min="6913" max="6913" width="11.83984375" style="176" customWidth="1"/>
    <col min="6914" max="6914" width="9" style="176"/>
    <col min="6915" max="6915" width="12.83984375" style="176" bestFit="1" customWidth="1"/>
    <col min="6916" max="7160" width="9" style="176"/>
    <col min="7161" max="7161" width="8.26171875" style="176" customWidth="1"/>
    <col min="7162" max="7162" width="86.26171875" style="176" bestFit="1" customWidth="1"/>
    <col min="7163" max="7163" width="13.15625" style="176" bestFit="1" customWidth="1"/>
    <col min="7164" max="7164" width="17.15625" style="176" customWidth="1"/>
    <col min="7165" max="7166" width="21.15625" style="176" customWidth="1"/>
    <col min="7167" max="7167" width="19.83984375" style="176" customWidth="1"/>
    <col min="7168" max="7168" width="17.578125" style="176" customWidth="1"/>
    <col min="7169" max="7169" width="11.83984375" style="176" customWidth="1"/>
    <col min="7170" max="7170" width="9" style="176"/>
    <col min="7171" max="7171" width="12.83984375" style="176" bestFit="1" customWidth="1"/>
    <col min="7172" max="7416" width="9" style="176"/>
    <col min="7417" max="7417" width="8.26171875" style="176" customWidth="1"/>
    <col min="7418" max="7418" width="86.26171875" style="176" bestFit="1" customWidth="1"/>
    <col min="7419" max="7419" width="13.15625" style="176" bestFit="1" customWidth="1"/>
    <col min="7420" max="7420" width="17.15625" style="176" customWidth="1"/>
    <col min="7421" max="7422" width="21.15625" style="176" customWidth="1"/>
    <col min="7423" max="7423" width="19.83984375" style="176" customWidth="1"/>
    <col min="7424" max="7424" width="17.578125" style="176" customWidth="1"/>
    <col min="7425" max="7425" width="11.83984375" style="176" customWidth="1"/>
    <col min="7426" max="7426" width="9" style="176"/>
    <col min="7427" max="7427" width="12.83984375" style="176" bestFit="1" customWidth="1"/>
    <col min="7428" max="7672" width="9" style="176"/>
    <col min="7673" max="7673" width="8.26171875" style="176" customWidth="1"/>
    <col min="7674" max="7674" width="86.26171875" style="176" bestFit="1" customWidth="1"/>
    <col min="7675" max="7675" width="13.15625" style="176" bestFit="1" customWidth="1"/>
    <col min="7676" max="7676" width="17.15625" style="176" customWidth="1"/>
    <col min="7677" max="7678" width="21.15625" style="176" customWidth="1"/>
    <col min="7679" max="7679" width="19.83984375" style="176" customWidth="1"/>
    <col min="7680" max="7680" width="17.578125" style="176" customWidth="1"/>
    <col min="7681" max="7681" width="11.83984375" style="176" customWidth="1"/>
    <col min="7682" max="7682" width="9" style="176"/>
    <col min="7683" max="7683" width="12.83984375" style="176" bestFit="1" customWidth="1"/>
    <col min="7684" max="7928" width="9" style="176"/>
    <col min="7929" max="7929" width="8.26171875" style="176" customWidth="1"/>
    <col min="7930" max="7930" width="86.26171875" style="176" bestFit="1" customWidth="1"/>
    <col min="7931" max="7931" width="13.15625" style="176" bestFit="1" customWidth="1"/>
    <col min="7932" max="7932" width="17.15625" style="176" customWidth="1"/>
    <col min="7933" max="7934" width="21.15625" style="176" customWidth="1"/>
    <col min="7935" max="7935" width="19.83984375" style="176" customWidth="1"/>
    <col min="7936" max="7936" width="17.578125" style="176" customWidth="1"/>
    <col min="7937" max="7937" width="11.83984375" style="176" customWidth="1"/>
    <col min="7938" max="7938" width="9" style="176"/>
    <col min="7939" max="7939" width="12.83984375" style="176" bestFit="1" customWidth="1"/>
    <col min="7940" max="8184" width="9" style="176"/>
    <col min="8185" max="8185" width="8.26171875" style="176" customWidth="1"/>
    <col min="8186" max="8186" width="86.26171875" style="176" bestFit="1" customWidth="1"/>
    <col min="8187" max="8187" width="13.15625" style="176" bestFit="1" customWidth="1"/>
    <col min="8188" max="8188" width="17.15625" style="176" customWidth="1"/>
    <col min="8189" max="8190" width="21.15625" style="176" customWidth="1"/>
    <col min="8191" max="8191" width="19.83984375" style="176" customWidth="1"/>
    <col min="8192" max="8192" width="17.578125" style="176" customWidth="1"/>
    <col min="8193" max="8193" width="11.83984375" style="176" customWidth="1"/>
    <col min="8194" max="8194" width="9" style="176"/>
    <col min="8195" max="8195" width="12.83984375" style="176" bestFit="1" customWidth="1"/>
    <col min="8196" max="8440" width="9" style="176"/>
    <col min="8441" max="8441" width="8.26171875" style="176" customWidth="1"/>
    <col min="8442" max="8442" width="86.26171875" style="176" bestFit="1" customWidth="1"/>
    <col min="8443" max="8443" width="13.15625" style="176" bestFit="1" customWidth="1"/>
    <col min="8444" max="8444" width="17.15625" style="176" customWidth="1"/>
    <col min="8445" max="8446" width="21.15625" style="176" customWidth="1"/>
    <col min="8447" max="8447" width="19.83984375" style="176" customWidth="1"/>
    <col min="8448" max="8448" width="17.578125" style="176" customWidth="1"/>
    <col min="8449" max="8449" width="11.83984375" style="176" customWidth="1"/>
    <col min="8450" max="8450" width="9" style="176"/>
    <col min="8451" max="8451" width="12.83984375" style="176" bestFit="1" customWidth="1"/>
    <col min="8452" max="8696" width="9" style="176"/>
    <col min="8697" max="8697" width="8.26171875" style="176" customWidth="1"/>
    <col min="8698" max="8698" width="86.26171875" style="176" bestFit="1" customWidth="1"/>
    <col min="8699" max="8699" width="13.15625" style="176" bestFit="1" customWidth="1"/>
    <col min="8700" max="8700" width="17.15625" style="176" customWidth="1"/>
    <col min="8701" max="8702" width="21.15625" style="176" customWidth="1"/>
    <col min="8703" max="8703" width="19.83984375" style="176" customWidth="1"/>
    <col min="8704" max="8704" width="17.578125" style="176" customWidth="1"/>
    <col min="8705" max="8705" width="11.83984375" style="176" customWidth="1"/>
    <col min="8706" max="8706" width="9" style="176"/>
    <col min="8707" max="8707" width="12.83984375" style="176" bestFit="1" customWidth="1"/>
    <col min="8708" max="8952" width="9" style="176"/>
    <col min="8953" max="8953" width="8.26171875" style="176" customWidth="1"/>
    <col min="8954" max="8954" width="86.26171875" style="176" bestFit="1" customWidth="1"/>
    <col min="8955" max="8955" width="13.15625" style="176" bestFit="1" customWidth="1"/>
    <col min="8956" max="8956" width="17.15625" style="176" customWidth="1"/>
    <col min="8957" max="8958" width="21.15625" style="176" customWidth="1"/>
    <col min="8959" max="8959" width="19.83984375" style="176" customWidth="1"/>
    <col min="8960" max="8960" width="17.578125" style="176" customWidth="1"/>
    <col min="8961" max="8961" width="11.83984375" style="176" customWidth="1"/>
    <col min="8962" max="8962" width="9" style="176"/>
    <col min="8963" max="8963" width="12.83984375" style="176" bestFit="1" customWidth="1"/>
    <col min="8964" max="9208" width="9" style="176"/>
    <col min="9209" max="9209" width="8.26171875" style="176" customWidth="1"/>
    <col min="9210" max="9210" width="86.26171875" style="176" bestFit="1" customWidth="1"/>
    <col min="9211" max="9211" width="13.15625" style="176" bestFit="1" customWidth="1"/>
    <col min="9212" max="9212" width="17.15625" style="176" customWidth="1"/>
    <col min="9213" max="9214" width="21.15625" style="176" customWidth="1"/>
    <col min="9215" max="9215" width="19.83984375" style="176" customWidth="1"/>
    <col min="9216" max="9216" width="17.578125" style="176" customWidth="1"/>
    <col min="9217" max="9217" width="11.83984375" style="176" customWidth="1"/>
    <col min="9218" max="9218" width="9" style="176"/>
    <col min="9219" max="9219" width="12.83984375" style="176" bestFit="1" customWidth="1"/>
    <col min="9220" max="9464" width="9" style="176"/>
    <col min="9465" max="9465" width="8.26171875" style="176" customWidth="1"/>
    <col min="9466" max="9466" width="86.26171875" style="176" bestFit="1" customWidth="1"/>
    <col min="9467" max="9467" width="13.15625" style="176" bestFit="1" customWidth="1"/>
    <col min="9468" max="9468" width="17.15625" style="176" customWidth="1"/>
    <col min="9469" max="9470" width="21.15625" style="176" customWidth="1"/>
    <col min="9471" max="9471" width="19.83984375" style="176" customWidth="1"/>
    <col min="9472" max="9472" width="17.578125" style="176" customWidth="1"/>
    <col min="9473" max="9473" width="11.83984375" style="176" customWidth="1"/>
    <col min="9474" max="9474" width="9" style="176"/>
    <col min="9475" max="9475" width="12.83984375" style="176" bestFit="1" customWidth="1"/>
    <col min="9476" max="9720" width="9" style="176"/>
    <col min="9721" max="9721" width="8.26171875" style="176" customWidth="1"/>
    <col min="9722" max="9722" width="86.26171875" style="176" bestFit="1" customWidth="1"/>
    <col min="9723" max="9723" width="13.15625" style="176" bestFit="1" customWidth="1"/>
    <col min="9724" max="9724" width="17.15625" style="176" customWidth="1"/>
    <col min="9725" max="9726" width="21.15625" style="176" customWidth="1"/>
    <col min="9727" max="9727" width="19.83984375" style="176" customWidth="1"/>
    <col min="9728" max="9728" width="17.578125" style="176" customWidth="1"/>
    <col min="9729" max="9729" width="11.83984375" style="176" customWidth="1"/>
    <col min="9730" max="9730" width="9" style="176"/>
    <col min="9731" max="9731" width="12.83984375" style="176" bestFit="1" customWidth="1"/>
    <col min="9732" max="9976" width="9" style="176"/>
    <col min="9977" max="9977" width="8.26171875" style="176" customWidth="1"/>
    <col min="9978" max="9978" width="86.26171875" style="176" bestFit="1" customWidth="1"/>
    <col min="9979" max="9979" width="13.15625" style="176" bestFit="1" customWidth="1"/>
    <col min="9980" max="9980" width="17.15625" style="176" customWidth="1"/>
    <col min="9981" max="9982" width="21.15625" style="176" customWidth="1"/>
    <col min="9983" max="9983" width="19.83984375" style="176" customWidth="1"/>
    <col min="9984" max="9984" width="17.578125" style="176" customWidth="1"/>
    <col min="9985" max="9985" width="11.83984375" style="176" customWidth="1"/>
    <col min="9986" max="9986" width="9" style="176"/>
    <col min="9987" max="9987" width="12.83984375" style="176" bestFit="1" customWidth="1"/>
    <col min="9988" max="10232" width="9" style="176"/>
    <col min="10233" max="10233" width="8.26171875" style="176" customWidth="1"/>
    <col min="10234" max="10234" width="86.26171875" style="176" bestFit="1" customWidth="1"/>
    <col min="10235" max="10235" width="13.15625" style="176" bestFit="1" customWidth="1"/>
    <col min="10236" max="10236" width="17.15625" style="176" customWidth="1"/>
    <col min="10237" max="10238" width="21.15625" style="176" customWidth="1"/>
    <col min="10239" max="10239" width="19.83984375" style="176" customWidth="1"/>
    <col min="10240" max="10240" width="17.578125" style="176" customWidth="1"/>
    <col min="10241" max="10241" width="11.83984375" style="176" customWidth="1"/>
    <col min="10242" max="10242" width="9" style="176"/>
    <col min="10243" max="10243" width="12.83984375" style="176" bestFit="1" customWidth="1"/>
    <col min="10244" max="10488" width="9" style="176"/>
    <col min="10489" max="10489" width="8.26171875" style="176" customWidth="1"/>
    <col min="10490" max="10490" width="86.26171875" style="176" bestFit="1" customWidth="1"/>
    <col min="10491" max="10491" width="13.15625" style="176" bestFit="1" customWidth="1"/>
    <col min="10492" max="10492" width="17.15625" style="176" customWidth="1"/>
    <col min="10493" max="10494" width="21.15625" style="176" customWidth="1"/>
    <col min="10495" max="10495" width="19.83984375" style="176" customWidth="1"/>
    <col min="10496" max="10496" width="17.578125" style="176" customWidth="1"/>
    <col min="10497" max="10497" width="11.83984375" style="176" customWidth="1"/>
    <col min="10498" max="10498" width="9" style="176"/>
    <col min="10499" max="10499" width="12.83984375" style="176" bestFit="1" customWidth="1"/>
    <col min="10500" max="10744" width="9" style="176"/>
    <col min="10745" max="10745" width="8.26171875" style="176" customWidth="1"/>
    <col min="10746" max="10746" width="86.26171875" style="176" bestFit="1" customWidth="1"/>
    <col min="10747" max="10747" width="13.15625" style="176" bestFit="1" customWidth="1"/>
    <col min="10748" max="10748" width="17.15625" style="176" customWidth="1"/>
    <col min="10749" max="10750" width="21.15625" style="176" customWidth="1"/>
    <col min="10751" max="10751" width="19.83984375" style="176" customWidth="1"/>
    <col min="10752" max="10752" width="17.578125" style="176" customWidth="1"/>
    <col min="10753" max="10753" width="11.83984375" style="176" customWidth="1"/>
    <col min="10754" max="10754" width="9" style="176"/>
    <col min="10755" max="10755" width="12.83984375" style="176" bestFit="1" customWidth="1"/>
    <col min="10756" max="11000" width="9" style="176"/>
    <col min="11001" max="11001" width="8.26171875" style="176" customWidth="1"/>
    <col min="11002" max="11002" width="86.26171875" style="176" bestFit="1" customWidth="1"/>
    <col min="11003" max="11003" width="13.15625" style="176" bestFit="1" customWidth="1"/>
    <col min="11004" max="11004" width="17.15625" style="176" customWidth="1"/>
    <col min="11005" max="11006" width="21.15625" style="176" customWidth="1"/>
    <col min="11007" max="11007" width="19.83984375" style="176" customWidth="1"/>
    <col min="11008" max="11008" width="17.578125" style="176" customWidth="1"/>
    <col min="11009" max="11009" width="11.83984375" style="176" customWidth="1"/>
    <col min="11010" max="11010" width="9" style="176"/>
    <col min="11011" max="11011" width="12.83984375" style="176" bestFit="1" customWidth="1"/>
    <col min="11012" max="11256" width="9" style="176"/>
    <col min="11257" max="11257" width="8.26171875" style="176" customWidth="1"/>
    <col min="11258" max="11258" width="86.26171875" style="176" bestFit="1" customWidth="1"/>
    <col min="11259" max="11259" width="13.15625" style="176" bestFit="1" customWidth="1"/>
    <col min="11260" max="11260" width="17.15625" style="176" customWidth="1"/>
    <col min="11261" max="11262" width="21.15625" style="176" customWidth="1"/>
    <col min="11263" max="11263" width="19.83984375" style="176" customWidth="1"/>
    <col min="11264" max="11264" width="17.578125" style="176" customWidth="1"/>
    <col min="11265" max="11265" width="11.83984375" style="176" customWidth="1"/>
    <col min="11266" max="11266" width="9" style="176"/>
    <col min="11267" max="11267" width="12.83984375" style="176" bestFit="1" customWidth="1"/>
    <col min="11268" max="11512" width="9" style="176"/>
    <col min="11513" max="11513" width="8.26171875" style="176" customWidth="1"/>
    <col min="11514" max="11514" width="86.26171875" style="176" bestFit="1" customWidth="1"/>
    <col min="11515" max="11515" width="13.15625" style="176" bestFit="1" customWidth="1"/>
    <col min="11516" max="11516" width="17.15625" style="176" customWidth="1"/>
    <col min="11517" max="11518" width="21.15625" style="176" customWidth="1"/>
    <col min="11519" max="11519" width="19.83984375" style="176" customWidth="1"/>
    <col min="11520" max="11520" width="17.578125" style="176" customWidth="1"/>
    <col min="11521" max="11521" width="11.83984375" style="176" customWidth="1"/>
    <col min="11522" max="11522" width="9" style="176"/>
    <col min="11523" max="11523" width="12.83984375" style="176" bestFit="1" customWidth="1"/>
    <col min="11524" max="11768" width="9" style="176"/>
    <col min="11769" max="11769" width="8.26171875" style="176" customWidth="1"/>
    <col min="11770" max="11770" width="86.26171875" style="176" bestFit="1" customWidth="1"/>
    <col min="11771" max="11771" width="13.15625" style="176" bestFit="1" customWidth="1"/>
    <col min="11772" max="11772" width="17.15625" style="176" customWidth="1"/>
    <col min="11773" max="11774" width="21.15625" style="176" customWidth="1"/>
    <col min="11775" max="11775" width="19.83984375" style="176" customWidth="1"/>
    <col min="11776" max="11776" width="17.578125" style="176" customWidth="1"/>
    <col min="11777" max="11777" width="11.83984375" style="176" customWidth="1"/>
    <col min="11778" max="11778" width="9" style="176"/>
    <col min="11779" max="11779" width="12.83984375" style="176" bestFit="1" customWidth="1"/>
    <col min="11780" max="12024" width="9" style="176"/>
    <col min="12025" max="12025" width="8.26171875" style="176" customWidth="1"/>
    <col min="12026" max="12026" width="86.26171875" style="176" bestFit="1" customWidth="1"/>
    <col min="12027" max="12027" width="13.15625" style="176" bestFit="1" customWidth="1"/>
    <col min="12028" max="12028" width="17.15625" style="176" customWidth="1"/>
    <col min="12029" max="12030" width="21.15625" style="176" customWidth="1"/>
    <col min="12031" max="12031" width="19.83984375" style="176" customWidth="1"/>
    <col min="12032" max="12032" width="17.578125" style="176" customWidth="1"/>
    <col min="12033" max="12033" width="11.83984375" style="176" customWidth="1"/>
    <col min="12034" max="12034" width="9" style="176"/>
    <col min="12035" max="12035" width="12.83984375" style="176" bestFit="1" customWidth="1"/>
    <col min="12036" max="12280" width="9" style="176"/>
    <col min="12281" max="12281" width="8.26171875" style="176" customWidth="1"/>
    <col min="12282" max="12282" width="86.26171875" style="176" bestFit="1" customWidth="1"/>
    <col min="12283" max="12283" width="13.15625" style="176" bestFit="1" customWidth="1"/>
    <col min="12284" max="12284" width="17.15625" style="176" customWidth="1"/>
    <col min="12285" max="12286" width="21.15625" style="176" customWidth="1"/>
    <col min="12287" max="12287" width="19.83984375" style="176" customWidth="1"/>
    <col min="12288" max="12288" width="17.578125" style="176" customWidth="1"/>
    <col min="12289" max="12289" width="11.83984375" style="176" customWidth="1"/>
    <col min="12290" max="12290" width="9" style="176"/>
    <col min="12291" max="12291" width="12.83984375" style="176" bestFit="1" customWidth="1"/>
    <col min="12292" max="12536" width="9" style="176"/>
    <col min="12537" max="12537" width="8.26171875" style="176" customWidth="1"/>
    <col min="12538" max="12538" width="86.26171875" style="176" bestFit="1" customWidth="1"/>
    <col min="12539" max="12539" width="13.15625" style="176" bestFit="1" customWidth="1"/>
    <col min="12540" max="12540" width="17.15625" style="176" customWidth="1"/>
    <col min="12541" max="12542" width="21.15625" style="176" customWidth="1"/>
    <col min="12543" max="12543" width="19.83984375" style="176" customWidth="1"/>
    <col min="12544" max="12544" width="17.578125" style="176" customWidth="1"/>
    <col min="12545" max="12545" width="11.83984375" style="176" customWidth="1"/>
    <col min="12546" max="12546" width="9" style="176"/>
    <col min="12547" max="12547" width="12.83984375" style="176" bestFit="1" customWidth="1"/>
    <col min="12548" max="12792" width="9" style="176"/>
    <col min="12793" max="12793" width="8.26171875" style="176" customWidth="1"/>
    <col min="12794" max="12794" width="86.26171875" style="176" bestFit="1" customWidth="1"/>
    <col min="12795" max="12795" width="13.15625" style="176" bestFit="1" customWidth="1"/>
    <col min="12796" max="12796" width="17.15625" style="176" customWidth="1"/>
    <col min="12797" max="12798" width="21.15625" style="176" customWidth="1"/>
    <col min="12799" max="12799" width="19.83984375" style="176" customWidth="1"/>
    <col min="12800" max="12800" width="17.578125" style="176" customWidth="1"/>
    <col min="12801" max="12801" width="11.83984375" style="176" customWidth="1"/>
    <col min="12802" max="12802" width="9" style="176"/>
    <col min="12803" max="12803" width="12.83984375" style="176" bestFit="1" customWidth="1"/>
    <col min="12804" max="13048" width="9" style="176"/>
    <col min="13049" max="13049" width="8.26171875" style="176" customWidth="1"/>
    <col min="13050" max="13050" width="86.26171875" style="176" bestFit="1" customWidth="1"/>
    <col min="13051" max="13051" width="13.15625" style="176" bestFit="1" customWidth="1"/>
    <col min="13052" max="13052" width="17.15625" style="176" customWidth="1"/>
    <col min="13053" max="13054" width="21.15625" style="176" customWidth="1"/>
    <col min="13055" max="13055" width="19.83984375" style="176" customWidth="1"/>
    <col min="13056" max="13056" width="17.578125" style="176" customWidth="1"/>
    <col min="13057" max="13057" width="11.83984375" style="176" customWidth="1"/>
    <col min="13058" max="13058" width="9" style="176"/>
    <col min="13059" max="13059" width="12.83984375" style="176" bestFit="1" customWidth="1"/>
    <col min="13060" max="13304" width="9" style="176"/>
    <col min="13305" max="13305" width="8.26171875" style="176" customWidth="1"/>
    <col min="13306" max="13306" width="86.26171875" style="176" bestFit="1" customWidth="1"/>
    <col min="13307" max="13307" width="13.15625" style="176" bestFit="1" customWidth="1"/>
    <col min="13308" max="13308" width="17.15625" style="176" customWidth="1"/>
    <col min="13309" max="13310" width="21.15625" style="176" customWidth="1"/>
    <col min="13311" max="13311" width="19.83984375" style="176" customWidth="1"/>
    <col min="13312" max="13312" width="17.578125" style="176" customWidth="1"/>
    <col min="13313" max="13313" width="11.83984375" style="176" customWidth="1"/>
    <col min="13314" max="13314" width="9" style="176"/>
    <col min="13315" max="13315" width="12.83984375" style="176" bestFit="1" customWidth="1"/>
    <col min="13316" max="13560" width="9" style="176"/>
    <col min="13561" max="13561" width="8.26171875" style="176" customWidth="1"/>
    <col min="13562" max="13562" width="86.26171875" style="176" bestFit="1" customWidth="1"/>
    <col min="13563" max="13563" width="13.15625" style="176" bestFit="1" customWidth="1"/>
    <col min="13564" max="13564" width="17.15625" style="176" customWidth="1"/>
    <col min="13565" max="13566" width="21.15625" style="176" customWidth="1"/>
    <col min="13567" max="13567" width="19.83984375" style="176" customWidth="1"/>
    <col min="13568" max="13568" width="17.578125" style="176" customWidth="1"/>
    <col min="13569" max="13569" width="11.83984375" style="176" customWidth="1"/>
    <col min="13570" max="13570" width="9" style="176"/>
    <col min="13571" max="13571" width="12.83984375" style="176" bestFit="1" customWidth="1"/>
    <col min="13572" max="13816" width="9" style="176"/>
    <col min="13817" max="13817" width="8.26171875" style="176" customWidth="1"/>
    <col min="13818" max="13818" width="86.26171875" style="176" bestFit="1" customWidth="1"/>
    <col min="13819" max="13819" width="13.15625" style="176" bestFit="1" customWidth="1"/>
    <col min="13820" max="13820" width="17.15625" style="176" customWidth="1"/>
    <col min="13821" max="13822" width="21.15625" style="176" customWidth="1"/>
    <col min="13823" max="13823" width="19.83984375" style="176" customWidth="1"/>
    <col min="13824" max="13824" width="17.578125" style="176" customWidth="1"/>
    <col min="13825" max="13825" width="11.83984375" style="176" customWidth="1"/>
    <col min="13826" max="13826" width="9" style="176"/>
    <col min="13827" max="13827" width="12.83984375" style="176" bestFit="1" customWidth="1"/>
    <col min="13828" max="14072" width="9" style="176"/>
    <col min="14073" max="14073" width="8.26171875" style="176" customWidth="1"/>
    <col min="14074" max="14074" width="86.26171875" style="176" bestFit="1" customWidth="1"/>
    <col min="14075" max="14075" width="13.15625" style="176" bestFit="1" customWidth="1"/>
    <col min="14076" max="14076" width="17.15625" style="176" customWidth="1"/>
    <col min="14077" max="14078" width="21.15625" style="176" customWidth="1"/>
    <col min="14079" max="14079" width="19.83984375" style="176" customWidth="1"/>
    <col min="14080" max="14080" width="17.578125" style="176" customWidth="1"/>
    <col min="14081" max="14081" width="11.83984375" style="176" customWidth="1"/>
    <col min="14082" max="14082" width="9" style="176"/>
    <col min="14083" max="14083" width="12.83984375" style="176" bestFit="1" customWidth="1"/>
    <col min="14084" max="14328" width="9" style="176"/>
    <col min="14329" max="14329" width="8.26171875" style="176" customWidth="1"/>
    <col min="14330" max="14330" width="86.26171875" style="176" bestFit="1" customWidth="1"/>
    <col min="14331" max="14331" width="13.15625" style="176" bestFit="1" customWidth="1"/>
    <col min="14332" max="14332" width="17.15625" style="176" customWidth="1"/>
    <col min="14333" max="14334" width="21.15625" style="176" customWidth="1"/>
    <col min="14335" max="14335" width="19.83984375" style="176" customWidth="1"/>
    <col min="14336" max="14336" width="17.578125" style="176" customWidth="1"/>
    <col min="14337" max="14337" width="11.83984375" style="176" customWidth="1"/>
    <col min="14338" max="14338" width="9" style="176"/>
    <col min="14339" max="14339" width="12.83984375" style="176" bestFit="1" customWidth="1"/>
    <col min="14340" max="14584" width="9" style="176"/>
    <col min="14585" max="14585" width="8.26171875" style="176" customWidth="1"/>
    <col min="14586" max="14586" width="86.26171875" style="176" bestFit="1" customWidth="1"/>
    <col min="14587" max="14587" width="13.15625" style="176" bestFit="1" customWidth="1"/>
    <col min="14588" max="14588" width="17.15625" style="176" customWidth="1"/>
    <col min="14589" max="14590" width="21.15625" style="176" customWidth="1"/>
    <col min="14591" max="14591" width="19.83984375" style="176" customWidth="1"/>
    <col min="14592" max="14592" width="17.578125" style="176" customWidth="1"/>
    <col min="14593" max="14593" width="11.83984375" style="176" customWidth="1"/>
    <col min="14594" max="14594" width="9" style="176"/>
    <col min="14595" max="14595" width="12.83984375" style="176" bestFit="1" customWidth="1"/>
    <col min="14596" max="14840" width="9" style="176"/>
    <col min="14841" max="14841" width="8.26171875" style="176" customWidth="1"/>
    <col min="14842" max="14842" width="86.26171875" style="176" bestFit="1" customWidth="1"/>
    <col min="14843" max="14843" width="13.15625" style="176" bestFit="1" customWidth="1"/>
    <col min="14844" max="14844" width="17.15625" style="176" customWidth="1"/>
    <col min="14845" max="14846" width="21.15625" style="176" customWidth="1"/>
    <col min="14847" max="14847" width="19.83984375" style="176" customWidth="1"/>
    <col min="14848" max="14848" width="17.578125" style="176" customWidth="1"/>
    <col min="14849" max="14849" width="11.83984375" style="176" customWidth="1"/>
    <col min="14850" max="14850" width="9" style="176"/>
    <col min="14851" max="14851" width="12.83984375" style="176" bestFit="1" customWidth="1"/>
    <col min="14852" max="15096" width="9" style="176"/>
    <col min="15097" max="15097" width="8.26171875" style="176" customWidth="1"/>
    <col min="15098" max="15098" width="86.26171875" style="176" bestFit="1" customWidth="1"/>
    <col min="15099" max="15099" width="13.15625" style="176" bestFit="1" customWidth="1"/>
    <col min="15100" max="15100" width="17.15625" style="176" customWidth="1"/>
    <col min="15101" max="15102" width="21.15625" style="176" customWidth="1"/>
    <col min="15103" max="15103" width="19.83984375" style="176" customWidth="1"/>
    <col min="15104" max="15104" width="17.578125" style="176" customWidth="1"/>
    <col min="15105" max="15105" width="11.83984375" style="176" customWidth="1"/>
    <col min="15106" max="15106" width="9" style="176"/>
    <col min="15107" max="15107" width="12.83984375" style="176" bestFit="1" customWidth="1"/>
    <col min="15108" max="15352" width="9" style="176"/>
    <col min="15353" max="15353" width="8.26171875" style="176" customWidth="1"/>
    <col min="15354" max="15354" width="86.26171875" style="176" bestFit="1" customWidth="1"/>
    <col min="15355" max="15355" width="13.15625" style="176" bestFit="1" customWidth="1"/>
    <col min="15356" max="15356" width="17.15625" style="176" customWidth="1"/>
    <col min="15357" max="15358" width="21.15625" style="176" customWidth="1"/>
    <col min="15359" max="15359" width="19.83984375" style="176" customWidth="1"/>
    <col min="15360" max="15360" width="17.578125" style="176" customWidth="1"/>
    <col min="15361" max="15361" width="11.83984375" style="176" customWidth="1"/>
    <col min="15362" max="15362" width="9" style="176"/>
    <col min="15363" max="15363" width="12.83984375" style="176" bestFit="1" customWidth="1"/>
    <col min="15364" max="15608" width="9" style="176"/>
    <col min="15609" max="15609" width="8.26171875" style="176" customWidth="1"/>
    <col min="15610" max="15610" width="86.26171875" style="176" bestFit="1" customWidth="1"/>
    <col min="15611" max="15611" width="13.15625" style="176" bestFit="1" customWidth="1"/>
    <col min="15612" max="15612" width="17.15625" style="176" customWidth="1"/>
    <col min="15613" max="15614" width="21.15625" style="176" customWidth="1"/>
    <col min="15615" max="15615" width="19.83984375" style="176" customWidth="1"/>
    <col min="15616" max="15616" width="17.578125" style="176" customWidth="1"/>
    <col min="15617" max="15617" width="11.83984375" style="176" customWidth="1"/>
    <col min="15618" max="15618" width="9" style="176"/>
    <col min="15619" max="15619" width="12.83984375" style="176" bestFit="1" customWidth="1"/>
    <col min="15620" max="15864" width="9" style="176"/>
    <col min="15865" max="15865" width="8.26171875" style="176" customWidth="1"/>
    <col min="15866" max="15866" width="86.26171875" style="176" bestFit="1" customWidth="1"/>
    <col min="15867" max="15867" width="13.15625" style="176" bestFit="1" customWidth="1"/>
    <col min="15868" max="15868" width="17.15625" style="176" customWidth="1"/>
    <col min="15869" max="15870" width="21.15625" style="176" customWidth="1"/>
    <col min="15871" max="15871" width="19.83984375" style="176" customWidth="1"/>
    <col min="15872" max="15872" width="17.578125" style="176" customWidth="1"/>
    <col min="15873" max="15873" width="11.83984375" style="176" customWidth="1"/>
    <col min="15874" max="15874" width="9" style="176"/>
    <col min="15875" max="15875" width="12.83984375" style="176" bestFit="1" customWidth="1"/>
    <col min="15876" max="16120" width="9" style="176"/>
    <col min="16121" max="16121" width="8.26171875" style="176" customWidth="1"/>
    <col min="16122" max="16122" width="86.26171875" style="176" bestFit="1" customWidth="1"/>
    <col min="16123" max="16123" width="13.15625" style="176" bestFit="1" customWidth="1"/>
    <col min="16124" max="16124" width="17.15625" style="176" customWidth="1"/>
    <col min="16125" max="16126" width="21.15625" style="176" customWidth="1"/>
    <col min="16127" max="16127" width="19.83984375" style="176" customWidth="1"/>
    <col min="16128" max="16128" width="17.578125" style="176" customWidth="1"/>
    <col min="16129" max="16129" width="11.83984375" style="176" customWidth="1"/>
    <col min="16130" max="16130" width="9" style="176"/>
    <col min="16131" max="16131" width="12.83984375" style="176" bestFit="1" customWidth="1"/>
    <col min="16132"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4" spans="1:8" ht="18" customHeight="1" x14ac:dyDescent="0.55000000000000004"/>
    <row r="5" spans="1:8" ht="18" customHeight="1" x14ac:dyDescent="0.55000000000000004">
      <c r="B5" s="180" t="s">
        <v>236</v>
      </c>
      <c r="C5" s="497" t="s">
        <v>534</v>
      </c>
      <c r="D5" s="497"/>
      <c r="E5" s="497"/>
      <c r="F5" s="208"/>
    </row>
    <row r="6" spans="1:8" ht="18" customHeight="1" x14ac:dyDescent="0.55000000000000004">
      <c r="B6" s="180" t="s">
        <v>237</v>
      </c>
      <c r="C6" s="498">
        <v>210027</v>
      </c>
      <c r="D6" s="498"/>
      <c r="E6" s="498"/>
      <c r="F6" s="209"/>
    </row>
    <row r="7" spans="1:8" ht="18" customHeight="1" x14ac:dyDescent="0.55000000000000004">
      <c r="B7" s="180" t="s">
        <v>238</v>
      </c>
      <c r="C7" s="499">
        <v>1998</v>
      </c>
      <c r="D7" s="499"/>
      <c r="E7" s="499"/>
      <c r="F7" s="210"/>
    </row>
    <row r="8" spans="1:8" ht="18" customHeight="1" x14ac:dyDescent="0.55000000000000004">
      <c r="C8" s="211"/>
      <c r="D8" s="211"/>
      <c r="E8" s="211"/>
      <c r="F8" s="212"/>
    </row>
    <row r="9" spans="1:8" ht="18" customHeight="1" x14ac:dyDescent="0.55000000000000004">
      <c r="B9" s="180" t="s">
        <v>239</v>
      </c>
      <c r="C9" s="497" t="s">
        <v>535</v>
      </c>
      <c r="D9" s="497"/>
      <c r="E9" s="497"/>
      <c r="F9" s="208"/>
    </row>
    <row r="10" spans="1:8" ht="18" customHeight="1" x14ac:dyDescent="0.55000000000000004">
      <c r="B10" s="180" t="s">
        <v>241</v>
      </c>
      <c r="C10" s="491" t="s">
        <v>536</v>
      </c>
      <c r="D10" s="491"/>
      <c r="E10" s="491"/>
      <c r="F10" s="213"/>
    </row>
    <row r="11" spans="1:8" ht="18" customHeight="1" x14ac:dyDescent="0.55000000000000004">
      <c r="B11" s="180" t="s">
        <v>243</v>
      </c>
      <c r="C11" s="492" t="s">
        <v>537</v>
      </c>
      <c r="D11" s="492"/>
      <c r="E11" s="492"/>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6042287.3090761304</v>
      </c>
      <c r="E18" s="214"/>
      <c r="F18" s="214"/>
      <c r="G18" s="214">
        <v>5007667.382866608</v>
      </c>
      <c r="H18" s="249">
        <f>(D18+E18)-G18</f>
        <v>1034619.9262095224</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C21" s="345"/>
      <c r="D21" s="184">
        <v>75334.559999999983</v>
      </c>
      <c r="E21" s="216">
        <f t="shared" ref="E21:E30" si="0">ROUND(D21*$E$114,2)</f>
        <v>61066.19</v>
      </c>
      <c r="F21" s="216"/>
      <c r="G21" s="184"/>
      <c r="H21" s="346">
        <f>(D21+E21)-F21-G21</f>
        <v>136400.75</v>
      </c>
    </row>
    <row r="22" spans="1:8" ht="18" customHeight="1" x14ac:dyDescent="0.55000000000000004">
      <c r="A22" s="180" t="s">
        <v>112</v>
      </c>
      <c r="B22" s="176" t="s">
        <v>113</v>
      </c>
      <c r="C22" s="345"/>
      <c r="D22" s="184">
        <v>0</v>
      </c>
      <c r="E22" s="216">
        <f t="shared" si="0"/>
        <v>0</v>
      </c>
      <c r="F22" s="216"/>
      <c r="G22" s="184"/>
      <c r="H22" s="346">
        <f t="shared" ref="H22:H34" si="1">(D22+E22)-F22-G22</f>
        <v>0</v>
      </c>
    </row>
    <row r="23" spans="1:8" ht="18" customHeight="1" x14ac:dyDescent="0.55000000000000004">
      <c r="A23" s="180" t="s">
        <v>114</v>
      </c>
      <c r="B23" s="176" t="s">
        <v>115</v>
      </c>
      <c r="C23" s="345"/>
      <c r="D23" s="184">
        <v>42615.579999999994</v>
      </c>
      <c r="E23" s="216">
        <f t="shared" si="0"/>
        <v>34544.19</v>
      </c>
      <c r="F23" s="216"/>
      <c r="G23" s="184"/>
      <c r="H23" s="346">
        <f t="shared" si="1"/>
        <v>77159.76999999999</v>
      </c>
    </row>
    <row r="24" spans="1:8" ht="18" customHeight="1" x14ac:dyDescent="0.55000000000000004">
      <c r="A24" s="180" t="s">
        <v>116</v>
      </c>
      <c r="B24" s="176" t="s">
        <v>117</v>
      </c>
      <c r="C24" s="345"/>
      <c r="D24" s="184">
        <v>0</v>
      </c>
      <c r="E24" s="216">
        <f t="shared" si="0"/>
        <v>0</v>
      </c>
      <c r="F24" s="216"/>
      <c r="G24" s="184"/>
      <c r="H24" s="346">
        <f t="shared" si="1"/>
        <v>0</v>
      </c>
    </row>
    <row r="25" spans="1:8" ht="18" customHeight="1" x14ac:dyDescent="0.55000000000000004">
      <c r="A25" s="180" t="s">
        <v>118</v>
      </c>
      <c r="B25" s="176" t="s">
        <v>119</v>
      </c>
      <c r="C25" s="345"/>
      <c r="D25" s="184">
        <v>0</v>
      </c>
      <c r="E25" s="216">
        <f t="shared" si="0"/>
        <v>0</v>
      </c>
      <c r="F25" s="216"/>
      <c r="G25" s="184"/>
      <c r="H25" s="346">
        <f t="shared" si="1"/>
        <v>0</v>
      </c>
    </row>
    <row r="26" spans="1:8" ht="18" customHeight="1" x14ac:dyDescent="0.55000000000000004">
      <c r="A26" s="180" t="s">
        <v>120</v>
      </c>
      <c r="B26" s="176" t="s">
        <v>121</v>
      </c>
      <c r="C26" s="345"/>
      <c r="D26" s="184">
        <v>0</v>
      </c>
      <c r="E26" s="216">
        <f t="shared" si="0"/>
        <v>0</v>
      </c>
      <c r="F26" s="216"/>
      <c r="G26" s="184"/>
      <c r="H26" s="346">
        <f t="shared" si="1"/>
        <v>0</v>
      </c>
    </row>
    <row r="27" spans="1:8" ht="18" customHeight="1" x14ac:dyDescent="0.55000000000000004">
      <c r="A27" s="180" t="s">
        <v>122</v>
      </c>
      <c r="B27" s="176" t="s">
        <v>246</v>
      </c>
      <c r="C27" s="345"/>
      <c r="D27" s="184">
        <v>0</v>
      </c>
      <c r="E27" s="216">
        <f t="shared" si="0"/>
        <v>0</v>
      </c>
      <c r="F27" s="216"/>
      <c r="G27" s="184"/>
      <c r="H27" s="346">
        <f t="shared" si="1"/>
        <v>0</v>
      </c>
    </row>
    <row r="28" spans="1:8" ht="18" customHeight="1" x14ac:dyDescent="0.55000000000000004">
      <c r="A28" s="180" t="s">
        <v>124</v>
      </c>
      <c r="B28" s="176" t="s">
        <v>125</v>
      </c>
      <c r="C28" s="345"/>
      <c r="D28" s="184">
        <v>0</v>
      </c>
      <c r="E28" s="216">
        <f t="shared" si="0"/>
        <v>0</v>
      </c>
      <c r="F28" s="216"/>
      <c r="G28" s="184"/>
      <c r="H28" s="346">
        <f t="shared" si="1"/>
        <v>0</v>
      </c>
    </row>
    <row r="29" spans="1:8" ht="18" customHeight="1" x14ac:dyDescent="0.55000000000000004">
      <c r="A29" s="180" t="s">
        <v>126</v>
      </c>
      <c r="B29" s="176" t="s">
        <v>127</v>
      </c>
      <c r="C29" s="345"/>
      <c r="D29" s="184">
        <v>609632.37</v>
      </c>
      <c r="E29" s="216">
        <f t="shared" si="0"/>
        <v>494168</v>
      </c>
      <c r="F29" s="216"/>
      <c r="G29" s="184"/>
      <c r="H29" s="346">
        <f t="shared" si="1"/>
        <v>1103800.3700000001</v>
      </c>
    </row>
    <row r="30" spans="1:8" ht="18" customHeight="1" x14ac:dyDescent="0.55000000000000004">
      <c r="A30" s="180" t="s">
        <v>128</v>
      </c>
      <c r="B30" s="185" t="s">
        <v>538</v>
      </c>
      <c r="C30" s="345"/>
      <c r="D30" s="184">
        <v>82151.12</v>
      </c>
      <c r="E30" s="216">
        <f t="shared" si="0"/>
        <v>66591.7</v>
      </c>
      <c r="F30" s="216"/>
      <c r="G30" s="184"/>
      <c r="H30" s="346">
        <f t="shared" si="1"/>
        <v>148742.82</v>
      </c>
    </row>
    <row r="31" spans="1:8" ht="18" customHeight="1" x14ac:dyDescent="0.55000000000000004">
      <c r="A31" s="180" t="s">
        <v>130</v>
      </c>
      <c r="B31" s="185"/>
      <c r="C31" s="345"/>
      <c r="D31" s="184"/>
      <c r="E31" s="216"/>
      <c r="F31" s="216"/>
      <c r="G31" s="184"/>
      <c r="H31" s="346">
        <f t="shared" si="1"/>
        <v>0</v>
      </c>
    </row>
    <row r="32" spans="1:8" ht="18" customHeight="1" x14ac:dyDescent="0.55000000000000004">
      <c r="A32" s="180" t="s">
        <v>131</v>
      </c>
      <c r="B32" s="185"/>
      <c r="C32" s="345"/>
      <c r="D32" s="184"/>
      <c r="E32" s="216"/>
      <c r="F32" s="216"/>
      <c r="G32" s="184"/>
      <c r="H32" s="346">
        <f t="shared" si="1"/>
        <v>0</v>
      </c>
    </row>
    <row r="33" spans="1:8" ht="18" customHeight="1" x14ac:dyDescent="0.55000000000000004">
      <c r="A33" s="180" t="s">
        <v>132</v>
      </c>
      <c r="B33" s="185"/>
      <c r="C33" s="345"/>
      <c r="D33" s="184"/>
      <c r="E33" s="216"/>
      <c r="F33" s="216"/>
      <c r="G33" s="184"/>
      <c r="H33" s="346">
        <f t="shared" si="1"/>
        <v>0</v>
      </c>
    </row>
    <row r="34" spans="1:8" ht="18" customHeight="1" x14ac:dyDescent="0.55000000000000004">
      <c r="A34" s="180" t="s">
        <v>133</v>
      </c>
      <c r="B34" s="185"/>
      <c r="C34" s="345"/>
      <c r="D34" s="184"/>
      <c r="E34" s="216"/>
      <c r="F34" s="216"/>
      <c r="G34" s="184"/>
      <c r="H34" s="346">
        <f t="shared" si="1"/>
        <v>0</v>
      </c>
    </row>
    <row r="35" spans="1:8" ht="18" customHeight="1" x14ac:dyDescent="0.55000000000000004">
      <c r="H35" s="186"/>
    </row>
    <row r="36" spans="1:8" ht="18" customHeight="1" x14ac:dyDescent="0.55000000000000004">
      <c r="A36" s="183" t="s">
        <v>134</v>
      </c>
      <c r="B36" s="179" t="s">
        <v>135</v>
      </c>
      <c r="C36" s="179" t="s">
        <v>248</v>
      </c>
      <c r="D36" s="346">
        <f>SUM(D21:D34)</f>
        <v>809733.63</v>
      </c>
      <c r="E36" s="346">
        <f>SUM(E21:E34)</f>
        <v>656370.07999999996</v>
      </c>
      <c r="F36" s="346">
        <f>SUM(F21:F34)</f>
        <v>0</v>
      </c>
      <c r="G36" s="346">
        <f>SUM(G21:G34)</f>
        <v>0</v>
      </c>
      <c r="H36" s="346">
        <f>SUM(H21:H34)</f>
        <v>1466103.7100000002</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1982756.54</v>
      </c>
      <c r="E40" s="216"/>
      <c r="F40" s="216"/>
      <c r="G40" s="184"/>
      <c r="H40" s="346">
        <f>(D40+E40)-F40-G40</f>
        <v>1982756.54</v>
      </c>
    </row>
    <row r="41" spans="1:8" ht="18" customHeight="1" x14ac:dyDescent="0.55000000000000004">
      <c r="A41" s="180" t="s">
        <v>251</v>
      </c>
      <c r="B41" s="176" t="s">
        <v>141</v>
      </c>
      <c r="D41" s="184">
        <v>202182.28</v>
      </c>
      <c r="E41" s="216"/>
      <c r="F41" s="216"/>
      <c r="G41" s="184">
        <f>D41</f>
        <v>202182.28</v>
      </c>
      <c r="H41" s="346">
        <f t="shared" ref="H41:H47" si="2">(D41+E41)-F41-G41</f>
        <v>0</v>
      </c>
    </row>
    <row r="42" spans="1:8" ht="18" customHeight="1" x14ac:dyDescent="0.55000000000000004">
      <c r="A42" s="180" t="s">
        <v>252</v>
      </c>
      <c r="B42" s="176" t="s">
        <v>143</v>
      </c>
      <c r="D42" s="184">
        <v>39728.71</v>
      </c>
      <c r="E42" s="216"/>
      <c r="F42" s="216"/>
      <c r="G42" s="184"/>
      <c r="H42" s="346">
        <f t="shared" si="2"/>
        <v>39728.71</v>
      </c>
    </row>
    <row r="43" spans="1:8" ht="18" customHeight="1" x14ac:dyDescent="0.55000000000000004">
      <c r="A43" s="180" t="s">
        <v>253</v>
      </c>
      <c r="B43" s="176" t="s">
        <v>145</v>
      </c>
      <c r="D43" s="184">
        <v>0</v>
      </c>
      <c r="E43" s="216"/>
      <c r="F43" s="216"/>
      <c r="G43" s="184"/>
      <c r="H43" s="346">
        <f t="shared" si="2"/>
        <v>0</v>
      </c>
    </row>
    <row r="44" spans="1:8" ht="18" customHeight="1" x14ac:dyDescent="0.55000000000000004">
      <c r="A44" s="180" t="s">
        <v>146</v>
      </c>
      <c r="B44" s="185"/>
      <c r="D44" s="184">
        <v>0</v>
      </c>
      <c r="E44" s="216"/>
      <c r="F44" s="220"/>
      <c r="G44" s="219"/>
      <c r="H44" s="346">
        <f t="shared" si="2"/>
        <v>0</v>
      </c>
    </row>
    <row r="45" spans="1:8" ht="18" customHeight="1" x14ac:dyDescent="0.55000000000000004">
      <c r="A45" s="180" t="s">
        <v>147</v>
      </c>
      <c r="B45" s="185"/>
      <c r="D45" s="184"/>
      <c r="E45" s="216"/>
      <c r="F45" s="216"/>
      <c r="G45" s="184"/>
      <c r="H45" s="346">
        <f t="shared" si="2"/>
        <v>0</v>
      </c>
    </row>
    <row r="46" spans="1:8" ht="18" customHeight="1" x14ac:dyDescent="0.55000000000000004">
      <c r="A46" s="180" t="s">
        <v>148</v>
      </c>
      <c r="B46" s="185"/>
      <c r="D46" s="184"/>
      <c r="E46" s="216"/>
      <c r="F46" s="216"/>
      <c r="G46" s="184"/>
      <c r="H46" s="346">
        <f t="shared" si="2"/>
        <v>0</v>
      </c>
    </row>
    <row r="47" spans="1:8" ht="18" customHeight="1" x14ac:dyDescent="0.55000000000000004">
      <c r="A47" s="180" t="s">
        <v>149</v>
      </c>
      <c r="B47" s="185"/>
      <c r="D47" s="184"/>
      <c r="E47" s="216"/>
      <c r="F47" s="216"/>
      <c r="G47" s="184"/>
      <c r="H47" s="346">
        <f t="shared" si="2"/>
        <v>0</v>
      </c>
    </row>
    <row r="48" spans="1:8" ht="18" customHeight="1" x14ac:dyDescent="0.55000000000000004"/>
    <row r="49" spans="1:10" ht="18" customHeight="1" x14ac:dyDescent="0.55000000000000004">
      <c r="A49" s="183" t="s">
        <v>150</v>
      </c>
      <c r="B49" s="179" t="s">
        <v>254</v>
      </c>
      <c r="C49" s="179" t="s">
        <v>248</v>
      </c>
      <c r="D49" s="346">
        <f>SUM(D40:D47)</f>
        <v>2224667.5299999998</v>
      </c>
      <c r="E49" s="346">
        <f>SUM(E40:E47)</f>
        <v>0</v>
      </c>
      <c r="F49" s="346">
        <f>SUM(F40:F47)</f>
        <v>0</v>
      </c>
      <c r="G49" s="346">
        <f>SUM(G40:G47)</f>
        <v>202182.28</v>
      </c>
      <c r="H49" s="346">
        <f>SUM(H40:H47)</f>
        <v>2022485.25</v>
      </c>
    </row>
    <row r="50" spans="1:10" ht="18" customHeight="1" thickBot="1" x14ac:dyDescent="0.6">
      <c r="D50" s="189"/>
      <c r="E50" s="189"/>
      <c r="F50" s="189"/>
      <c r="G50" s="189"/>
      <c r="H50" s="189"/>
    </row>
    <row r="51" spans="1:10" ht="42.75" customHeight="1" x14ac:dyDescent="0.55000000000000004">
      <c r="D51" s="182" t="s">
        <v>99</v>
      </c>
      <c r="E51" s="182" t="s">
        <v>100</v>
      </c>
      <c r="F51" s="182" t="s">
        <v>431</v>
      </c>
      <c r="G51" s="182" t="s">
        <v>432</v>
      </c>
      <c r="H51" s="182" t="s">
        <v>244</v>
      </c>
    </row>
    <row r="52" spans="1:10" ht="18" customHeight="1" x14ac:dyDescent="0.55000000000000004">
      <c r="A52" s="183" t="s">
        <v>255</v>
      </c>
      <c r="B52" s="221" t="s">
        <v>256</v>
      </c>
    </row>
    <row r="53" spans="1:10" ht="18" customHeight="1" x14ac:dyDescent="0.55000000000000004">
      <c r="A53" s="180" t="s">
        <v>257</v>
      </c>
      <c r="B53" s="176" t="s">
        <v>433</v>
      </c>
      <c r="D53" s="347">
        <v>64460435.520000003</v>
      </c>
      <c r="E53" s="347">
        <v>29509909.479999997</v>
      </c>
      <c r="F53" s="347">
        <v>227090</v>
      </c>
      <c r="G53" s="347">
        <v>43871181.469999999</v>
      </c>
      <c r="H53" s="346">
        <v>49872073.529999994</v>
      </c>
      <c r="J53" s="338"/>
    </row>
    <row r="54" spans="1:10" ht="18" customHeight="1" x14ac:dyDescent="0.55000000000000004">
      <c r="A54" s="180" t="s">
        <v>259</v>
      </c>
      <c r="B54"/>
      <c r="D54" s="184"/>
      <c r="E54" s="216"/>
      <c r="F54" s="216"/>
      <c r="G54" s="184"/>
      <c r="H54" s="346"/>
    </row>
    <row r="55" spans="1:10" ht="18" customHeight="1" x14ac:dyDescent="0.55000000000000004">
      <c r="A55" s="180" t="s">
        <v>260</v>
      </c>
      <c r="B55"/>
      <c r="D55" s="184"/>
      <c r="E55" s="216"/>
      <c r="F55" s="216"/>
      <c r="G55" s="184"/>
      <c r="H55" s="346"/>
    </row>
    <row r="56" spans="1:10" ht="18" customHeight="1" x14ac:dyDescent="0.55000000000000004">
      <c r="A56" s="180" t="s">
        <v>261</v>
      </c>
      <c r="B56"/>
      <c r="D56" s="184"/>
      <c r="E56" s="216"/>
      <c r="F56" s="216"/>
      <c r="G56" s="184"/>
      <c r="H56" s="346"/>
    </row>
    <row r="57" spans="1:10" ht="18" customHeight="1" x14ac:dyDescent="0.55000000000000004">
      <c r="A57" s="180" t="s">
        <v>263</v>
      </c>
      <c r="B57"/>
      <c r="D57" s="184"/>
      <c r="E57" s="216"/>
      <c r="F57" s="216"/>
      <c r="G57" s="184"/>
      <c r="H57" s="346"/>
    </row>
    <row r="58" spans="1:10" ht="18" customHeight="1" x14ac:dyDescent="0.55000000000000004">
      <c r="A58" s="180" t="s">
        <v>539</v>
      </c>
      <c r="B58"/>
      <c r="D58" s="184"/>
      <c r="E58" s="216"/>
      <c r="F58" s="216"/>
      <c r="G58" s="184"/>
      <c r="H58" s="346"/>
    </row>
    <row r="59" spans="1:10" ht="18" customHeight="1" x14ac:dyDescent="0.55000000000000004">
      <c r="A59" s="180" t="s">
        <v>540</v>
      </c>
      <c r="B59"/>
      <c r="D59" s="184"/>
      <c r="E59" s="216"/>
      <c r="F59" s="216"/>
      <c r="G59" s="184"/>
      <c r="H59" s="346"/>
    </row>
    <row r="60" spans="1:10" ht="18" customHeight="1" x14ac:dyDescent="0.55000000000000004">
      <c r="A60" s="180" t="s">
        <v>541</v>
      </c>
      <c r="B60"/>
      <c r="D60" s="184"/>
      <c r="E60" s="216"/>
      <c r="F60" s="216"/>
      <c r="G60" s="184"/>
      <c r="H60" s="346"/>
    </row>
    <row r="61" spans="1:10" ht="18" customHeight="1" x14ac:dyDescent="0.55000000000000004">
      <c r="A61" s="180" t="s">
        <v>542</v>
      </c>
      <c r="B61"/>
      <c r="D61" s="184"/>
      <c r="E61" s="216"/>
      <c r="F61" s="216"/>
      <c r="G61" s="184"/>
      <c r="H61" s="346"/>
    </row>
    <row r="62" spans="1:10" ht="18" customHeight="1" x14ac:dyDescent="0.55000000000000004">
      <c r="A62" s="180" t="s">
        <v>543</v>
      </c>
      <c r="B62"/>
      <c r="D62" s="184"/>
      <c r="E62" s="216"/>
      <c r="F62" s="216"/>
      <c r="G62" s="184"/>
      <c r="H62" s="346"/>
    </row>
    <row r="63" spans="1:10" ht="18" customHeight="1" x14ac:dyDescent="0.55000000000000004">
      <c r="A63" s="180"/>
      <c r="E63" s="227"/>
      <c r="F63" s="192"/>
    </row>
    <row r="64" spans="1:10" ht="18" customHeight="1" x14ac:dyDescent="0.55000000000000004">
      <c r="A64" s="180" t="s">
        <v>269</v>
      </c>
      <c r="B64" s="179" t="s">
        <v>270</v>
      </c>
      <c r="C64" s="179" t="s">
        <v>248</v>
      </c>
      <c r="D64" s="346">
        <f>SUM(D53:D62)</f>
        <v>64460435.520000003</v>
      </c>
      <c r="E64" s="346">
        <f>SUM(E53:E62)</f>
        <v>29509909.479999997</v>
      </c>
      <c r="F64" s="346">
        <f>SUM(F53:F62)</f>
        <v>227090</v>
      </c>
      <c r="G64" s="346">
        <f>SUM(G53:G62)</f>
        <v>43871181.469999999</v>
      </c>
      <c r="H64" s="346">
        <f>SUM(H53:H62)</f>
        <v>49872073.529999994</v>
      </c>
    </row>
    <row r="65" spans="1:8" ht="18" customHeight="1" x14ac:dyDescent="0.55000000000000004">
      <c r="D65" s="190"/>
      <c r="E65" s="190"/>
      <c r="F65" s="190"/>
      <c r="G65" s="190"/>
      <c r="H65" s="190"/>
    </row>
    <row r="66" spans="1:8" ht="42.75" customHeight="1" x14ac:dyDescent="0.55000000000000004">
      <c r="D66" s="182" t="s">
        <v>99</v>
      </c>
      <c r="E66" s="182" t="s">
        <v>100</v>
      </c>
      <c r="F66" s="182" t="s">
        <v>431</v>
      </c>
      <c r="G66" s="182" t="s">
        <v>432</v>
      </c>
      <c r="H66" s="182" t="s">
        <v>244</v>
      </c>
    </row>
    <row r="67" spans="1:8" ht="18" customHeight="1" x14ac:dyDescent="0.55000000000000004">
      <c r="A67" s="183" t="s">
        <v>271</v>
      </c>
      <c r="B67" s="179" t="s">
        <v>155</v>
      </c>
      <c r="D67" s="212"/>
      <c r="E67" s="192"/>
      <c r="F67" s="192"/>
      <c r="G67" s="212"/>
      <c r="H67" s="192"/>
    </row>
    <row r="68" spans="1:8" ht="18" customHeight="1" x14ac:dyDescent="0.55000000000000004">
      <c r="A68" s="180" t="s">
        <v>272</v>
      </c>
      <c r="B68" s="176" t="s">
        <v>157</v>
      </c>
      <c r="D68" s="228"/>
      <c r="E68" s="216"/>
      <c r="F68" s="216"/>
      <c r="G68" s="228"/>
      <c r="H68" s="346">
        <f>(D68+E68)-F68-G68</f>
        <v>0</v>
      </c>
    </row>
    <row r="69" spans="1:8" ht="18" customHeight="1" x14ac:dyDescent="0.55000000000000004">
      <c r="A69" s="180" t="s">
        <v>273</v>
      </c>
      <c r="B69" s="176" t="s">
        <v>159</v>
      </c>
      <c r="D69" s="228"/>
      <c r="E69" s="216"/>
      <c r="F69" s="216"/>
      <c r="G69" s="228"/>
      <c r="H69" s="346">
        <f>(D69+E69)-F69-G69</f>
        <v>0</v>
      </c>
    </row>
    <row r="70" spans="1:8" ht="18" customHeight="1" x14ac:dyDescent="0.55000000000000004">
      <c r="A70" s="180" t="s">
        <v>274</v>
      </c>
      <c r="B70" s="193"/>
      <c r="C70" s="179"/>
      <c r="D70" s="224"/>
      <c r="E70" s="216"/>
      <c r="F70" s="225"/>
      <c r="G70" s="224"/>
      <c r="H70" s="346">
        <f>(D70+E70)-F70-G70</f>
        <v>0</v>
      </c>
    </row>
    <row r="71" spans="1:8" ht="18" customHeight="1" x14ac:dyDescent="0.55000000000000004">
      <c r="A71" s="180" t="s">
        <v>275</v>
      </c>
      <c r="B71" s="193"/>
      <c r="C71" s="179"/>
      <c r="D71" s="224"/>
      <c r="E71" s="216"/>
      <c r="F71" s="225"/>
      <c r="G71" s="224"/>
      <c r="H71" s="346">
        <f>(D71+E71)-F71-G71</f>
        <v>0</v>
      </c>
    </row>
    <row r="72" spans="1:8" ht="18" customHeight="1" x14ac:dyDescent="0.55000000000000004">
      <c r="A72" s="180" t="s">
        <v>276</v>
      </c>
      <c r="B72" s="194"/>
      <c r="C72" s="179"/>
      <c r="D72" s="184"/>
      <c r="E72" s="216"/>
      <c r="F72" s="216"/>
      <c r="G72" s="184"/>
      <c r="H72" s="346">
        <f>(D72+E72)-F72-G72</f>
        <v>0</v>
      </c>
    </row>
    <row r="73" spans="1:8" ht="18" customHeight="1" x14ac:dyDescent="0.55000000000000004">
      <c r="A73" s="180"/>
      <c r="C73" s="179"/>
      <c r="D73" s="195"/>
      <c r="E73" s="192"/>
      <c r="F73" s="192"/>
      <c r="G73" s="195"/>
      <c r="H73" s="192"/>
    </row>
    <row r="74" spans="1:8" ht="18" customHeight="1" x14ac:dyDescent="0.55000000000000004">
      <c r="A74" s="183" t="s">
        <v>161</v>
      </c>
      <c r="B74" s="179" t="s">
        <v>277</v>
      </c>
      <c r="C74" s="179" t="s">
        <v>248</v>
      </c>
      <c r="D74" s="346">
        <f>SUM(D68:D72)</f>
        <v>0</v>
      </c>
      <c r="E74" s="348">
        <f>SUM(E68:E72)</f>
        <v>0</v>
      </c>
      <c r="F74" s="348">
        <f>SUM(F68:F72)</f>
        <v>0</v>
      </c>
      <c r="G74" s="346">
        <f>SUM(G68:G72)</f>
        <v>0</v>
      </c>
      <c r="H74" s="346">
        <f>SUM(H68:H72)</f>
        <v>0</v>
      </c>
    </row>
    <row r="75" spans="1:8" ht="42.75" customHeight="1" x14ac:dyDescent="0.55000000000000004">
      <c r="D75" s="182" t="s">
        <v>99</v>
      </c>
      <c r="E75" s="182" t="s">
        <v>100</v>
      </c>
      <c r="F75" s="182" t="s">
        <v>431</v>
      </c>
      <c r="G75" s="182" t="s">
        <v>432</v>
      </c>
      <c r="H75" s="182" t="s">
        <v>244</v>
      </c>
    </row>
    <row r="76" spans="1:8" ht="18" customHeight="1" x14ac:dyDescent="0.55000000000000004">
      <c r="A76" s="183" t="s">
        <v>278</v>
      </c>
      <c r="B76" s="179" t="s">
        <v>279</v>
      </c>
    </row>
    <row r="77" spans="1:8" ht="18" customHeight="1" x14ac:dyDescent="0.55000000000000004">
      <c r="A77" s="180" t="s">
        <v>280</v>
      </c>
      <c r="B77" s="176" t="s">
        <v>164</v>
      </c>
      <c r="D77" s="184">
        <v>259497.96</v>
      </c>
      <c r="E77" s="230"/>
      <c r="F77" s="220"/>
      <c r="G77" s="184"/>
      <c r="H77" s="346">
        <f>(D77-F77-G77)</f>
        <v>259497.96</v>
      </c>
    </row>
    <row r="78" spans="1:8" ht="18" customHeight="1" x14ac:dyDescent="0.55000000000000004">
      <c r="A78" s="180" t="s">
        <v>281</v>
      </c>
      <c r="B78" s="176" t="s">
        <v>166</v>
      </c>
      <c r="D78" s="184"/>
      <c r="E78" s="230"/>
      <c r="F78" s="220"/>
      <c r="G78" s="184"/>
      <c r="H78" s="346">
        <f>(D78-F78-G78)</f>
        <v>0</v>
      </c>
    </row>
    <row r="79" spans="1:8" ht="18" customHeight="1" x14ac:dyDescent="0.55000000000000004">
      <c r="A79" s="180" t="s">
        <v>282</v>
      </c>
      <c r="B79" s="176" t="s">
        <v>168</v>
      </c>
      <c r="D79" s="184">
        <v>54036.32</v>
      </c>
      <c r="E79" s="230"/>
      <c r="F79" s="220"/>
      <c r="G79" s="184">
        <v>9000</v>
      </c>
      <c r="H79" s="346">
        <f>(D79-F79-G79)</f>
        <v>45036.32</v>
      </c>
    </row>
    <row r="80" spans="1:8" ht="18" customHeight="1" x14ac:dyDescent="0.55000000000000004">
      <c r="A80" s="180" t="s">
        <v>283</v>
      </c>
      <c r="B80" s="176" t="s">
        <v>170</v>
      </c>
      <c r="D80" s="184"/>
      <c r="E80" s="230"/>
      <c r="F80" s="220"/>
      <c r="G80" s="184"/>
      <c r="H80" s="346">
        <f>(D80-F80-G80)</f>
        <v>0</v>
      </c>
    </row>
    <row r="81" spans="1:8" ht="18" customHeight="1" x14ac:dyDescent="0.55000000000000004">
      <c r="A81" s="180"/>
      <c r="H81" s="196"/>
    </row>
    <row r="82" spans="1:8" ht="18" customHeight="1" x14ac:dyDescent="0.55000000000000004">
      <c r="A82" s="180" t="s">
        <v>171</v>
      </c>
      <c r="B82" s="179" t="s">
        <v>284</v>
      </c>
      <c r="C82" s="179" t="s">
        <v>248</v>
      </c>
      <c r="D82" s="346">
        <f>SUM(D77:D80)</f>
        <v>313534.27999999997</v>
      </c>
      <c r="E82" s="231"/>
      <c r="F82" s="346">
        <f>SUM(F77:F80)</f>
        <v>0</v>
      </c>
      <c r="G82" s="346">
        <f>SUM(G77:G80)</f>
        <v>9000</v>
      </c>
      <c r="H82" s="346">
        <f>SUM(H77:H80)</f>
        <v>304534.27999999997</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346">
        <f>(D86+E86)-F86-G86</f>
        <v>0</v>
      </c>
    </row>
    <row r="87" spans="1:8" ht="18" customHeight="1" x14ac:dyDescent="0.55000000000000004">
      <c r="A87" s="180" t="s">
        <v>287</v>
      </c>
      <c r="B87" s="176" t="s">
        <v>177</v>
      </c>
      <c r="D87" s="184"/>
      <c r="E87" s="216"/>
      <c r="F87" s="216"/>
      <c r="G87" s="184"/>
      <c r="H87" s="346">
        <f t="shared" ref="H87:H96" si="3">(D87+E87)-F87-G87</f>
        <v>0</v>
      </c>
    </row>
    <row r="88" spans="1:8" ht="18" customHeight="1" x14ac:dyDescent="0.55000000000000004">
      <c r="A88" s="180" t="s">
        <v>288</v>
      </c>
      <c r="B88" s="176" t="s">
        <v>289</v>
      </c>
      <c r="D88" s="216">
        <v>27998.78</v>
      </c>
      <c r="E88" s="216">
        <f>ROUND(D88*$E$114,2)</f>
        <v>22695.81</v>
      </c>
      <c r="F88" s="216"/>
      <c r="G88" s="184">
        <v>25000</v>
      </c>
      <c r="H88" s="346">
        <f t="shared" si="3"/>
        <v>25694.589999999997</v>
      </c>
    </row>
    <row r="89" spans="1:8" ht="18" customHeight="1" x14ac:dyDescent="0.55000000000000004">
      <c r="A89" s="180" t="s">
        <v>290</v>
      </c>
      <c r="B89" s="176" t="s">
        <v>181</v>
      </c>
      <c r="D89" s="184">
        <v>2523.6999999999998</v>
      </c>
      <c r="E89" s="216"/>
      <c r="F89" s="216"/>
      <c r="G89" s="184"/>
      <c r="H89" s="346">
        <f t="shared" si="3"/>
        <v>2523.6999999999998</v>
      </c>
    </row>
    <row r="90" spans="1:8" ht="18" customHeight="1" x14ac:dyDescent="0.55000000000000004">
      <c r="A90" s="180" t="s">
        <v>291</v>
      </c>
      <c r="B90" s="176" t="s">
        <v>183</v>
      </c>
      <c r="D90" s="184"/>
      <c r="E90" s="216"/>
      <c r="F90" s="216"/>
      <c r="G90" s="184"/>
      <c r="H90" s="346">
        <f t="shared" si="3"/>
        <v>0</v>
      </c>
    </row>
    <row r="91" spans="1:8" ht="18" customHeight="1" x14ac:dyDescent="0.55000000000000004">
      <c r="A91" s="180" t="s">
        <v>292</v>
      </c>
      <c r="B91" s="176" t="s">
        <v>185</v>
      </c>
      <c r="D91" s="184"/>
      <c r="E91" s="216"/>
      <c r="F91" s="216"/>
      <c r="G91" s="184"/>
      <c r="H91" s="346">
        <f t="shared" si="3"/>
        <v>0</v>
      </c>
    </row>
    <row r="92" spans="1:8" ht="18" customHeight="1" x14ac:dyDescent="0.55000000000000004">
      <c r="A92" s="180" t="s">
        <v>293</v>
      </c>
      <c r="B92" s="176" t="s">
        <v>294</v>
      </c>
      <c r="D92" s="233"/>
      <c r="E92" s="216"/>
      <c r="F92" s="234"/>
      <c r="G92" s="233"/>
      <c r="H92" s="346">
        <f t="shared" si="3"/>
        <v>0</v>
      </c>
    </row>
    <row r="93" spans="1:8" ht="18" customHeight="1" x14ac:dyDescent="0.55000000000000004">
      <c r="A93" s="180" t="s">
        <v>295</v>
      </c>
      <c r="B93" s="176" t="s">
        <v>296</v>
      </c>
      <c r="D93" s="216">
        <v>308272.96000000002</v>
      </c>
      <c r="E93" s="216">
        <f>ROUND(D93*$E$114,2)</f>
        <v>249886.06</v>
      </c>
      <c r="F93" s="234"/>
      <c r="G93" s="184"/>
      <c r="H93" s="346">
        <f t="shared" si="3"/>
        <v>558159.02</v>
      </c>
    </row>
    <row r="94" spans="1:8" ht="18" customHeight="1" x14ac:dyDescent="0.55000000000000004">
      <c r="A94" s="180" t="s">
        <v>297</v>
      </c>
      <c r="B94" s="193"/>
      <c r="D94" s="184"/>
      <c r="E94" s="216"/>
      <c r="F94" s="216"/>
      <c r="G94" s="184"/>
      <c r="H94" s="346">
        <f t="shared" si="3"/>
        <v>0</v>
      </c>
    </row>
    <row r="95" spans="1:8" ht="18" customHeight="1" x14ac:dyDescent="0.55000000000000004">
      <c r="A95" s="180" t="s">
        <v>298</v>
      </c>
      <c r="B95" s="193"/>
      <c r="D95" s="184"/>
      <c r="E95" s="216"/>
      <c r="F95" s="216"/>
      <c r="G95" s="184"/>
      <c r="H95" s="346">
        <f t="shared" si="3"/>
        <v>0</v>
      </c>
    </row>
    <row r="96" spans="1:8" ht="18" customHeight="1" x14ac:dyDescent="0.55000000000000004">
      <c r="A96" s="180" t="s">
        <v>299</v>
      </c>
      <c r="B96" s="193"/>
      <c r="D96" s="184"/>
      <c r="E96" s="216"/>
      <c r="F96" s="216"/>
      <c r="G96" s="184"/>
      <c r="H96" s="346">
        <f t="shared" si="3"/>
        <v>0</v>
      </c>
    </row>
    <row r="97" spans="1:8" ht="18" customHeight="1" x14ac:dyDescent="0.55000000000000004">
      <c r="A97" s="180"/>
    </row>
    <row r="98" spans="1:8" ht="18" customHeight="1" x14ac:dyDescent="0.55000000000000004">
      <c r="A98" s="183" t="s">
        <v>193</v>
      </c>
      <c r="B98" s="179" t="s">
        <v>300</v>
      </c>
      <c r="C98" s="179" t="s">
        <v>248</v>
      </c>
      <c r="D98" s="346">
        <f>SUM(D86:D96)</f>
        <v>338795.44</v>
      </c>
      <c r="E98" s="346">
        <f>SUM(E86:E96)</f>
        <v>272581.87</v>
      </c>
      <c r="F98" s="346">
        <f>SUM(F86:F96)</f>
        <v>0</v>
      </c>
      <c r="G98" s="346">
        <f>SUM(G86:G96)</f>
        <v>25000</v>
      </c>
      <c r="H98" s="346">
        <f>SUM(H86:H96)</f>
        <v>586377.31000000006</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216">
        <v>9311.9040000000005</v>
      </c>
      <c r="E102" s="216">
        <f>ROUND(D102*$E$114,2)</f>
        <v>7548.23</v>
      </c>
      <c r="F102" s="216"/>
      <c r="G102" s="184"/>
      <c r="H102" s="346">
        <f>(D102+E102)-F102-G102</f>
        <v>16860.133999999998</v>
      </c>
    </row>
    <row r="103" spans="1:8" ht="18" customHeight="1" x14ac:dyDescent="0.55000000000000004">
      <c r="A103" s="180" t="s">
        <v>304</v>
      </c>
      <c r="B103" s="176" t="s">
        <v>199</v>
      </c>
      <c r="D103" s="184"/>
      <c r="E103" s="216"/>
      <c r="F103" s="216"/>
      <c r="G103" s="184"/>
      <c r="H103" s="346">
        <f>(D103+E103)-F103-G103</f>
        <v>0</v>
      </c>
    </row>
    <row r="104" spans="1:8" ht="18" customHeight="1" x14ac:dyDescent="0.55000000000000004">
      <c r="A104" s="180" t="s">
        <v>305</v>
      </c>
      <c r="B104" s="193"/>
      <c r="D104" s="184"/>
      <c r="E104" s="216"/>
      <c r="F104" s="216"/>
      <c r="G104" s="184"/>
      <c r="H104" s="346">
        <f>(D104+E104)-F104-G104</f>
        <v>0</v>
      </c>
    </row>
    <row r="105" spans="1:8" ht="18" customHeight="1" x14ac:dyDescent="0.55000000000000004">
      <c r="A105" s="180" t="s">
        <v>306</v>
      </c>
      <c r="B105" s="193"/>
      <c r="D105" s="184"/>
      <c r="E105" s="216"/>
      <c r="F105" s="216"/>
      <c r="G105" s="184"/>
      <c r="H105" s="346">
        <f>(D105+E105)-F105-G105</f>
        <v>0</v>
      </c>
    </row>
    <row r="106" spans="1:8" ht="18" customHeight="1" x14ac:dyDescent="0.55000000000000004">
      <c r="A106" s="180" t="s">
        <v>307</v>
      </c>
      <c r="B106" s="193"/>
      <c r="D106" s="184"/>
      <c r="E106" s="216"/>
      <c r="F106" s="216"/>
      <c r="G106" s="184"/>
      <c r="H106" s="346">
        <f>(D106+E106)-F106-G106</f>
        <v>0</v>
      </c>
    </row>
    <row r="107" spans="1:8" ht="18" customHeight="1" x14ac:dyDescent="0.55000000000000004">
      <c r="B107" s="179"/>
    </row>
    <row r="108" spans="1:8" ht="18" customHeight="1" x14ac:dyDescent="0.55000000000000004">
      <c r="A108" s="183" t="s">
        <v>204</v>
      </c>
      <c r="B108" s="179" t="s">
        <v>308</v>
      </c>
      <c r="C108" s="179" t="s">
        <v>248</v>
      </c>
      <c r="D108" s="346">
        <f>SUM(D102:D106)</f>
        <v>9311.9040000000005</v>
      </c>
      <c r="E108" s="346">
        <f>SUM(E102:E106)</f>
        <v>7548.23</v>
      </c>
      <c r="F108" s="346">
        <f>SUM(F102:F106)</f>
        <v>0</v>
      </c>
      <c r="G108" s="346">
        <f>SUM(G102:G106)</f>
        <v>0</v>
      </c>
      <c r="H108" s="346">
        <f>SUM(H102:H106)</f>
        <v>16860.133999999998</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14029126</v>
      </c>
      <c r="G111" s="184"/>
      <c r="H111" s="346">
        <f>F111-G111</f>
        <v>14029126</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0.81059999999999999</v>
      </c>
      <c r="F114" s="235" t="s">
        <v>429</v>
      </c>
      <c r="G114" s="236">
        <v>0.67769999999999997</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354829019</v>
      </c>
      <c r="F117" s="237"/>
    </row>
    <row r="118" spans="1:7" ht="18" customHeight="1" x14ac:dyDescent="0.55000000000000004">
      <c r="A118" s="180" t="s">
        <v>319</v>
      </c>
      <c r="B118" s="176" t="s">
        <v>320</v>
      </c>
      <c r="E118" s="184">
        <v>5652277</v>
      </c>
      <c r="F118" s="237"/>
    </row>
    <row r="119" spans="1:7" ht="18" customHeight="1" x14ac:dyDescent="0.55000000000000004">
      <c r="A119" s="180" t="s">
        <v>321</v>
      </c>
      <c r="B119" s="179" t="s">
        <v>322</v>
      </c>
      <c r="E119" s="346">
        <f>SUM(E117:E118)</f>
        <v>360481296</v>
      </c>
      <c r="F119" s="238"/>
    </row>
    <row r="120" spans="1:7" ht="18" customHeight="1" x14ac:dyDescent="0.55000000000000004">
      <c r="A120" s="180"/>
      <c r="B120" s="179"/>
      <c r="F120" s="212"/>
    </row>
    <row r="121" spans="1:7" ht="18" customHeight="1" x14ac:dyDescent="0.55000000000000004">
      <c r="A121" s="180" t="s">
        <v>323</v>
      </c>
      <c r="B121" s="179" t="s">
        <v>324</v>
      </c>
      <c r="E121" s="184">
        <v>331929405</v>
      </c>
      <c r="F121" s="237"/>
    </row>
    <row r="122" spans="1:7" ht="18" customHeight="1" x14ac:dyDescent="0.55000000000000004">
      <c r="A122" s="180"/>
      <c r="F122" s="212"/>
    </row>
    <row r="123" spans="1:7" ht="18" customHeight="1" x14ac:dyDescent="0.55000000000000004">
      <c r="A123" s="180" t="s">
        <v>325</v>
      </c>
      <c r="B123" s="179" t="s">
        <v>326</v>
      </c>
      <c r="E123" s="184">
        <v>28551891</v>
      </c>
      <c r="F123" s="237"/>
    </row>
    <row r="124" spans="1:7" ht="18" customHeight="1" x14ac:dyDescent="0.55000000000000004">
      <c r="A124" s="180"/>
      <c r="F124" s="212"/>
    </row>
    <row r="125" spans="1:7" ht="18" customHeight="1" x14ac:dyDescent="0.55000000000000004">
      <c r="A125" s="180" t="s">
        <v>327</v>
      </c>
      <c r="B125" s="179" t="s">
        <v>328</v>
      </c>
      <c r="E125" s="184">
        <v>10591017</v>
      </c>
      <c r="F125" s="237"/>
    </row>
    <row r="126" spans="1:7" ht="18" customHeight="1" x14ac:dyDescent="0.55000000000000004">
      <c r="A126" s="180"/>
      <c r="F126" s="212"/>
    </row>
    <row r="127" spans="1:7" ht="18" customHeight="1" x14ac:dyDescent="0.55000000000000004">
      <c r="A127" s="180" t="s">
        <v>329</v>
      </c>
      <c r="B127" s="179" t="s">
        <v>330</v>
      </c>
      <c r="E127" s="184">
        <v>39142908</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v>45399.51999999999</v>
      </c>
      <c r="E131" s="216"/>
      <c r="F131" s="216"/>
      <c r="G131" s="184">
        <v>42076.959999999992</v>
      </c>
      <c r="H131" s="346">
        <f>(D131+E131)-F131-G131</f>
        <v>3322.5599999999977</v>
      </c>
    </row>
    <row r="132" spans="1:8" ht="18" customHeight="1" x14ac:dyDescent="0.55000000000000004">
      <c r="A132" s="180" t="s">
        <v>333</v>
      </c>
      <c r="B132" s="176" t="s">
        <v>68</v>
      </c>
      <c r="D132" s="184">
        <v>175228.53</v>
      </c>
      <c r="E132" s="216"/>
      <c r="F132" s="216"/>
      <c r="G132" s="184">
        <v>175000</v>
      </c>
      <c r="H132" s="346">
        <f>(D132+E132)-F132-G132</f>
        <v>228.52999999999884</v>
      </c>
    </row>
    <row r="133" spans="1:8" ht="18" customHeight="1" x14ac:dyDescent="0.55000000000000004">
      <c r="A133" s="180" t="s">
        <v>334</v>
      </c>
      <c r="B133" s="185"/>
      <c r="D133" s="184"/>
      <c r="E133" s="216"/>
      <c r="F133" s="216"/>
      <c r="G133" s="184"/>
      <c r="H133" s="346">
        <f>(D133+E133)-F133-G133</f>
        <v>0</v>
      </c>
    </row>
    <row r="134" spans="1:8" ht="18" customHeight="1" x14ac:dyDescent="0.55000000000000004">
      <c r="A134" s="180" t="s">
        <v>335</v>
      </c>
      <c r="B134" s="185"/>
      <c r="D134" s="184"/>
      <c r="E134" s="216"/>
      <c r="F134" s="216"/>
      <c r="G134" s="184"/>
      <c r="H134" s="346">
        <f>(D134+E134)-F134-G134</f>
        <v>0</v>
      </c>
    </row>
    <row r="135" spans="1:8" ht="18" customHeight="1" x14ac:dyDescent="0.55000000000000004">
      <c r="A135" s="180" t="s">
        <v>336</v>
      </c>
      <c r="B135" s="185"/>
      <c r="D135" s="184"/>
      <c r="E135" s="216"/>
      <c r="F135" s="216"/>
      <c r="G135" s="184"/>
      <c r="H135" s="346">
        <f>(D135+E135)-F135-G135</f>
        <v>0</v>
      </c>
    </row>
    <row r="136" spans="1:8" ht="18" customHeight="1" x14ac:dyDescent="0.55000000000000004">
      <c r="A136" s="183"/>
    </row>
    <row r="137" spans="1:8" ht="18" customHeight="1" x14ac:dyDescent="0.55000000000000004">
      <c r="A137" s="183" t="s">
        <v>215</v>
      </c>
      <c r="B137" s="179" t="s">
        <v>337</v>
      </c>
      <c r="D137" s="346">
        <f>SUM(D131:D135)</f>
        <v>220628.05</v>
      </c>
      <c r="E137" s="346">
        <f>SUM(E131:E135)</f>
        <v>0</v>
      </c>
      <c r="F137" s="346">
        <f>SUM(F131:F135)</f>
        <v>0</v>
      </c>
      <c r="G137" s="346">
        <f>SUM(G131:G135)</f>
        <v>217076.96</v>
      </c>
      <c r="H137" s="346">
        <f>SUM(H131:H135)</f>
        <v>3551.0899999999965</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349">
        <f>D36</f>
        <v>809733.63</v>
      </c>
      <c r="E141" s="349">
        <f>E36</f>
        <v>656370.07999999996</v>
      </c>
      <c r="F141" s="349">
        <f>F36</f>
        <v>0</v>
      </c>
      <c r="G141" s="349">
        <f>G36</f>
        <v>0</v>
      </c>
      <c r="H141" s="349">
        <f>H36</f>
        <v>1466103.7100000002</v>
      </c>
    </row>
    <row r="142" spans="1:8" ht="18" customHeight="1" x14ac:dyDescent="0.55000000000000004">
      <c r="A142" s="180" t="s">
        <v>150</v>
      </c>
      <c r="B142" s="179" t="s">
        <v>220</v>
      </c>
      <c r="D142" s="349">
        <f>D49</f>
        <v>2224667.5299999998</v>
      </c>
      <c r="E142" s="349">
        <f>E49</f>
        <v>0</v>
      </c>
      <c r="F142" s="349">
        <f>F49</f>
        <v>0</v>
      </c>
      <c r="G142" s="349">
        <f>G49</f>
        <v>202182.28</v>
      </c>
      <c r="H142" s="349">
        <f>H49</f>
        <v>2022485.25</v>
      </c>
    </row>
    <row r="143" spans="1:8" ht="18" customHeight="1" x14ac:dyDescent="0.55000000000000004">
      <c r="A143" s="180" t="s">
        <v>269</v>
      </c>
      <c r="B143" s="179" t="s">
        <v>222</v>
      </c>
      <c r="D143" s="349">
        <f>D64</f>
        <v>64460435.520000003</v>
      </c>
      <c r="E143" s="349">
        <f>E64</f>
        <v>29509909.479999997</v>
      </c>
      <c r="F143" s="349">
        <f>F64</f>
        <v>227090</v>
      </c>
      <c r="G143" s="349">
        <f>G64</f>
        <v>43871181.469999999</v>
      </c>
      <c r="H143" s="349">
        <f>H64</f>
        <v>49872073.529999994</v>
      </c>
    </row>
    <row r="144" spans="1:8" ht="18" customHeight="1" x14ac:dyDescent="0.55000000000000004">
      <c r="A144" s="180" t="s">
        <v>161</v>
      </c>
      <c r="B144" s="179" t="s">
        <v>70</v>
      </c>
      <c r="D144" s="349">
        <f>D74</f>
        <v>0</v>
      </c>
      <c r="E144" s="349">
        <f>E74</f>
        <v>0</v>
      </c>
      <c r="F144" s="349">
        <f>F74</f>
        <v>0</v>
      </c>
      <c r="G144" s="349">
        <f>G74</f>
        <v>0</v>
      </c>
      <c r="H144" s="349">
        <f>H74</f>
        <v>0</v>
      </c>
    </row>
    <row r="145" spans="1:8" ht="18" customHeight="1" x14ac:dyDescent="0.55000000000000004">
      <c r="A145" s="180" t="s">
        <v>171</v>
      </c>
      <c r="B145" s="179" t="s">
        <v>69</v>
      </c>
      <c r="D145" s="349">
        <f>D82</f>
        <v>313534.27999999997</v>
      </c>
      <c r="E145" s="349">
        <f>E82</f>
        <v>0</v>
      </c>
      <c r="F145" s="349">
        <f>F82</f>
        <v>0</v>
      </c>
      <c r="G145" s="349">
        <f>G82</f>
        <v>9000</v>
      </c>
      <c r="H145" s="349">
        <f>H82</f>
        <v>304534.27999999997</v>
      </c>
    </row>
    <row r="146" spans="1:8" ht="18" customHeight="1" x14ac:dyDescent="0.55000000000000004">
      <c r="A146" s="180" t="s">
        <v>193</v>
      </c>
      <c r="B146" s="179" t="s">
        <v>226</v>
      </c>
      <c r="D146" s="349">
        <f>D98</f>
        <v>338795.44</v>
      </c>
      <c r="E146" s="349">
        <f>E98</f>
        <v>272581.87</v>
      </c>
      <c r="F146" s="349">
        <f>F98</f>
        <v>0</v>
      </c>
      <c r="G146" s="349">
        <f>G98</f>
        <v>25000</v>
      </c>
      <c r="H146" s="349">
        <f>H98</f>
        <v>586377.31000000006</v>
      </c>
    </row>
    <row r="147" spans="1:8" ht="18" customHeight="1" x14ac:dyDescent="0.55000000000000004">
      <c r="A147" s="180" t="s">
        <v>204</v>
      </c>
      <c r="B147" s="179" t="s">
        <v>71</v>
      </c>
      <c r="D147" s="346">
        <f>D108</f>
        <v>9311.9040000000005</v>
      </c>
      <c r="E147" s="346">
        <f>E108</f>
        <v>7548.23</v>
      </c>
      <c r="F147" s="346">
        <f>F108</f>
        <v>0</v>
      </c>
      <c r="G147" s="346">
        <f>G108</f>
        <v>0</v>
      </c>
      <c r="H147" s="346">
        <f>H108</f>
        <v>16860.133999999998</v>
      </c>
    </row>
    <row r="148" spans="1:8" ht="18" customHeight="1" x14ac:dyDescent="0.55000000000000004">
      <c r="A148" s="180" t="s">
        <v>310</v>
      </c>
      <c r="B148" s="179" t="s">
        <v>58</v>
      </c>
      <c r="D148" s="240" t="s">
        <v>245</v>
      </c>
      <c r="E148" s="240" t="s">
        <v>245</v>
      </c>
      <c r="F148" s="240"/>
      <c r="G148" s="240" t="s">
        <v>245</v>
      </c>
      <c r="H148" s="349">
        <f>H111</f>
        <v>14029126</v>
      </c>
    </row>
    <row r="149" spans="1:8" ht="18" customHeight="1" x14ac:dyDescent="0.55000000000000004">
      <c r="A149" s="180" t="s">
        <v>215</v>
      </c>
      <c r="B149" s="179" t="s">
        <v>230</v>
      </c>
      <c r="D149" s="346">
        <f>D137</f>
        <v>220628.05</v>
      </c>
      <c r="E149" s="346">
        <f>E137</f>
        <v>0</v>
      </c>
      <c r="F149" s="346">
        <f>F137</f>
        <v>0</v>
      </c>
      <c r="G149" s="346">
        <f>G137</f>
        <v>217076.96</v>
      </c>
      <c r="H149" s="346">
        <f>H137</f>
        <v>3551.0899999999965</v>
      </c>
    </row>
    <row r="150" spans="1:8" ht="18" customHeight="1" x14ac:dyDescent="0.55000000000000004">
      <c r="A150" s="180" t="s">
        <v>103</v>
      </c>
      <c r="B150" s="179" t="s">
        <v>104</v>
      </c>
      <c r="D150" s="346">
        <v>6042287</v>
      </c>
      <c r="E150" s="346">
        <f>E18</f>
        <v>0</v>
      </c>
      <c r="F150" s="346">
        <f>F18</f>
        <v>0</v>
      </c>
      <c r="G150" s="346">
        <v>5007667</v>
      </c>
      <c r="H150" s="346">
        <f>H18</f>
        <v>1034619.9262095224</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350">
        <f>SUM(D141:D150)</f>
        <v>74419393.354000002</v>
      </c>
      <c r="E152" s="350">
        <f>SUM(E141:E150)</f>
        <v>30446409.659999996</v>
      </c>
      <c r="F152" s="350">
        <f>SUM(F141:F150)</f>
        <v>227090</v>
      </c>
      <c r="G152" s="350">
        <f>SUM(G141:G150)</f>
        <v>49332107.710000001</v>
      </c>
      <c r="H152" s="350">
        <f>SUM(H141:H150)</f>
        <v>69335731.230209529</v>
      </c>
    </row>
    <row r="153" spans="1:8" ht="18" customHeight="1" x14ac:dyDescent="0.55000000000000004"/>
    <row r="154" spans="1:8" ht="18" customHeight="1" x14ac:dyDescent="0.55000000000000004">
      <c r="A154" s="183" t="s">
        <v>339</v>
      </c>
      <c r="B154" s="179" t="s">
        <v>340</v>
      </c>
      <c r="D154" s="351">
        <f>H152/E121</f>
        <v>0.20888698074281647</v>
      </c>
    </row>
    <row r="155" spans="1:8" ht="18" customHeight="1" x14ac:dyDescent="0.55000000000000004">
      <c r="A155" s="183" t="s">
        <v>341</v>
      </c>
      <c r="B155" s="179" t="s">
        <v>342</v>
      </c>
      <c r="D155" s="351">
        <f>H152/E127</f>
        <v>1.7713484963919781</v>
      </c>
    </row>
  </sheetData>
  <mergeCells count="8">
    <mergeCell ref="C11:E11"/>
    <mergeCell ref="B13:D13"/>
    <mergeCell ref="C2:D2"/>
    <mergeCell ref="C5:E5"/>
    <mergeCell ref="C6:E6"/>
    <mergeCell ref="C7:E7"/>
    <mergeCell ref="C9:E9"/>
    <mergeCell ref="C10:E10"/>
  </mergeCells>
  <hyperlinks>
    <hyperlink ref="C11" r:id="rId1" xr:uid="{2DC1CE2B-5C0C-4784-A7A6-7BE0D81311D1}"/>
  </hyperlinks>
  <pageMargins left="0.7" right="0.7" top="0.75" bottom="0.75" header="0.3" footer="0.3"/>
  <pageSetup orientation="portrait" horizontalDpi="1200" verticalDpi="12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EA486-37EA-4C97-A7C5-1CC5953B999E}">
  <sheetPr codeName="Sheet4">
    <tabColor theme="3" tint="0.59999389629810485"/>
    <pageSetUpPr fitToPage="1"/>
  </sheetPr>
  <dimension ref="A1:U137"/>
  <sheetViews>
    <sheetView workbookViewId="0">
      <selection activeCell="A6" sqref="A6"/>
    </sheetView>
  </sheetViews>
  <sheetFormatPr defaultColWidth="9.26171875" defaultRowHeight="14.4" x14ac:dyDescent="0.55000000000000004"/>
  <cols>
    <col min="1" max="1" width="23" style="28" customWidth="1"/>
    <col min="2" max="2" width="19.15625" style="28" bestFit="1" customWidth="1"/>
    <col min="3" max="3" width="18.578125" style="28" customWidth="1"/>
    <col min="4" max="6" width="17.578125" style="28" customWidth="1"/>
    <col min="7" max="7" width="22.26171875" style="28" customWidth="1"/>
    <col min="8" max="19" width="9.26171875" style="28"/>
    <col min="20" max="20" width="27" style="28" customWidth="1"/>
    <col min="21" max="16384" width="9.26171875" style="28"/>
  </cols>
  <sheetData>
    <row r="1" spans="1:21" x14ac:dyDescent="0.55000000000000004">
      <c r="A1" s="27" t="s">
        <v>60</v>
      </c>
      <c r="B1" s="3"/>
      <c r="C1" s="3"/>
      <c r="D1" s="3"/>
      <c r="E1" s="3"/>
      <c r="F1" s="3"/>
      <c r="G1" s="3"/>
      <c r="H1" s="3"/>
      <c r="I1" s="3"/>
      <c r="J1" s="3"/>
      <c r="K1" s="3"/>
      <c r="L1" s="3"/>
      <c r="M1" s="3"/>
      <c r="N1" s="3"/>
      <c r="O1" s="3"/>
      <c r="P1" s="3"/>
      <c r="Q1" s="3"/>
    </row>
    <row r="2" spans="1:21" ht="43.2" x14ac:dyDescent="0.55000000000000004">
      <c r="A2" s="29" t="s">
        <v>61</v>
      </c>
      <c r="B2" s="29" t="s">
        <v>62</v>
      </c>
      <c r="C2" s="29" t="s">
        <v>63</v>
      </c>
      <c r="D2" s="3"/>
      <c r="E2" s="3"/>
      <c r="F2" s="3"/>
      <c r="G2" s="3"/>
      <c r="H2" s="3"/>
      <c r="I2" s="3"/>
      <c r="J2" s="3"/>
      <c r="K2" s="3"/>
      <c r="L2" s="3"/>
      <c r="M2" s="3"/>
      <c r="N2" s="3"/>
      <c r="O2" s="3"/>
      <c r="P2" s="3"/>
      <c r="Q2" s="3"/>
    </row>
    <row r="3" spans="1:21" ht="41.25" customHeight="1" x14ac:dyDescent="0.55000000000000004">
      <c r="A3" s="30" t="s">
        <v>742</v>
      </c>
      <c r="B3" s="31">
        <f>'CB Table 1'!C12</f>
        <v>0.16900375189927808</v>
      </c>
      <c r="C3" s="31">
        <f>'CB Table 1'!E12</f>
        <v>4.8318167941566008E-4</v>
      </c>
      <c r="D3" s="3"/>
      <c r="E3" s="3"/>
      <c r="F3" s="3"/>
      <c r="G3" s="3"/>
      <c r="H3" s="3"/>
      <c r="I3" s="3"/>
      <c r="J3" s="3"/>
      <c r="K3" s="3"/>
      <c r="L3" s="3"/>
      <c r="M3" s="3"/>
      <c r="N3" s="3"/>
      <c r="O3" s="3"/>
      <c r="P3" s="3"/>
      <c r="Q3" s="3"/>
      <c r="S3" s="32"/>
      <c r="T3" s="33"/>
      <c r="U3" s="34"/>
    </row>
    <row r="4" spans="1:21" ht="25.8" x14ac:dyDescent="0.55000000000000004">
      <c r="A4" s="30" t="s">
        <v>64</v>
      </c>
      <c r="B4" s="31">
        <f>'CB Table 1'!$C$6</f>
        <v>0.36008959140706992</v>
      </c>
      <c r="C4" s="31">
        <f>'CB Table 1'!$E$6</f>
        <v>0.58441920990179219</v>
      </c>
      <c r="D4" s="3"/>
      <c r="E4" s="3"/>
      <c r="F4" s="3"/>
      <c r="G4" s="3"/>
      <c r="H4" s="3"/>
      <c r="I4" s="3"/>
      <c r="J4" s="3"/>
      <c r="K4" s="3"/>
      <c r="L4" s="3"/>
      <c r="M4" s="3"/>
      <c r="N4" s="3"/>
      <c r="O4" s="3"/>
      <c r="P4" s="3"/>
      <c r="Q4" s="3"/>
      <c r="S4" s="32"/>
      <c r="T4" s="33"/>
      <c r="U4" s="34"/>
    </row>
    <row r="5" spans="1:21" x14ac:dyDescent="0.55000000000000004">
      <c r="A5" s="30" t="s">
        <v>220</v>
      </c>
      <c r="B5" s="31">
        <f>'CB Table 1'!$C$5</f>
        <v>0.3300135188386662</v>
      </c>
      <c r="C5" s="31">
        <f>'CB Table 1'!$E$5</f>
        <v>0.19591506641862377</v>
      </c>
      <c r="D5" s="3"/>
      <c r="E5" s="3"/>
      <c r="F5" s="3"/>
      <c r="G5" s="3"/>
      <c r="H5" s="3"/>
      <c r="I5" s="3"/>
      <c r="J5" s="3"/>
      <c r="K5" s="3"/>
      <c r="L5" s="3"/>
      <c r="M5" s="3"/>
      <c r="N5" s="3"/>
      <c r="O5" s="3"/>
      <c r="P5" s="3"/>
      <c r="Q5" s="3"/>
      <c r="S5" s="32"/>
      <c r="T5" s="444"/>
      <c r="U5" s="34"/>
    </row>
    <row r="6" spans="1:21" ht="27" customHeight="1" x14ac:dyDescent="0.55000000000000004">
      <c r="A6" s="30" t="s">
        <v>66</v>
      </c>
      <c r="B6" s="31">
        <f>'CB Table 1'!C4</f>
        <v>7.5572225492574821E-2</v>
      </c>
      <c r="C6" s="31">
        <f>'CB Table 1'!E4</f>
        <v>0.11316782537441346</v>
      </c>
      <c r="D6" s="3"/>
      <c r="E6" s="3"/>
      <c r="F6" s="3"/>
      <c r="G6" s="3"/>
      <c r="H6" s="3"/>
      <c r="I6" s="3"/>
      <c r="J6" s="3"/>
      <c r="K6" s="3"/>
      <c r="L6" s="3"/>
      <c r="M6" s="3"/>
      <c r="N6" s="3"/>
      <c r="O6" s="3"/>
      <c r="P6" s="3"/>
      <c r="Q6" s="3"/>
      <c r="S6" s="32"/>
      <c r="T6" s="33"/>
      <c r="U6" s="34"/>
    </row>
    <row r="7" spans="1:21" x14ac:dyDescent="0.55000000000000004">
      <c r="A7" s="30" t="s">
        <v>67</v>
      </c>
      <c r="B7" s="31">
        <f>'CB Table 1'!C3</f>
        <v>2.8494791828598452E-2</v>
      </c>
      <c r="C7" s="31">
        <f>'CB Table 1'!E3</f>
        <v>4.6246556757481974E-2</v>
      </c>
      <c r="D7" s="3"/>
      <c r="E7" s="3"/>
      <c r="F7" s="3"/>
      <c r="G7" s="3"/>
      <c r="H7" s="3"/>
      <c r="I7" s="3"/>
      <c r="J7" s="3"/>
      <c r="K7" s="3"/>
      <c r="L7" s="3"/>
      <c r="M7" s="3"/>
      <c r="N7" s="3"/>
      <c r="O7" s="3"/>
      <c r="P7" s="3"/>
      <c r="Q7" s="3"/>
      <c r="S7" s="32"/>
      <c r="T7" s="33"/>
      <c r="U7" s="34"/>
    </row>
    <row r="8" spans="1:21" x14ac:dyDescent="0.55000000000000004">
      <c r="A8" s="30" t="s">
        <v>68</v>
      </c>
      <c r="B8" s="31">
        <f>'CB Table 1'!$C$9</f>
        <v>1.3287948227491235E-2</v>
      </c>
      <c r="C8" s="31">
        <f>'CB Table 1'!$E$9</f>
        <v>2.1566111294640096E-2</v>
      </c>
      <c r="D8" s="3"/>
      <c r="E8" s="3"/>
      <c r="F8" s="3"/>
      <c r="G8" s="3"/>
      <c r="H8" s="3"/>
      <c r="I8" s="3"/>
      <c r="J8" s="3"/>
      <c r="K8" s="3"/>
      <c r="L8" s="3"/>
      <c r="M8" s="3"/>
      <c r="N8" s="3"/>
      <c r="O8" s="3"/>
      <c r="P8" s="3"/>
      <c r="Q8" s="3"/>
      <c r="S8" s="32"/>
      <c r="T8" s="33"/>
      <c r="U8" s="34"/>
    </row>
    <row r="9" spans="1:21" ht="27.75" customHeight="1" x14ac:dyDescent="0.55000000000000004">
      <c r="A9" s="30" t="s">
        <v>69</v>
      </c>
      <c r="B9" s="31">
        <f>'CB Table 1'!$C$8</f>
        <v>8.346152392868577E-3</v>
      </c>
      <c r="C9" s="31">
        <f>'CB Table 1'!$E$8</f>
        <v>1.354566170074651E-2</v>
      </c>
      <c r="D9" s="3"/>
      <c r="E9" s="3"/>
      <c r="F9" s="3"/>
      <c r="G9" s="3"/>
      <c r="H9" s="3"/>
      <c r="I9" s="3"/>
      <c r="J9" s="3"/>
      <c r="K9" s="3"/>
      <c r="L9" s="3"/>
      <c r="M9" s="3"/>
      <c r="N9" s="3"/>
      <c r="O9" s="3"/>
      <c r="P9" s="3"/>
      <c r="Q9" s="3"/>
      <c r="S9" s="32"/>
      <c r="T9" s="33"/>
      <c r="U9" s="34"/>
    </row>
    <row r="10" spans="1:21" ht="22.5" customHeight="1" x14ac:dyDescent="0.55000000000000004">
      <c r="A10" s="30" t="s">
        <v>70</v>
      </c>
      <c r="B10" s="31">
        <f>'CB Table 1'!$C$7</f>
        <v>7.0853314137994065E-3</v>
      </c>
      <c r="C10" s="31">
        <f>'CB Table 1'!$E$7</f>
        <v>1.1499370949781077E-2</v>
      </c>
      <c r="D10" s="3"/>
      <c r="E10" s="3"/>
      <c r="F10" s="3"/>
      <c r="G10" s="3"/>
      <c r="H10" s="3"/>
      <c r="I10" s="3"/>
      <c r="J10" s="3"/>
      <c r="K10" s="3"/>
      <c r="L10" s="3"/>
      <c r="M10" s="3"/>
      <c r="N10" s="3"/>
      <c r="O10" s="3"/>
      <c r="P10" s="3"/>
      <c r="Q10" s="3"/>
      <c r="S10" s="32"/>
      <c r="T10" s="33"/>
      <c r="U10" s="34"/>
    </row>
    <row r="11" spans="1:21" ht="25.8" x14ac:dyDescent="0.55000000000000004">
      <c r="A11" s="30" t="s">
        <v>71</v>
      </c>
      <c r="B11" s="31">
        <f>'CB Table 1'!$C$10</f>
        <v>7.4233899265772974E-3</v>
      </c>
      <c r="C11" s="31">
        <f>'CB Table 1'!$E$10</f>
        <v>1.2048034098210952E-2</v>
      </c>
      <c r="D11" s="3"/>
      <c r="E11" s="3"/>
      <c r="F11" s="3"/>
      <c r="G11" s="3"/>
      <c r="H11" s="3"/>
      <c r="I11" s="3"/>
      <c r="J11" s="3"/>
      <c r="K11" s="3"/>
      <c r="L11" s="3"/>
      <c r="M11" s="3"/>
      <c r="N11" s="3"/>
      <c r="O11" s="3"/>
      <c r="P11" s="3"/>
      <c r="Q11" s="3"/>
      <c r="S11" s="32"/>
      <c r="T11" s="33"/>
      <c r="U11" s="34"/>
    </row>
    <row r="12" spans="1:21" x14ac:dyDescent="0.55000000000000004">
      <c r="A12" s="3"/>
      <c r="B12" s="35">
        <f>SUM(B3:B11)</f>
        <v>0.99931670142692408</v>
      </c>
      <c r="C12" s="35">
        <f>SUM(C3:C11)</f>
        <v>0.99889101817510584</v>
      </c>
      <c r="D12" s="3"/>
      <c r="E12" s="3"/>
      <c r="F12" s="3"/>
      <c r="G12" s="3"/>
      <c r="H12" s="3"/>
      <c r="I12" s="3"/>
      <c r="J12" s="3"/>
      <c r="K12" s="3"/>
      <c r="L12" s="3"/>
      <c r="M12" s="3"/>
      <c r="N12" s="3"/>
      <c r="O12" s="3"/>
      <c r="P12" s="3"/>
      <c r="Q12" s="3"/>
    </row>
    <row r="13" spans="1:21" x14ac:dyDescent="0.55000000000000004">
      <c r="A13" s="3" t="s">
        <v>72</v>
      </c>
      <c r="B13" s="3"/>
      <c r="C13" s="3"/>
      <c r="D13" s="3"/>
      <c r="E13" s="3"/>
      <c r="F13" s="3"/>
      <c r="G13" s="3"/>
      <c r="H13" s="3"/>
      <c r="I13" s="3"/>
      <c r="J13" s="3"/>
      <c r="K13" s="3"/>
      <c r="L13" s="3"/>
      <c r="M13" s="3"/>
      <c r="N13" s="3"/>
      <c r="O13" s="3"/>
      <c r="P13" s="3"/>
      <c r="Q13" s="3"/>
    </row>
    <row r="14" spans="1:21" x14ac:dyDescent="0.55000000000000004">
      <c r="A14" s="3"/>
      <c r="B14" s="3"/>
      <c r="C14" s="3"/>
      <c r="D14" s="3"/>
      <c r="E14" s="3"/>
      <c r="F14" s="3"/>
      <c r="G14" s="3"/>
      <c r="H14" s="3"/>
      <c r="I14" s="3"/>
      <c r="J14" s="3"/>
      <c r="K14" s="3"/>
      <c r="L14" s="3"/>
      <c r="M14" s="3"/>
      <c r="N14" s="3"/>
      <c r="O14" s="3"/>
      <c r="P14" s="3"/>
      <c r="Q14" s="3"/>
    </row>
    <row r="15" spans="1:21" x14ac:dyDescent="0.55000000000000004">
      <c r="A15" s="3"/>
      <c r="B15" s="3"/>
      <c r="C15" s="3"/>
      <c r="D15" s="3"/>
      <c r="E15" s="3"/>
      <c r="F15" s="3"/>
      <c r="G15" s="3"/>
      <c r="H15" s="3"/>
      <c r="I15" s="3"/>
      <c r="J15" s="3"/>
      <c r="K15" s="3"/>
      <c r="L15" s="3"/>
      <c r="M15" s="3"/>
      <c r="N15" s="3"/>
      <c r="O15" s="3"/>
      <c r="P15" s="3"/>
      <c r="Q15" s="3"/>
    </row>
    <row r="16" spans="1:21" x14ac:dyDescent="0.55000000000000004">
      <c r="A16" s="3"/>
      <c r="B16" s="3"/>
      <c r="C16" s="3"/>
      <c r="D16" s="3"/>
      <c r="E16" s="3"/>
      <c r="F16" s="3"/>
      <c r="G16" s="3"/>
      <c r="H16" s="3"/>
      <c r="I16" s="3"/>
      <c r="J16" s="3"/>
      <c r="K16" s="3"/>
      <c r="L16" s="3"/>
      <c r="M16" s="3"/>
      <c r="N16" s="3"/>
      <c r="O16" s="3"/>
      <c r="P16" s="3"/>
      <c r="Q16" s="3"/>
    </row>
    <row r="17" spans="1:17" x14ac:dyDescent="0.55000000000000004">
      <c r="A17" s="3"/>
      <c r="B17" s="3"/>
      <c r="C17" s="3"/>
      <c r="D17" s="3"/>
      <c r="E17" s="3"/>
      <c r="F17" s="3"/>
      <c r="G17" s="3"/>
      <c r="H17" s="3"/>
      <c r="I17" s="3"/>
      <c r="J17" s="3"/>
      <c r="K17" s="3"/>
      <c r="L17" s="3"/>
      <c r="M17" s="3"/>
      <c r="N17" s="3"/>
      <c r="O17" s="3"/>
      <c r="P17" s="3"/>
      <c r="Q17" s="3"/>
    </row>
    <row r="18" spans="1:17" x14ac:dyDescent="0.55000000000000004">
      <c r="A18" s="3"/>
      <c r="B18" s="3"/>
      <c r="C18" s="3"/>
      <c r="D18" s="3"/>
      <c r="E18" s="3"/>
      <c r="F18" s="3"/>
      <c r="G18" s="3"/>
      <c r="H18" s="3"/>
      <c r="I18" s="3"/>
      <c r="J18" s="3"/>
      <c r="K18" s="3"/>
      <c r="L18" s="3"/>
      <c r="M18" s="3"/>
      <c r="N18" s="3"/>
      <c r="O18" s="3"/>
      <c r="P18" s="3"/>
      <c r="Q18" s="3"/>
    </row>
    <row r="19" spans="1:17" ht="18.3" x14ac:dyDescent="0.7">
      <c r="A19" s="36" t="s">
        <v>721</v>
      </c>
      <c r="B19" s="3"/>
      <c r="C19" s="3"/>
      <c r="D19" s="3"/>
      <c r="E19" s="3"/>
      <c r="F19" s="3"/>
      <c r="G19" s="3"/>
      <c r="H19" s="3"/>
      <c r="I19" s="3"/>
      <c r="J19" s="3"/>
      <c r="K19" s="3"/>
      <c r="L19" s="3"/>
      <c r="M19" s="3"/>
      <c r="N19" s="3"/>
      <c r="O19" s="3"/>
      <c r="P19" s="3"/>
      <c r="Q19" s="3"/>
    </row>
    <row r="20" spans="1:17" x14ac:dyDescent="0.55000000000000004">
      <c r="A20" s="3"/>
      <c r="B20" s="3"/>
      <c r="C20" s="3"/>
      <c r="D20" s="3"/>
      <c r="E20" s="3"/>
      <c r="F20" s="3"/>
      <c r="G20" s="3"/>
      <c r="H20" s="3"/>
      <c r="I20" s="3"/>
      <c r="J20" s="3"/>
      <c r="K20" s="3"/>
      <c r="L20" s="3"/>
      <c r="M20" s="3"/>
      <c r="N20" s="3"/>
      <c r="O20" s="3"/>
      <c r="P20" s="3"/>
      <c r="Q20" s="3"/>
    </row>
    <row r="21" spans="1:17" ht="28.8" x14ac:dyDescent="0.55000000000000004">
      <c r="A21" s="37" t="s">
        <v>73</v>
      </c>
      <c r="B21" s="37" t="s">
        <v>58</v>
      </c>
      <c r="C21" s="37" t="s">
        <v>74</v>
      </c>
      <c r="D21" s="37" t="s">
        <v>75</v>
      </c>
      <c r="E21" s="37" t="s">
        <v>713</v>
      </c>
      <c r="F21" s="443" t="s">
        <v>720</v>
      </c>
      <c r="G21" s="37" t="s">
        <v>76</v>
      </c>
      <c r="H21" s="3"/>
      <c r="I21" s="3"/>
      <c r="J21" s="3"/>
      <c r="K21" s="3"/>
      <c r="L21" s="3"/>
      <c r="M21" s="3"/>
      <c r="N21" s="3"/>
      <c r="O21" s="3"/>
      <c r="P21" s="3"/>
      <c r="Q21" s="3"/>
    </row>
    <row r="22" spans="1:17" x14ac:dyDescent="0.55000000000000004">
      <c r="A22" s="3">
        <v>2011</v>
      </c>
      <c r="B22" s="38">
        <f t="shared" ref="B22:F32" si="0">+B33/1000000</f>
        <v>374.89863100000002</v>
      </c>
      <c r="C22" s="38">
        <f t="shared" si="0"/>
        <v>235.386426</v>
      </c>
      <c r="D22" s="38">
        <f t="shared" si="0"/>
        <v>12.317156000000001</v>
      </c>
      <c r="E22" s="38"/>
      <c r="F22" s="38"/>
      <c r="G22" s="38">
        <f>SUM(B22:D22)</f>
        <v>622.60221300000001</v>
      </c>
      <c r="H22" s="3"/>
      <c r="I22" s="3"/>
      <c r="J22" s="3"/>
      <c r="K22" s="3"/>
      <c r="L22" s="3"/>
      <c r="M22" s="3"/>
      <c r="N22" s="3"/>
      <c r="O22" s="3"/>
      <c r="P22" s="3"/>
      <c r="Q22" s="3"/>
    </row>
    <row r="23" spans="1:17" x14ac:dyDescent="0.55000000000000004">
      <c r="A23" s="3">
        <v>2012</v>
      </c>
      <c r="B23" s="38">
        <f t="shared" si="0"/>
        <v>442.00888400000002</v>
      </c>
      <c r="C23" s="38">
        <f t="shared" si="0"/>
        <v>272.34654399999999</v>
      </c>
      <c r="D23" s="38">
        <f t="shared" si="0"/>
        <v>12.259686</v>
      </c>
      <c r="E23" s="38"/>
      <c r="F23" s="38"/>
      <c r="G23" s="38">
        <f>SUM(B23:D23)</f>
        <v>726.61511400000006</v>
      </c>
      <c r="H23" s="3"/>
      <c r="I23" s="3"/>
      <c r="J23" s="3"/>
      <c r="K23" s="3"/>
      <c r="L23" s="3"/>
      <c r="M23" s="3"/>
      <c r="N23" s="3"/>
      <c r="O23" s="3"/>
      <c r="P23" s="3"/>
      <c r="Q23" s="3"/>
    </row>
    <row r="24" spans="1:17" x14ac:dyDescent="0.55000000000000004">
      <c r="A24" s="3">
        <v>2013</v>
      </c>
      <c r="B24" s="38">
        <f t="shared" si="0"/>
        <v>462.590418</v>
      </c>
      <c r="C24" s="38">
        <f t="shared" si="0"/>
        <v>316.213911</v>
      </c>
      <c r="D24" s="38">
        <f t="shared" si="0"/>
        <v>13.303674000000001</v>
      </c>
      <c r="E24" s="38"/>
      <c r="F24" s="38"/>
      <c r="G24" s="38">
        <f>SUM(B24:D24)</f>
        <v>792.10800300000005</v>
      </c>
      <c r="H24" s="3"/>
      <c r="I24" s="3"/>
      <c r="J24" s="3"/>
      <c r="K24" s="3"/>
      <c r="L24" s="3"/>
      <c r="M24" s="3"/>
      <c r="N24" s="3"/>
      <c r="O24" s="3"/>
      <c r="P24" s="3"/>
      <c r="Q24" s="3"/>
    </row>
    <row r="25" spans="1:17" x14ac:dyDescent="0.55000000000000004">
      <c r="A25" s="3">
        <v>2014</v>
      </c>
      <c r="B25" s="38">
        <f t="shared" si="0"/>
        <v>463.908838</v>
      </c>
      <c r="C25" s="38">
        <f t="shared" si="0"/>
        <v>294.40706</v>
      </c>
      <c r="D25" s="38">
        <f t="shared" si="0"/>
        <v>15.140921000000001</v>
      </c>
      <c r="E25" s="38"/>
      <c r="F25" s="38"/>
      <c r="G25" s="38">
        <f>SUM(B25:D25)</f>
        <v>773.45681900000011</v>
      </c>
      <c r="H25" s="3"/>
      <c r="I25" s="3"/>
      <c r="J25" s="3"/>
      <c r="K25" s="3"/>
      <c r="L25" s="3"/>
      <c r="M25" s="3"/>
      <c r="N25" s="3"/>
      <c r="O25" s="3"/>
      <c r="P25" s="3"/>
      <c r="Q25" s="3"/>
    </row>
    <row r="26" spans="1:17" x14ac:dyDescent="0.55000000000000004">
      <c r="A26" s="3">
        <v>2015</v>
      </c>
      <c r="B26" s="38">
        <f t="shared" si="0"/>
        <v>428.14220477171256</v>
      </c>
      <c r="C26" s="38">
        <f t="shared" si="0"/>
        <v>302.62216699999999</v>
      </c>
      <c r="D26" s="38">
        <f t="shared" si="0"/>
        <v>15.335908928590001</v>
      </c>
      <c r="E26" s="38"/>
      <c r="F26" s="38"/>
      <c r="G26" s="38">
        <f t="shared" ref="G26:G36" si="1">SUM(B26:D26)</f>
        <v>746.10028070030262</v>
      </c>
      <c r="H26" s="3"/>
      <c r="I26" s="3"/>
      <c r="J26" s="3"/>
      <c r="K26" s="3"/>
      <c r="L26" s="3"/>
      <c r="M26" s="3"/>
      <c r="N26" s="3"/>
      <c r="O26" s="3"/>
      <c r="P26" s="3"/>
      <c r="Q26" s="3"/>
    </row>
    <row r="27" spans="1:17" x14ac:dyDescent="0.55000000000000004">
      <c r="A27" s="3">
        <v>2016</v>
      </c>
      <c r="B27" s="38">
        <f t="shared" si="0"/>
        <v>343.87975935278638</v>
      </c>
      <c r="C27" s="38">
        <f t="shared" si="0"/>
        <v>336.45116132896806</v>
      </c>
      <c r="D27" s="38">
        <f t="shared" si="0"/>
        <v>15.674793067800005</v>
      </c>
      <c r="E27" s="38"/>
      <c r="F27" s="38"/>
      <c r="G27" s="38">
        <f t="shared" si="1"/>
        <v>696.00571374955439</v>
      </c>
      <c r="H27" s="3"/>
      <c r="I27" s="3"/>
      <c r="J27" s="3"/>
      <c r="K27" s="3"/>
      <c r="L27" s="3"/>
      <c r="M27" s="3"/>
      <c r="N27" s="3"/>
      <c r="O27" s="3"/>
      <c r="P27" s="3"/>
      <c r="Q27" s="3"/>
    </row>
    <row r="28" spans="1:17" x14ac:dyDescent="0.55000000000000004">
      <c r="A28" s="3">
        <v>2017</v>
      </c>
      <c r="B28" s="38">
        <f t="shared" si="0"/>
        <v>307.57909999999998</v>
      </c>
      <c r="C28" s="38">
        <f t="shared" si="0"/>
        <v>342.76940100000002</v>
      </c>
      <c r="D28" s="38">
        <f t="shared" si="0"/>
        <v>16.218247999999999</v>
      </c>
      <c r="E28" s="38"/>
      <c r="F28" s="38"/>
      <c r="G28" s="38">
        <f t="shared" si="1"/>
        <v>666.56674899999996</v>
      </c>
      <c r="H28" s="3"/>
      <c r="I28" s="3"/>
      <c r="J28" s="3"/>
      <c r="K28" s="3"/>
      <c r="L28" s="3"/>
      <c r="M28" s="3"/>
      <c r="N28" s="3"/>
      <c r="O28" s="3"/>
      <c r="P28" s="3"/>
      <c r="Q28" s="3"/>
    </row>
    <row r="29" spans="1:17" x14ac:dyDescent="0.55000000000000004">
      <c r="A29" s="3">
        <v>2018</v>
      </c>
      <c r="B29" s="38">
        <f t="shared" si="0"/>
        <v>301.54137674841866</v>
      </c>
      <c r="C29" s="38">
        <f t="shared" si="0"/>
        <v>344.07951964127801</v>
      </c>
      <c r="D29" s="38">
        <f t="shared" si="0"/>
        <v>16.639269999</v>
      </c>
      <c r="E29" s="38"/>
      <c r="F29" s="38"/>
      <c r="G29" s="38">
        <f t="shared" si="1"/>
        <v>662.26016638869669</v>
      </c>
      <c r="H29" s="3"/>
      <c r="I29" s="3"/>
      <c r="J29" s="3"/>
      <c r="K29" s="3"/>
      <c r="L29" s="3"/>
      <c r="M29" s="3"/>
      <c r="N29" s="3"/>
      <c r="O29" s="3"/>
      <c r="P29" s="3"/>
      <c r="Q29" s="3"/>
    </row>
    <row r="30" spans="1:17" x14ac:dyDescent="0.55000000000000004">
      <c r="A30" s="39">
        <v>2019</v>
      </c>
      <c r="B30" s="38">
        <f t="shared" si="0"/>
        <v>280.32054054977982</v>
      </c>
      <c r="C30" s="38">
        <f t="shared" si="0"/>
        <v>352.61474722317746</v>
      </c>
      <c r="D30" s="38">
        <f t="shared" si="0"/>
        <v>16.992206434180002</v>
      </c>
      <c r="E30" s="38"/>
      <c r="F30" s="38"/>
      <c r="G30" s="38">
        <f t="shared" si="1"/>
        <v>649.92749420713733</v>
      </c>
      <c r="H30" s="3"/>
      <c r="I30" s="3"/>
      <c r="J30" s="3"/>
      <c r="K30" s="3"/>
      <c r="L30" s="3"/>
      <c r="M30" s="3"/>
      <c r="N30" s="3"/>
      <c r="O30" s="3"/>
      <c r="P30" s="3"/>
      <c r="Q30" s="3"/>
    </row>
    <row r="31" spans="1:17" x14ac:dyDescent="0.55000000000000004">
      <c r="A31" s="3">
        <v>2020</v>
      </c>
      <c r="B31" s="38">
        <f t="shared" si="0"/>
        <v>332.22753366999643</v>
      </c>
      <c r="C31" s="38">
        <f t="shared" si="0"/>
        <v>354.84823966031098</v>
      </c>
      <c r="D31" s="38">
        <f t="shared" si="0"/>
        <v>18.666216124790296</v>
      </c>
      <c r="E31" s="38"/>
      <c r="F31" s="38"/>
      <c r="G31" s="38">
        <f t="shared" si="1"/>
        <v>705.74198945509761</v>
      </c>
      <c r="H31" s="3"/>
      <c r="I31" s="3"/>
      <c r="J31" s="3"/>
      <c r="K31" s="3"/>
      <c r="L31" s="3"/>
      <c r="M31" s="3"/>
      <c r="N31" s="3"/>
      <c r="O31" s="3"/>
      <c r="P31" s="3"/>
      <c r="Q31" s="3"/>
    </row>
    <row r="32" spans="1:17" x14ac:dyDescent="0.55000000000000004">
      <c r="A32" s="3">
        <v>2021</v>
      </c>
      <c r="B32" s="38">
        <f t="shared" si="0"/>
        <v>329.41137069998263</v>
      </c>
      <c r="C32" s="38">
        <f t="shared" si="0"/>
        <v>373.89938028208957</v>
      </c>
      <c r="D32" s="38">
        <f t="shared" si="0"/>
        <v>17.532501487999998</v>
      </c>
      <c r="E32" s="38">
        <f t="shared" si="0"/>
        <v>17.243362434000002</v>
      </c>
      <c r="F32" s="38">
        <f t="shared" si="0"/>
        <v>11.410715547699997</v>
      </c>
      <c r="G32" s="38">
        <f>SUM(B32:F32)</f>
        <v>749.4973304517722</v>
      </c>
      <c r="H32" s="3"/>
      <c r="I32" s="3"/>
      <c r="J32" s="3"/>
      <c r="K32" s="3"/>
      <c r="L32" s="3"/>
      <c r="M32" s="3"/>
      <c r="N32" s="3"/>
      <c r="O32" s="3"/>
      <c r="P32" s="3"/>
      <c r="Q32" s="3"/>
    </row>
    <row r="33" spans="1:17" x14ac:dyDescent="0.55000000000000004">
      <c r="A33" s="3">
        <v>2011</v>
      </c>
      <c r="B33" s="40">
        <v>374898631</v>
      </c>
      <c r="C33" s="38">
        <v>235386426</v>
      </c>
      <c r="D33" s="38">
        <v>12317156</v>
      </c>
      <c r="E33" s="38"/>
      <c r="F33" s="38"/>
      <c r="G33" s="38">
        <f t="shared" si="1"/>
        <v>622602213</v>
      </c>
      <c r="H33" s="3"/>
      <c r="I33" s="3"/>
      <c r="J33" s="3"/>
      <c r="K33" s="3"/>
      <c r="L33" s="3"/>
      <c r="M33" s="3"/>
      <c r="N33" s="3"/>
      <c r="O33" s="3"/>
      <c r="P33" s="3"/>
      <c r="Q33" s="3"/>
    </row>
    <row r="34" spans="1:17" x14ac:dyDescent="0.55000000000000004">
      <c r="A34" s="3">
        <v>2012</v>
      </c>
      <c r="B34" s="40">
        <v>442008884</v>
      </c>
      <c r="C34" s="38">
        <v>272346544</v>
      </c>
      <c r="D34" s="38">
        <v>12259686</v>
      </c>
      <c r="E34" s="38"/>
      <c r="F34" s="38"/>
      <c r="G34" s="38">
        <f t="shared" si="1"/>
        <v>726615114</v>
      </c>
      <c r="H34" s="3"/>
      <c r="I34" s="3"/>
      <c r="J34" s="3"/>
      <c r="K34" s="3"/>
      <c r="L34" s="3"/>
      <c r="M34" s="3"/>
      <c r="N34" s="3"/>
      <c r="O34" s="3"/>
      <c r="P34" s="3"/>
      <c r="Q34" s="3"/>
    </row>
    <row r="35" spans="1:17" x14ac:dyDescent="0.55000000000000004">
      <c r="A35" s="3">
        <v>2013</v>
      </c>
      <c r="B35" s="40">
        <v>462590418</v>
      </c>
      <c r="C35" s="38">
        <v>316213911</v>
      </c>
      <c r="D35" s="38">
        <v>13303674</v>
      </c>
      <c r="E35" s="38"/>
      <c r="F35" s="38"/>
      <c r="G35" s="38">
        <f t="shared" si="1"/>
        <v>792108003</v>
      </c>
      <c r="H35" s="3"/>
      <c r="I35" s="3"/>
      <c r="J35" s="3"/>
      <c r="K35" s="3"/>
      <c r="L35" s="3"/>
      <c r="M35" s="3"/>
      <c r="N35" s="3"/>
      <c r="O35" s="3"/>
      <c r="P35" s="3"/>
      <c r="Q35" s="3"/>
    </row>
    <row r="36" spans="1:17" x14ac:dyDescent="0.55000000000000004">
      <c r="A36" s="3">
        <v>2014</v>
      </c>
      <c r="B36" s="40">
        <v>463908838</v>
      </c>
      <c r="C36" s="38">
        <v>294407060</v>
      </c>
      <c r="D36" s="38">
        <v>15140921</v>
      </c>
      <c r="E36" s="38"/>
      <c r="F36" s="38"/>
      <c r="G36" s="38">
        <f t="shared" si="1"/>
        <v>773456819</v>
      </c>
      <c r="H36" s="3"/>
      <c r="I36" s="3"/>
      <c r="J36" s="3"/>
      <c r="K36" s="3"/>
      <c r="L36" s="3"/>
      <c r="M36" s="3"/>
      <c r="N36" s="3"/>
      <c r="O36" s="3"/>
      <c r="P36" s="3"/>
      <c r="Q36" s="3"/>
    </row>
    <row r="37" spans="1:17" x14ac:dyDescent="0.55000000000000004">
      <c r="A37" s="3">
        <v>2015</v>
      </c>
      <c r="B37" s="40">
        <v>428142204.77171254</v>
      </c>
      <c r="C37" s="38">
        <v>302622167</v>
      </c>
      <c r="D37" s="38">
        <v>15335908.928590002</v>
      </c>
      <c r="E37" s="38"/>
      <c r="F37" s="38"/>
      <c r="G37" s="38">
        <f>SUM(B37:D37)</f>
        <v>746100280.7003026</v>
      </c>
      <c r="H37" s="3"/>
      <c r="I37" s="3"/>
      <c r="J37" s="3"/>
      <c r="K37" s="3"/>
      <c r="L37" s="3"/>
      <c r="M37" s="3"/>
      <c r="N37" s="3"/>
      <c r="O37" s="3"/>
      <c r="P37" s="3"/>
      <c r="Q37" s="3"/>
    </row>
    <row r="38" spans="1:17" x14ac:dyDescent="0.55000000000000004">
      <c r="A38" s="3">
        <v>2016</v>
      </c>
      <c r="B38" s="40">
        <v>343879759.35278636</v>
      </c>
      <c r="C38" s="38">
        <v>336451161.32896805</v>
      </c>
      <c r="D38" s="38">
        <v>15674793.067800004</v>
      </c>
      <c r="E38" s="38"/>
      <c r="F38" s="38"/>
      <c r="G38" s="38">
        <f>SUM(B38:D38)</f>
        <v>696005713.7495544</v>
      </c>
      <c r="H38" s="3"/>
      <c r="I38" s="3"/>
      <c r="J38" s="3"/>
      <c r="K38" s="3"/>
      <c r="L38" s="3"/>
      <c r="M38" s="3"/>
      <c r="N38" s="3"/>
      <c r="O38" s="3"/>
      <c r="P38" s="3"/>
      <c r="Q38" s="3"/>
    </row>
    <row r="39" spans="1:17" x14ac:dyDescent="0.55000000000000004">
      <c r="A39" s="3">
        <v>2017</v>
      </c>
      <c r="B39" s="41">
        <v>307579100</v>
      </c>
      <c r="C39" s="42">
        <v>342769401</v>
      </c>
      <c r="D39" s="42">
        <v>16218248</v>
      </c>
      <c r="E39" s="42"/>
      <c r="F39" s="42"/>
      <c r="G39" s="38">
        <f>SUM(B39:D39)</f>
        <v>666566749</v>
      </c>
      <c r="H39" s="3"/>
      <c r="I39" s="3"/>
      <c r="J39" s="3"/>
      <c r="K39" s="3"/>
      <c r="L39" s="3"/>
      <c r="M39" s="3"/>
      <c r="N39" s="3"/>
      <c r="O39" s="3"/>
      <c r="P39" s="3"/>
      <c r="Q39" s="3"/>
    </row>
    <row r="40" spans="1:17" x14ac:dyDescent="0.55000000000000004">
      <c r="A40" s="3">
        <v>2018</v>
      </c>
      <c r="B40" s="41">
        <v>301541376.74841863</v>
      </c>
      <c r="C40" s="42">
        <v>344079519.64127803</v>
      </c>
      <c r="D40" s="42">
        <v>16639269.999</v>
      </c>
      <c r="E40" s="42"/>
      <c r="F40" s="42"/>
      <c r="G40" s="38">
        <v>662260166.38869655</v>
      </c>
      <c r="H40" s="3"/>
      <c r="I40" s="3"/>
      <c r="J40" s="3"/>
      <c r="K40" s="3"/>
      <c r="L40" s="3"/>
      <c r="M40" s="3"/>
      <c r="N40" s="3"/>
      <c r="O40" s="3"/>
      <c r="P40" s="3"/>
      <c r="Q40" s="3"/>
    </row>
    <row r="41" spans="1:17" x14ac:dyDescent="0.55000000000000004">
      <c r="A41" s="39">
        <v>2019</v>
      </c>
      <c r="B41" s="43">
        <v>280320540.54977983</v>
      </c>
      <c r="C41" s="44">
        <v>352614747.22317743</v>
      </c>
      <c r="D41" s="44">
        <v>16992206.434180003</v>
      </c>
      <c r="E41" s="44"/>
      <c r="F41" s="44"/>
      <c r="G41" s="45">
        <v>649927494.20713735</v>
      </c>
      <c r="H41" s="3"/>
      <c r="I41" s="3"/>
      <c r="J41" s="3"/>
      <c r="K41" s="3"/>
      <c r="L41" s="3"/>
      <c r="M41" s="3"/>
      <c r="N41" s="3"/>
      <c r="O41" s="3"/>
      <c r="P41" s="3"/>
      <c r="Q41" s="3"/>
    </row>
    <row r="42" spans="1:17" x14ac:dyDescent="0.55000000000000004">
      <c r="A42" s="3">
        <v>2020</v>
      </c>
      <c r="B42" s="40">
        <v>332227533.66999644</v>
      </c>
      <c r="C42" s="38">
        <v>354848239.66031098</v>
      </c>
      <c r="D42" s="38">
        <v>18666216.124790296</v>
      </c>
      <c r="E42" s="38"/>
      <c r="F42" s="38"/>
      <c r="G42" s="38">
        <v>705741989.45509779</v>
      </c>
      <c r="H42" s="3"/>
      <c r="I42" s="3"/>
      <c r="J42" s="3"/>
      <c r="K42" s="3"/>
      <c r="L42" s="3"/>
      <c r="M42" s="3"/>
      <c r="N42" s="3"/>
      <c r="O42" s="3"/>
      <c r="P42" s="3"/>
      <c r="Q42" s="3"/>
    </row>
    <row r="43" spans="1:17" x14ac:dyDescent="0.55000000000000004">
      <c r="A43" s="3">
        <v>2021</v>
      </c>
      <c r="B43" s="40">
        <f>'Rate Support-Attachment I'!G54</f>
        <v>329411370.69998264</v>
      </c>
      <c r="C43" s="38">
        <f>'Rate Support-Attachment I'!C54</f>
        <v>373899380.28208959</v>
      </c>
      <c r="D43" s="38">
        <f>'Rate Support-Attachment I'!D54</f>
        <v>17532501.487999998</v>
      </c>
      <c r="E43" s="38">
        <f>'Rate Support-Attachment I'!E54</f>
        <v>17243362.434</v>
      </c>
      <c r="F43" s="38">
        <f>'Rate Support-Attachment I'!F54</f>
        <v>11410715.547699997</v>
      </c>
      <c r="G43" s="38">
        <f>SUM(B43:F43)</f>
        <v>749497330.45177233</v>
      </c>
      <c r="H43" s="3"/>
      <c r="I43" s="3"/>
      <c r="J43" s="3"/>
      <c r="K43" s="3"/>
      <c r="L43" s="3"/>
      <c r="M43" s="3"/>
      <c r="N43" s="3"/>
      <c r="O43" s="3"/>
      <c r="P43" s="3"/>
      <c r="Q43" s="3"/>
    </row>
    <row r="44" spans="1:17" x14ac:dyDescent="0.55000000000000004">
      <c r="A44" s="3"/>
      <c r="B44" s="3"/>
      <c r="C44" s="3"/>
      <c r="D44" s="3"/>
      <c r="E44" s="3"/>
      <c r="F44" s="3"/>
      <c r="G44" s="3"/>
      <c r="H44" s="3"/>
      <c r="I44" s="3"/>
      <c r="J44" s="3"/>
      <c r="K44" s="3"/>
      <c r="L44" s="3"/>
      <c r="M44" s="3"/>
      <c r="N44" s="3"/>
      <c r="O44" s="3"/>
      <c r="P44" s="3"/>
      <c r="Q44" s="3"/>
    </row>
    <row r="45" spans="1:17" x14ac:dyDescent="0.55000000000000004">
      <c r="A45" s="3" t="s">
        <v>77</v>
      </c>
      <c r="B45" s="3"/>
      <c r="C45" s="3"/>
      <c r="D45" s="3"/>
      <c r="E45" s="3"/>
      <c r="F45" s="3"/>
      <c r="G45" s="3"/>
      <c r="H45" s="3"/>
      <c r="I45" s="3"/>
      <c r="J45" s="3"/>
      <c r="K45" s="3"/>
      <c r="L45" s="3"/>
      <c r="M45" s="3"/>
      <c r="N45" s="3"/>
      <c r="O45" s="3"/>
      <c r="P45" s="3"/>
      <c r="Q45" s="3"/>
    </row>
    <row r="46" spans="1:17" ht="28.8" x14ac:dyDescent="0.55000000000000004">
      <c r="A46" s="46" t="s">
        <v>73</v>
      </c>
      <c r="B46" s="47" t="s">
        <v>78</v>
      </c>
      <c r="C46" s="47" t="s">
        <v>79</v>
      </c>
      <c r="D46" s="3"/>
      <c r="E46" s="3"/>
      <c r="F46" s="3"/>
      <c r="G46" s="3"/>
      <c r="H46" s="3"/>
      <c r="I46" s="3"/>
      <c r="J46" s="3"/>
      <c r="K46" s="3"/>
      <c r="L46" s="3"/>
      <c r="M46" s="3"/>
      <c r="N46" s="3"/>
      <c r="O46" s="3"/>
      <c r="P46" s="3"/>
      <c r="Q46" s="3"/>
    </row>
    <row r="47" spans="1:17" x14ac:dyDescent="0.55000000000000004">
      <c r="A47" s="3">
        <v>2011</v>
      </c>
      <c r="B47" s="38">
        <f t="shared" ref="B47:C57" si="2">+C60</f>
        <v>1203.0176928095927</v>
      </c>
      <c r="C47" s="38">
        <f t="shared" si="2"/>
        <v>580.41547980959274</v>
      </c>
      <c r="D47" s="31"/>
      <c r="E47" s="31"/>
      <c r="F47" s="31"/>
      <c r="G47" s="3"/>
      <c r="H47" s="3"/>
      <c r="I47" s="3"/>
      <c r="J47" s="3"/>
      <c r="K47" s="3"/>
      <c r="L47" s="3"/>
      <c r="M47" s="3"/>
      <c r="N47" s="3"/>
      <c r="O47" s="3"/>
      <c r="P47" s="3"/>
      <c r="Q47" s="3"/>
    </row>
    <row r="48" spans="1:17" x14ac:dyDescent="0.55000000000000004">
      <c r="A48" s="3">
        <v>2012</v>
      </c>
      <c r="B48" s="38">
        <f t="shared" si="2"/>
        <v>1378.3019303951344</v>
      </c>
      <c r="C48" s="38">
        <f t="shared" si="2"/>
        <v>651.68681639513431</v>
      </c>
      <c r="D48" s="3"/>
      <c r="E48" s="3"/>
      <c r="F48" s="3"/>
      <c r="G48" s="3"/>
      <c r="H48" s="3"/>
      <c r="I48" s="3"/>
      <c r="J48" s="3"/>
      <c r="K48" s="3"/>
      <c r="L48" s="3"/>
      <c r="M48" s="3"/>
      <c r="N48" s="3"/>
      <c r="O48" s="3"/>
      <c r="P48" s="3"/>
      <c r="Q48" s="3"/>
    </row>
    <row r="49" spans="1:17" x14ac:dyDescent="0.55000000000000004">
      <c r="A49" s="3">
        <v>2013</v>
      </c>
      <c r="B49" s="38">
        <f t="shared" si="2"/>
        <v>1505.554321846221</v>
      </c>
      <c r="C49" s="38">
        <f t="shared" si="2"/>
        <v>713.44631884622095</v>
      </c>
      <c r="D49" s="3"/>
      <c r="E49" s="3"/>
      <c r="F49" s="3"/>
      <c r="G49" s="3"/>
      <c r="H49" s="3"/>
      <c r="I49" s="3"/>
      <c r="J49" s="3"/>
      <c r="K49" s="3"/>
      <c r="L49" s="3"/>
      <c r="M49" s="3"/>
      <c r="N49" s="3"/>
      <c r="O49" s="3"/>
      <c r="P49" s="3"/>
      <c r="Q49" s="3"/>
    </row>
    <row r="50" spans="1:17" x14ac:dyDescent="0.55000000000000004">
      <c r="A50" s="3">
        <v>2014</v>
      </c>
      <c r="B50" s="38">
        <f t="shared" si="2"/>
        <v>1498.125311</v>
      </c>
      <c r="C50" s="38">
        <f t="shared" si="2"/>
        <v>724.6684919999999</v>
      </c>
      <c r="D50" s="3"/>
      <c r="E50" s="3"/>
      <c r="F50" s="3"/>
      <c r="G50" s="3"/>
      <c r="H50" s="3"/>
      <c r="I50" s="3"/>
      <c r="J50" s="3"/>
      <c r="K50" s="3"/>
      <c r="L50" s="3"/>
      <c r="M50" s="3"/>
      <c r="N50" s="3"/>
      <c r="O50" s="3"/>
      <c r="P50" s="3"/>
      <c r="Q50" s="3"/>
    </row>
    <row r="51" spans="1:17" x14ac:dyDescent="0.55000000000000004">
      <c r="A51" s="3">
        <v>2015</v>
      </c>
      <c r="B51" s="38">
        <f t="shared" si="2"/>
        <v>1477.3026560000001</v>
      </c>
      <c r="C51" s="38">
        <f t="shared" si="2"/>
        <v>731.20237529969745</v>
      </c>
      <c r="D51" s="3"/>
      <c r="E51" s="3"/>
      <c r="F51" s="3"/>
      <c r="G51" s="3"/>
      <c r="H51" s="3"/>
      <c r="I51" s="3"/>
      <c r="J51" s="3"/>
      <c r="K51" s="3"/>
      <c r="L51" s="3"/>
      <c r="M51" s="3"/>
      <c r="N51" s="3"/>
      <c r="O51" s="3"/>
      <c r="P51" s="3"/>
      <c r="Q51" s="3"/>
    </row>
    <row r="52" spans="1:17" x14ac:dyDescent="0.55000000000000004">
      <c r="A52" s="3">
        <v>2016</v>
      </c>
      <c r="B52" s="38">
        <f t="shared" si="2"/>
        <v>1523.6728668289177</v>
      </c>
      <c r="C52" s="38">
        <f t="shared" si="2"/>
        <v>827.66715307936329</v>
      </c>
      <c r="D52" s="3"/>
      <c r="E52" s="3"/>
      <c r="F52" s="3"/>
      <c r="G52" s="3"/>
      <c r="H52" s="3"/>
      <c r="I52" s="3"/>
      <c r="J52" s="3"/>
      <c r="K52" s="3"/>
      <c r="L52" s="3"/>
      <c r="M52" s="3"/>
      <c r="N52" s="3"/>
      <c r="O52" s="3"/>
      <c r="P52" s="3"/>
      <c r="Q52" s="3"/>
    </row>
    <row r="53" spans="1:17" x14ac:dyDescent="0.55000000000000004">
      <c r="A53" s="3">
        <v>2017</v>
      </c>
      <c r="B53" s="38">
        <f t="shared" si="2"/>
        <v>1562.5152129999999</v>
      </c>
      <c r="C53" s="38">
        <f t="shared" si="2"/>
        <v>895.94846399999994</v>
      </c>
      <c r="D53" s="3"/>
      <c r="E53" s="3"/>
      <c r="F53" s="3"/>
      <c r="G53" s="3"/>
      <c r="H53" s="3"/>
      <c r="I53" s="3"/>
      <c r="J53" s="3"/>
      <c r="K53" s="3"/>
      <c r="L53" s="3"/>
      <c r="M53" s="3"/>
      <c r="N53" s="3"/>
      <c r="O53" s="3"/>
      <c r="P53" s="3"/>
      <c r="Q53" s="3"/>
    </row>
    <row r="54" spans="1:17" x14ac:dyDescent="0.55000000000000004">
      <c r="A54" s="3">
        <v>2018</v>
      </c>
      <c r="B54" s="38">
        <f t="shared" si="2"/>
        <v>1748.4416889699364</v>
      </c>
      <c r="C54" s="38">
        <f t="shared" si="2"/>
        <v>1086.1815225812397</v>
      </c>
      <c r="D54" s="3"/>
      <c r="E54" s="3"/>
      <c r="F54" s="3"/>
      <c r="G54" s="3"/>
      <c r="H54" s="3"/>
      <c r="I54" s="3"/>
      <c r="J54" s="3"/>
      <c r="K54" s="3"/>
      <c r="L54" s="3"/>
      <c r="M54" s="3"/>
      <c r="N54" s="3"/>
      <c r="O54" s="3"/>
      <c r="P54" s="3"/>
      <c r="Q54" s="3"/>
    </row>
    <row r="55" spans="1:17" x14ac:dyDescent="0.55000000000000004">
      <c r="A55" s="39">
        <v>2019</v>
      </c>
      <c r="B55" s="38">
        <f t="shared" si="2"/>
        <v>1885.9526062099812</v>
      </c>
      <c r="C55" s="38">
        <f t="shared" si="2"/>
        <v>1236.0251120028438</v>
      </c>
      <c r="D55" s="3"/>
      <c r="E55" s="3"/>
      <c r="F55" s="3"/>
      <c r="G55" s="3"/>
      <c r="H55" s="3"/>
      <c r="I55" s="3"/>
      <c r="J55" s="3"/>
      <c r="K55" s="3"/>
      <c r="L55" s="3"/>
      <c r="M55" s="3"/>
      <c r="N55" s="3"/>
      <c r="O55" s="3"/>
      <c r="P55" s="3"/>
      <c r="Q55" s="3"/>
    </row>
    <row r="56" spans="1:17" x14ac:dyDescent="0.55000000000000004">
      <c r="A56" s="3">
        <v>2020</v>
      </c>
      <c r="B56" s="38">
        <f t="shared" si="2"/>
        <v>1942.5955654023769</v>
      </c>
      <c r="C56" s="38">
        <f t="shared" si="2"/>
        <v>1236.8535759472793</v>
      </c>
      <c r="D56" s="3"/>
      <c r="E56" s="3"/>
      <c r="F56" s="3"/>
      <c r="G56" s="3"/>
      <c r="H56" s="3"/>
      <c r="I56" s="3"/>
      <c r="J56" s="3"/>
      <c r="K56" s="3"/>
      <c r="L56" s="3"/>
      <c r="M56" s="3"/>
      <c r="N56" s="3"/>
      <c r="O56" s="3"/>
      <c r="P56" s="3"/>
      <c r="Q56" s="3"/>
    </row>
    <row r="57" spans="1:17" x14ac:dyDescent="0.55000000000000004">
      <c r="A57" s="3">
        <v>2021</v>
      </c>
      <c r="B57" s="38">
        <f t="shared" si="2"/>
        <v>1952.5760372664199</v>
      </c>
      <c r="C57" s="38">
        <f t="shared" si="2"/>
        <v>1203.0787068146478</v>
      </c>
      <c r="D57" s="3"/>
      <c r="E57" s="3"/>
      <c r="F57" s="3"/>
      <c r="G57" s="3"/>
      <c r="H57" s="3"/>
      <c r="I57" s="3"/>
      <c r="J57" s="3"/>
      <c r="K57" s="3"/>
      <c r="L57" s="3"/>
      <c r="M57" s="3"/>
      <c r="N57" s="3"/>
      <c r="O57" s="3"/>
      <c r="P57" s="3"/>
      <c r="Q57" s="3"/>
    </row>
    <row r="58" spans="1:17" x14ac:dyDescent="0.55000000000000004">
      <c r="A58" s="3"/>
      <c r="B58" s="3"/>
      <c r="C58" s="3"/>
      <c r="D58" s="3"/>
      <c r="E58" s="3"/>
      <c r="F58" s="3"/>
      <c r="G58" s="3"/>
      <c r="H58" s="3"/>
      <c r="I58" s="3"/>
      <c r="J58" s="3"/>
      <c r="K58" s="3"/>
      <c r="L58" s="3"/>
      <c r="M58" s="3"/>
      <c r="N58" s="3"/>
      <c r="O58" s="3"/>
      <c r="P58" s="3"/>
      <c r="Q58" s="3"/>
    </row>
    <row r="59" spans="1:17" ht="28.8" x14ac:dyDescent="0.55000000000000004">
      <c r="A59" s="46" t="s">
        <v>73</v>
      </c>
      <c r="B59" s="47" t="s">
        <v>80</v>
      </c>
      <c r="C59" s="47" t="s">
        <v>81</v>
      </c>
      <c r="D59" s="47" t="s">
        <v>82</v>
      </c>
      <c r="E59" s="6"/>
      <c r="F59" s="6"/>
      <c r="G59" s="3"/>
      <c r="H59" s="3"/>
      <c r="I59" s="3"/>
      <c r="J59" s="3"/>
      <c r="K59" s="3"/>
      <c r="L59" s="3"/>
      <c r="M59" s="3"/>
      <c r="N59" s="3"/>
      <c r="O59" s="3"/>
      <c r="P59" s="3"/>
      <c r="Q59" s="3"/>
    </row>
    <row r="60" spans="1:17" x14ac:dyDescent="0.55000000000000004">
      <c r="A60" s="3">
        <v>2011</v>
      </c>
      <c r="B60" s="38">
        <f t="shared" ref="B60:C70" si="3">+B86/1000000</f>
        <v>13039.588671793743</v>
      </c>
      <c r="C60" s="38">
        <f t="shared" si="3"/>
        <v>1203.0176928095927</v>
      </c>
      <c r="D60" s="38">
        <f t="shared" ref="D60:D70" si="4">+C60-G22</f>
        <v>580.41547980959274</v>
      </c>
      <c r="E60" s="38"/>
      <c r="F60" s="38"/>
      <c r="G60" s="48"/>
      <c r="H60" s="3"/>
      <c r="I60" s="3"/>
      <c r="J60" s="3"/>
      <c r="K60" s="3"/>
      <c r="L60" s="3"/>
      <c r="M60" s="3"/>
      <c r="N60" s="3"/>
      <c r="O60" s="3"/>
      <c r="P60" s="3"/>
      <c r="Q60" s="3"/>
    </row>
    <row r="61" spans="1:17" x14ac:dyDescent="0.55000000000000004">
      <c r="A61" s="3">
        <v>2012</v>
      </c>
      <c r="B61" s="38">
        <f t="shared" si="3"/>
        <v>13532.154004168002</v>
      </c>
      <c r="C61" s="38">
        <f t="shared" si="3"/>
        <v>1378.3019303951344</v>
      </c>
      <c r="D61" s="38">
        <f t="shared" si="4"/>
        <v>651.68681639513431</v>
      </c>
      <c r="E61" s="38"/>
      <c r="F61" s="38"/>
      <c r="G61" s="48"/>
      <c r="H61" s="3"/>
      <c r="I61" s="3"/>
      <c r="J61" s="3"/>
      <c r="K61" s="3"/>
      <c r="L61" s="3"/>
      <c r="M61" s="3"/>
      <c r="N61" s="3"/>
      <c r="O61" s="3"/>
      <c r="P61" s="3"/>
      <c r="Q61" s="3"/>
    </row>
    <row r="62" spans="1:17" x14ac:dyDescent="0.55000000000000004">
      <c r="A62" s="3">
        <v>2013</v>
      </c>
      <c r="B62" s="38">
        <f t="shared" si="3"/>
        <v>13625.073340212002</v>
      </c>
      <c r="C62" s="38">
        <f t="shared" si="3"/>
        <v>1505.554321846221</v>
      </c>
      <c r="D62" s="38">
        <f t="shared" si="4"/>
        <v>713.44631884622095</v>
      </c>
      <c r="E62" s="38"/>
      <c r="F62" s="38"/>
      <c r="G62" s="48"/>
      <c r="H62" s="3"/>
      <c r="I62" s="3"/>
      <c r="J62" s="3"/>
      <c r="K62" s="3"/>
      <c r="L62" s="3"/>
      <c r="M62" s="3"/>
      <c r="N62" s="3"/>
      <c r="O62" s="3"/>
      <c r="P62" s="3"/>
      <c r="Q62" s="3"/>
    </row>
    <row r="63" spans="1:17" x14ac:dyDescent="0.55000000000000004">
      <c r="A63" s="3">
        <v>2014</v>
      </c>
      <c r="B63" s="38">
        <f t="shared" si="3"/>
        <v>14105.52369</v>
      </c>
      <c r="C63" s="38">
        <f t="shared" si="3"/>
        <v>1498.125311</v>
      </c>
      <c r="D63" s="38">
        <f t="shared" si="4"/>
        <v>724.6684919999999</v>
      </c>
      <c r="E63" s="38"/>
      <c r="F63" s="38"/>
      <c r="G63" s="48"/>
      <c r="H63" s="3"/>
      <c r="I63" s="3"/>
      <c r="J63" s="3"/>
      <c r="K63" s="3"/>
      <c r="L63" s="3"/>
      <c r="M63" s="3"/>
      <c r="N63" s="3"/>
      <c r="O63" s="3"/>
      <c r="P63" s="3"/>
      <c r="Q63" s="3"/>
    </row>
    <row r="64" spans="1:17" x14ac:dyDescent="0.55000000000000004">
      <c r="A64" s="3">
        <v>2015</v>
      </c>
      <c r="B64" s="38">
        <f t="shared" si="3"/>
        <v>14693.452601719999</v>
      </c>
      <c r="C64" s="38">
        <f t="shared" si="3"/>
        <v>1477.3026560000001</v>
      </c>
      <c r="D64" s="38">
        <f t="shared" si="4"/>
        <v>731.20237529969745</v>
      </c>
      <c r="E64" s="38"/>
      <c r="F64" s="38"/>
      <c r="G64" s="48"/>
      <c r="H64" s="48"/>
      <c r="I64" s="3"/>
      <c r="J64" s="3"/>
      <c r="K64" s="3"/>
      <c r="L64" s="3"/>
      <c r="M64" s="3"/>
      <c r="N64" s="3"/>
      <c r="O64" s="3"/>
      <c r="P64" s="3"/>
      <c r="Q64" s="3"/>
    </row>
    <row r="65" spans="1:17" x14ac:dyDescent="0.55000000000000004">
      <c r="A65" s="3">
        <v>2016</v>
      </c>
      <c r="B65" s="38">
        <f t="shared" si="3"/>
        <v>16329.405720936335</v>
      </c>
      <c r="C65" s="38">
        <f t="shared" si="3"/>
        <v>1523.6728668289177</v>
      </c>
      <c r="D65" s="38">
        <f t="shared" si="4"/>
        <v>827.66715307936329</v>
      </c>
      <c r="E65" s="38"/>
      <c r="F65" s="38"/>
      <c r="G65" s="48"/>
      <c r="H65" s="3"/>
      <c r="I65" s="3"/>
      <c r="J65" s="3"/>
      <c r="K65" s="3"/>
      <c r="L65" s="3"/>
      <c r="M65" s="3"/>
      <c r="N65" s="3"/>
      <c r="O65" s="3"/>
      <c r="P65" s="3"/>
      <c r="Q65" s="3"/>
    </row>
    <row r="66" spans="1:17" x14ac:dyDescent="0.55000000000000004">
      <c r="A66" s="3">
        <v>2017</v>
      </c>
      <c r="B66" s="38">
        <f t="shared" si="3"/>
        <v>15834.40826</v>
      </c>
      <c r="C66" s="38">
        <f t="shared" si="3"/>
        <v>1562.5152129999999</v>
      </c>
      <c r="D66" s="38">
        <f t="shared" si="4"/>
        <v>895.94846399999994</v>
      </c>
      <c r="E66" s="38"/>
      <c r="F66" s="38"/>
      <c r="G66" s="48"/>
      <c r="H66" s="3"/>
      <c r="I66" s="3"/>
      <c r="J66" s="3"/>
      <c r="K66" s="3"/>
      <c r="L66" s="3"/>
      <c r="M66" s="3"/>
      <c r="N66" s="3"/>
      <c r="O66" s="3"/>
      <c r="P66" s="3"/>
      <c r="Q66" s="3"/>
    </row>
    <row r="67" spans="1:17" x14ac:dyDescent="0.55000000000000004">
      <c r="A67" s="3">
        <v>2018</v>
      </c>
      <c r="B67" s="38">
        <f t="shared" si="3"/>
        <v>16143.540167628906</v>
      </c>
      <c r="C67" s="38">
        <f t="shared" si="3"/>
        <v>1748.4416889699364</v>
      </c>
      <c r="D67" s="38">
        <f t="shared" si="4"/>
        <v>1086.1815225812397</v>
      </c>
      <c r="E67" s="38"/>
      <c r="F67" s="38"/>
      <c r="G67" s="48"/>
      <c r="H67" s="3"/>
      <c r="I67" s="3"/>
      <c r="J67" s="3"/>
      <c r="K67" s="3"/>
      <c r="L67" s="3"/>
      <c r="M67" s="3"/>
      <c r="N67" s="3"/>
      <c r="O67" s="3"/>
      <c r="P67" s="3"/>
      <c r="Q67" s="3"/>
    </row>
    <row r="68" spans="1:17" x14ac:dyDescent="0.55000000000000004">
      <c r="A68" s="39">
        <v>2019</v>
      </c>
      <c r="B68" s="38">
        <f t="shared" si="3"/>
        <v>16778.744994412515</v>
      </c>
      <c r="C68" s="38">
        <f t="shared" si="3"/>
        <v>1885.9526062099812</v>
      </c>
      <c r="D68" s="38">
        <f t="shared" si="4"/>
        <v>1236.0251120028438</v>
      </c>
      <c r="E68" s="38"/>
      <c r="F68" s="38"/>
      <c r="G68" s="48"/>
      <c r="H68" s="3"/>
      <c r="I68" s="3"/>
      <c r="J68" s="3"/>
      <c r="K68" s="3"/>
      <c r="L68" s="3"/>
      <c r="M68" s="3"/>
      <c r="N68" s="3"/>
      <c r="O68" s="3"/>
      <c r="P68" s="3"/>
      <c r="Q68" s="3"/>
    </row>
    <row r="69" spans="1:17" x14ac:dyDescent="0.55000000000000004">
      <c r="A69" s="3">
        <v>2020</v>
      </c>
      <c r="B69" s="38">
        <f t="shared" si="3"/>
        <v>17148.098364310001</v>
      </c>
      <c r="C69" s="38">
        <f t="shared" si="3"/>
        <v>1942.5955654023769</v>
      </c>
      <c r="D69" s="38">
        <f t="shared" si="4"/>
        <v>1236.8535759472793</v>
      </c>
      <c r="E69" s="38"/>
      <c r="F69" s="38"/>
      <c r="G69" s="48"/>
      <c r="H69" s="3"/>
      <c r="I69" s="3"/>
      <c r="J69" s="3"/>
      <c r="K69" s="3"/>
      <c r="L69" s="3"/>
      <c r="M69" s="3"/>
      <c r="N69" s="3"/>
      <c r="O69" s="3"/>
      <c r="P69" s="3"/>
      <c r="Q69" s="3"/>
    </row>
    <row r="70" spans="1:17" x14ac:dyDescent="0.55000000000000004">
      <c r="A70" s="3">
        <v>2021</v>
      </c>
      <c r="B70" s="38">
        <f t="shared" si="3"/>
        <v>18226.100701769999</v>
      </c>
      <c r="C70" s="38">
        <f t="shared" si="3"/>
        <v>1952.5760372664199</v>
      </c>
      <c r="D70" s="38">
        <f t="shared" si="4"/>
        <v>1203.0787068146478</v>
      </c>
      <c r="E70" s="38"/>
      <c r="F70" s="38"/>
      <c r="G70" s="48"/>
      <c r="H70" s="3"/>
      <c r="I70" s="3"/>
      <c r="J70" s="3"/>
      <c r="K70" s="3"/>
      <c r="L70" s="3"/>
      <c r="M70" s="3"/>
      <c r="N70" s="3"/>
      <c r="O70" s="3"/>
      <c r="P70" s="3"/>
      <c r="Q70" s="3"/>
    </row>
    <row r="71" spans="1:17" x14ac:dyDescent="0.55000000000000004">
      <c r="A71" s="3"/>
      <c r="B71" s="3"/>
      <c r="C71" s="3"/>
      <c r="D71" s="3"/>
      <c r="E71" s="3"/>
      <c r="F71" s="3"/>
      <c r="G71" s="3"/>
      <c r="H71" s="3"/>
      <c r="I71" s="3"/>
      <c r="J71" s="3"/>
      <c r="K71" s="3"/>
      <c r="L71" s="3"/>
      <c r="M71" s="3"/>
      <c r="N71" s="3"/>
      <c r="O71" s="3"/>
      <c r="P71" s="3"/>
      <c r="Q71" s="3"/>
    </row>
    <row r="72" spans="1:17" ht="43.2" x14ac:dyDescent="0.55000000000000004">
      <c r="A72" s="46" t="s">
        <v>73</v>
      </c>
      <c r="B72" s="47" t="s">
        <v>83</v>
      </c>
      <c r="C72" s="47" t="s">
        <v>84</v>
      </c>
      <c r="D72" s="3"/>
      <c r="E72" s="3"/>
      <c r="F72" s="3"/>
      <c r="G72" s="3"/>
      <c r="H72" s="3"/>
      <c r="I72" s="3"/>
      <c r="J72" s="3"/>
      <c r="K72" s="3"/>
      <c r="L72" s="3"/>
      <c r="M72" s="3"/>
      <c r="N72" s="3"/>
      <c r="O72" s="3"/>
      <c r="P72" s="3"/>
      <c r="Q72" s="3"/>
    </row>
    <row r="73" spans="1:17" x14ac:dyDescent="0.55000000000000004">
      <c r="A73" s="3">
        <v>2011</v>
      </c>
      <c r="B73" s="48">
        <f t="shared" ref="B73:B83" si="5">+C60/B60</f>
        <v>9.2258868211991238E-2</v>
      </c>
      <c r="C73" s="49">
        <f t="shared" ref="C73:C83" si="6">D60/B60</f>
        <v>4.4511793617010624E-2</v>
      </c>
      <c r="D73" s="3"/>
      <c r="E73" s="3"/>
      <c r="F73" s="3"/>
      <c r="G73" s="3"/>
      <c r="H73" s="3"/>
      <c r="I73" s="3"/>
      <c r="J73" s="3"/>
      <c r="K73" s="3"/>
      <c r="L73" s="3"/>
      <c r="M73" s="3"/>
      <c r="N73" s="3"/>
      <c r="O73" s="3"/>
      <c r="P73" s="3"/>
      <c r="Q73" s="3"/>
    </row>
    <row r="74" spans="1:17" x14ac:dyDescent="0.55000000000000004">
      <c r="A74" s="3">
        <v>2012</v>
      </c>
      <c r="B74" s="48">
        <f t="shared" si="5"/>
        <v>0.10185384603002651</v>
      </c>
      <c r="C74" s="49">
        <f t="shared" si="6"/>
        <v>4.8158394901093353E-2</v>
      </c>
      <c r="D74" s="3"/>
      <c r="E74" s="3"/>
      <c r="F74" s="3"/>
      <c r="G74" s="3"/>
      <c r="H74" s="3"/>
      <c r="I74" s="3"/>
      <c r="J74" s="3"/>
      <c r="K74" s="3"/>
      <c r="L74" s="3"/>
      <c r="M74" s="3"/>
      <c r="N74" s="3"/>
      <c r="O74" s="3"/>
      <c r="P74" s="3"/>
      <c r="Q74" s="3"/>
    </row>
    <row r="75" spans="1:17" x14ac:dyDescent="0.55000000000000004">
      <c r="A75" s="3">
        <v>2013</v>
      </c>
      <c r="B75" s="48">
        <f t="shared" si="5"/>
        <v>0.1104988049791147</v>
      </c>
      <c r="C75" s="49">
        <f t="shared" si="6"/>
        <v>5.2362750719338144E-2</v>
      </c>
      <c r="D75" s="3"/>
      <c r="E75" s="3"/>
      <c r="F75" s="3"/>
      <c r="G75" s="3"/>
      <c r="H75" s="3"/>
      <c r="I75" s="3"/>
      <c r="J75" s="3"/>
      <c r="K75" s="3"/>
      <c r="L75" s="3"/>
      <c r="M75" s="3"/>
      <c r="N75" s="3"/>
      <c r="O75" s="3"/>
      <c r="P75" s="3"/>
      <c r="Q75" s="3"/>
    </row>
    <row r="76" spans="1:17" x14ac:dyDescent="0.55000000000000004">
      <c r="A76" s="3">
        <v>2014</v>
      </c>
      <c r="B76" s="48">
        <f t="shared" si="5"/>
        <v>0.10620841479725308</v>
      </c>
      <c r="C76" s="49">
        <f t="shared" si="6"/>
        <v>5.1374802377152994E-2</v>
      </c>
      <c r="D76" s="3"/>
      <c r="E76" s="3"/>
      <c r="F76" s="3"/>
      <c r="G76" s="3"/>
      <c r="H76" s="3"/>
      <c r="I76" s="3"/>
      <c r="J76" s="3"/>
      <c r="K76" s="3"/>
      <c r="L76" s="3"/>
      <c r="M76" s="3"/>
      <c r="N76" s="3"/>
      <c r="O76" s="3"/>
      <c r="P76" s="3"/>
      <c r="Q76" s="3"/>
    </row>
    <row r="77" spans="1:17" x14ac:dyDescent="0.55000000000000004">
      <c r="A77" s="3">
        <v>2015</v>
      </c>
      <c r="B77" s="48">
        <f t="shared" si="5"/>
        <v>0.10054156065587122</v>
      </c>
      <c r="C77" s="49">
        <f t="shared" si="6"/>
        <v>4.9763823052323575E-2</v>
      </c>
      <c r="D77" s="3"/>
      <c r="E77" s="3"/>
      <c r="F77" s="3"/>
      <c r="G77" s="3"/>
      <c r="H77" s="3"/>
      <c r="I77" s="3"/>
      <c r="J77" s="3"/>
      <c r="K77" s="3"/>
      <c r="L77" s="3"/>
      <c r="M77" s="3"/>
      <c r="N77" s="3"/>
      <c r="O77" s="3"/>
      <c r="P77" s="3"/>
      <c r="Q77" s="3"/>
    </row>
    <row r="78" spans="1:17" x14ac:dyDescent="0.55000000000000004">
      <c r="A78" s="3">
        <v>2016</v>
      </c>
      <c r="B78" s="48">
        <f t="shared" si="5"/>
        <v>9.3308531422878357E-2</v>
      </c>
      <c r="C78" s="49">
        <f t="shared" si="6"/>
        <v>5.0685687355920786E-2</v>
      </c>
      <c r="D78" s="3"/>
      <c r="E78" s="3"/>
      <c r="F78" s="3"/>
      <c r="G78" s="3"/>
      <c r="H78" s="3"/>
      <c r="I78" s="3"/>
      <c r="J78" s="3"/>
      <c r="K78" s="3"/>
      <c r="L78" s="3"/>
      <c r="M78" s="3"/>
      <c r="N78" s="3"/>
      <c r="O78" s="3"/>
      <c r="P78" s="3"/>
      <c r="Q78" s="3"/>
    </row>
    <row r="79" spans="1:17" x14ac:dyDescent="0.55000000000000004">
      <c r="A79" s="3">
        <v>2017</v>
      </c>
      <c r="B79" s="48">
        <f t="shared" si="5"/>
        <v>9.8678472055513361E-2</v>
      </c>
      <c r="C79" s="49">
        <f t="shared" si="6"/>
        <v>5.6582377395389953E-2</v>
      </c>
      <c r="D79" s="3"/>
      <c r="E79" s="3"/>
      <c r="F79" s="3"/>
      <c r="G79" s="3"/>
      <c r="H79" s="3"/>
      <c r="I79" s="3"/>
      <c r="J79" s="3"/>
      <c r="K79" s="3"/>
      <c r="L79" s="3"/>
      <c r="M79" s="3"/>
      <c r="N79" s="3"/>
      <c r="O79" s="3"/>
      <c r="P79" s="3"/>
      <c r="Q79" s="3"/>
    </row>
    <row r="80" spans="1:17" x14ac:dyDescent="0.55000000000000004">
      <c r="A80" s="3">
        <v>2018</v>
      </c>
      <c r="B80" s="48">
        <f t="shared" si="5"/>
        <v>0.1083059645415272</v>
      </c>
      <c r="C80" s="49">
        <f t="shared" si="6"/>
        <v>6.7282734226985441E-2</v>
      </c>
      <c r="D80" s="3"/>
      <c r="E80" s="3"/>
      <c r="F80" s="3"/>
      <c r="G80" s="3"/>
      <c r="H80" s="3"/>
      <c r="I80" s="3"/>
      <c r="J80" s="3"/>
      <c r="K80" s="3"/>
      <c r="L80" s="3"/>
      <c r="M80" s="3"/>
      <c r="N80" s="3"/>
      <c r="O80" s="3"/>
      <c r="P80" s="3"/>
      <c r="Q80" s="3"/>
    </row>
    <row r="81" spans="1:17" x14ac:dyDescent="0.55000000000000004">
      <c r="A81" s="39">
        <v>2019</v>
      </c>
      <c r="B81" s="48">
        <f t="shared" si="5"/>
        <v>0.11240129144569644</v>
      </c>
      <c r="C81" s="49">
        <f t="shared" si="6"/>
        <v>7.3666124159730187E-2</v>
      </c>
      <c r="D81" s="3"/>
      <c r="E81" s="3"/>
      <c r="F81" s="3"/>
      <c r="G81" s="3"/>
      <c r="H81" s="3"/>
      <c r="I81" s="3"/>
      <c r="J81" s="3"/>
      <c r="K81" s="3"/>
      <c r="L81" s="3"/>
      <c r="M81" s="3"/>
      <c r="N81" s="3"/>
      <c r="O81" s="3"/>
      <c r="P81" s="3"/>
      <c r="Q81" s="3"/>
    </row>
    <row r="82" spans="1:17" x14ac:dyDescent="0.55000000000000004">
      <c r="A82" s="3">
        <v>2020</v>
      </c>
      <c r="B82" s="48">
        <f t="shared" si="5"/>
        <v>0.11328343960549368</v>
      </c>
      <c r="C82" s="49">
        <f t="shared" si="6"/>
        <v>7.2127739745272174E-2</v>
      </c>
      <c r="D82" s="3"/>
      <c r="E82" s="3"/>
      <c r="F82" s="3"/>
      <c r="G82" s="3"/>
      <c r="H82" s="3"/>
      <c r="I82" s="3"/>
      <c r="J82" s="3"/>
      <c r="K82" s="3"/>
      <c r="L82" s="3"/>
      <c r="M82" s="3"/>
      <c r="N82" s="3"/>
      <c r="O82" s="3"/>
      <c r="P82" s="3"/>
      <c r="Q82" s="3"/>
    </row>
    <row r="83" spans="1:17" x14ac:dyDescent="0.55000000000000004">
      <c r="A83" s="3">
        <v>2021</v>
      </c>
      <c r="B83" s="48">
        <f t="shared" si="5"/>
        <v>0.10713076094640465</v>
      </c>
      <c r="C83" s="49">
        <f t="shared" si="6"/>
        <v>6.6008562473146695E-2</v>
      </c>
      <c r="D83" s="3"/>
      <c r="E83" s="3"/>
      <c r="F83" s="3"/>
      <c r="G83" s="3"/>
      <c r="H83" s="3"/>
      <c r="I83" s="3"/>
      <c r="J83" s="3"/>
      <c r="K83" s="3"/>
      <c r="L83" s="3"/>
      <c r="M83" s="3"/>
      <c r="N83" s="3"/>
      <c r="O83" s="3"/>
      <c r="P83" s="3"/>
      <c r="Q83" s="3"/>
    </row>
    <row r="84" spans="1:17" x14ac:dyDescent="0.55000000000000004">
      <c r="A84" s="3"/>
      <c r="B84" s="3"/>
      <c r="C84" s="3"/>
      <c r="D84" s="3"/>
      <c r="E84" s="3"/>
      <c r="F84" s="3"/>
      <c r="G84" s="3"/>
      <c r="H84" s="3"/>
      <c r="I84" s="3"/>
      <c r="J84" s="3"/>
      <c r="K84" s="3"/>
      <c r="L84" s="3"/>
      <c r="M84" s="3"/>
      <c r="N84" s="3"/>
      <c r="O84" s="3"/>
      <c r="P84" s="3"/>
      <c r="Q84" s="3"/>
    </row>
    <row r="85" spans="1:17" ht="57.6" x14ac:dyDescent="0.55000000000000004">
      <c r="A85" s="37" t="s">
        <v>73</v>
      </c>
      <c r="B85" s="50" t="s">
        <v>85</v>
      </c>
      <c r="C85" s="50" t="s">
        <v>717</v>
      </c>
      <c r="D85" s="3"/>
      <c r="E85" s="3"/>
      <c r="F85" s="3"/>
      <c r="G85" s="3"/>
      <c r="H85" s="3"/>
      <c r="I85" s="3"/>
      <c r="J85" s="3"/>
      <c r="K85" s="3"/>
      <c r="L85" s="3"/>
      <c r="M85" s="3"/>
      <c r="N85" s="3"/>
      <c r="O85" s="3"/>
      <c r="P85" s="3"/>
      <c r="Q85" s="3"/>
    </row>
    <row r="86" spans="1:17" x14ac:dyDescent="0.55000000000000004">
      <c r="A86" s="3">
        <v>2011</v>
      </c>
      <c r="B86" s="51">
        <v>13039588671.793743</v>
      </c>
      <c r="C86" s="51">
        <v>1203017692.8095927</v>
      </c>
      <c r="D86" s="3"/>
      <c r="E86" s="3"/>
      <c r="F86" s="3"/>
      <c r="G86" s="3"/>
      <c r="H86" s="3"/>
      <c r="I86" s="3"/>
      <c r="J86" s="3"/>
      <c r="K86" s="3"/>
      <c r="L86" s="3"/>
      <c r="M86" s="3"/>
      <c r="N86" s="3"/>
      <c r="O86" s="3"/>
      <c r="P86" s="3"/>
      <c r="Q86" s="3"/>
    </row>
    <row r="87" spans="1:17" x14ac:dyDescent="0.55000000000000004">
      <c r="A87" s="3">
        <v>2012</v>
      </c>
      <c r="B87" s="51">
        <v>13532154004.168001</v>
      </c>
      <c r="C87" s="51">
        <v>1378301930.3951344</v>
      </c>
      <c r="D87" s="3"/>
      <c r="E87" s="3"/>
      <c r="F87" s="3"/>
      <c r="G87" s="3"/>
      <c r="H87" s="3"/>
      <c r="I87" s="3"/>
      <c r="J87" s="3"/>
      <c r="K87" s="3"/>
      <c r="L87" s="3"/>
      <c r="M87" s="3"/>
      <c r="N87" s="3"/>
      <c r="O87" s="3"/>
      <c r="P87" s="3"/>
      <c r="Q87" s="3"/>
    </row>
    <row r="88" spans="1:17" x14ac:dyDescent="0.55000000000000004">
      <c r="A88" s="3">
        <v>2013</v>
      </c>
      <c r="B88" s="51">
        <v>13625073340.212002</v>
      </c>
      <c r="C88" s="51">
        <v>1505554321.846221</v>
      </c>
      <c r="D88" s="3"/>
      <c r="E88" s="3"/>
      <c r="F88" s="3"/>
      <c r="G88" s="3"/>
      <c r="H88" s="3"/>
      <c r="I88" s="3"/>
      <c r="J88" s="3"/>
      <c r="K88" s="3"/>
      <c r="L88" s="3"/>
      <c r="M88" s="3"/>
      <c r="N88" s="3"/>
      <c r="O88" s="3"/>
      <c r="P88" s="3"/>
      <c r="Q88" s="3"/>
    </row>
    <row r="89" spans="1:17" x14ac:dyDescent="0.55000000000000004">
      <c r="A89" s="3">
        <v>2014</v>
      </c>
      <c r="B89" s="51">
        <v>14105523690</v>
      </c>
      <c r="C89" s="51">
        <v>1498125311</v>
      </c>
      <c r="D89" s="3"/>
      <c r="E89" s="3"/>
      <c r="F89" s="3"/>
      <c r="G89" s="3"/>
      <c r="H89" s="3"/>
      <c r="I89" s="3"/>
      <c r="J89" s="3"/>
      <c r="K89" s="3"/>
      <c r="L89" s="3"/>
      <c r="M89" s="3"/>
      <c r="N89" s="3"/>
      <c r="O89" s="3"/>
      <c r="P89" s="3"/>
      <c r="Q89" s="3"/>
    </row>
    <row r="90" spans="1:17" x14ac:dyDescent="0.55000000000000004">
      <c r="A90" s="52">
        <v>2015</v>
      </c>
      <c r="B90" s="53">
        <v>14693452601.719999</v>
      </c>
      <c r="C90" s="54">
        <v>1477302656</v>
      </c>
      <c r="D90" s="3"/>
      <c r="E90" s="3"/>
      <c r="F90" s="3"/>
      <c r="G90" s="3"/>
      <c r="H90" s="3"/>
      <c r="I90" s="3"/>
      <c r="J90" s="3"/>
      <c r="K90" s="3"/>
      <c r="L90" s="3"/>
      <c r="M90" s="3"/>
      <c r="N90" s="3"/>
      <c r="O90" s="3"/>
      <c r="P90" s="3"/>
      <c r="Q90" s="3"/>
    </row>
    <row r="91" spans="1:17" x14ac:dyDescent="0.55000000000000004">
      <c r="A91" s="52">
        <v>2016</v>
      </c>
      <c r="B91" s="53">
        <v>16329405720.936335</v>
      </c>
      <c r="C91" s="54">
        <v>1523672866.8289177</v>
      </c>
      <c r="D91" s="52"/>
      <c r="E91" s="52"/>
      <c r="F91" s="52"/>
      <c r="G91" s="52"/>
      <c r="H91" s="52"/>
      <c r="I91" s="52"/>
      <c r="J91" s="52"/>
      <c r="K91" s="52"/>
      <c r="L91" s="52"/>
      <c r="M91" s="52"/>
      <c r="N91" s="52"/>
      <c r="O91" s="52"/>
      <c r="P91" s="52"/>
      <c r="Q91" s="52"/>
    </row>
    <row r="92" spans="1:17" x14ac:dyDescent="0.55000000000000004">
      <c r="A92" s="52">
        <v>2017</v>
      </c>
      <c r="B92" s="55">
        <v>15834408260</v>
      </c>
      <c r="C92" s="55">
        <v>1562515213</v>
      </c>
      <c r="D92" s="52"/>
      <c r="E92" s="52"/>
      <c r="F92" s="52"/>
      <c r="G92" s="52"/>
      <c r="H92" s="52"/>
      <c r="I92" s="52"/>
      <c r="J92" s="52"/>
      <c r="K92" s="52"/>
      <c r="L92" s="52"/>
      <c r="M92" s="52"/>
      <c r="N92" s="52"/>
      <c r="O92" s="52"/>
      <c r="P92" s="52"/>
      <c r="Q92" s="52"/>
    </row>
    <row r="93" spans="1:17" x14ac:dyDescent="0.55000000000000004">
      <c r="A93" s="52">
        <v>2018</v>
      </c>
      <c r="B93" s="56">
        <v>16143540167.628906</v>
      </c>
      <c r="C93" s="56">
        <v>1748441688.9699364</v>
      </c>
      <c r="D93" s="52"/>
      <c r="E93" s="52"/>
      <c r="F93" s="52"/>
      <c r="G93" s="52"/>
      <c r="H93" s="52"/>
      <c r="I93" s="52"/>
      <c r="J93" s="52"/>
      <c r="K93" s="52"/>
      <c r="L93" s="52"/>
      <c r="M93" s="52"/>
      <c r="N93" s="52"/>
      <c r="O93" s="52"/>
      <c r="P93" s="52"/>
      <c r="Q93" s="52"/>
    </row>
    <row r="94" spans="1:17" x14ac:dyDescent="0.55000000000000004">
      <c r="A94" s="39">
        <v>2019</v>
      </c>
      <c r="B94" s="56">
        <v>16778744994.412516</v>
      </c>
      <c r="C94" s="56">
        <v>1885952606.2099812</v>
      </c>
      <c r="D94" s="52"/>
      <c r="E94" s="52"/>
      <c r="F94" s="52"/>
      <c r="G94" s="52"/>
      <c r="H94" s="52"/>
      <c r="I94" s="52"/>
      <c r="J94" s="52"/>
      <c r="K94" s="52"/>
      <c r="L94" s="52"/>
      <c r="M94" s="52"/>
      <c r="N94" s="52"/>
      <c r="O94" s="52"/>
      <c r="P94" s="52"/>
      <c r="Q94" s="52"/>
    </row>
    <row r="95" spans="1:17" x14ac:dyDescent="0.55000000000000004">
      <c r="A95" s="52">
        <v>2020</v>
      </c>
      <c r="B95" s="53">
        <v>17148098364.309999</v>
      </c>
      <c r="C95" s="53">
        <v>1942595565.4023769</v>
      </c>
      <c r="D95" s="52"/>
      <c r="E95" s="52"/>
      <c r="F95" s="52"/>
      <c r="G95" s="52"/>
      <c r="H95" s="52"/>
      <c r="I95" s="52"/>
      <c r="J95" s="52"/>
      <c r="K95" s="52"/>
      <c r="L95" s="52"/>
      <c r="M95" s="52"/>
      <c r="N95" s="52"/>
      <c r="O95" s="52"/>
      <c r="P95" s="52"/>
      <c r="Q95" s="52"/>
    </row>
    <row r="96" spans="1:17" x14ac:dyDescent="0.55000000000000004">
      <c r="A96" s="52">
        <v>2021</v>
      </c>
      <c r="B96" s="53">
        <f>'Attachment II-All Hospitals'!$C$54</f>
        <v>18226100701.77</v>
      </c>
      <c r="C96" s="53">
        <f>'Attachment II-All Hospitals'!D54</f>
        <v>1952576037.2664199</v>
      </c>
      <c r="D96" s="52"/>
      <c r="E96" s="52"/>
      <c r="F96" s="52"/>
      <c r="G96" s="52"/>
      <c r="H96" s="52"/>
      <c r="I96" s="52"/>
      <c r="J96" s="52"/>
      <c r="K96" s="52"/>
      <c r="L96" s="52"/>
      <c r="M96" s="52"/>
      <c r="N96" s="52"/>
      <c r="O96" s="52"/>
      <c r="P96" s="52"/>
      <c r="Q96" s="52"/>
    </row>
    <row r="97" spans="1:17" x14ac:dyDescent="0.55000000000000004">
      <c r="A97" s="52"/>
      <c r="B97" s="53"/>
      <c r="C97" s="53"/>
      <c r="D97" s="52"/>
      <c r="E97" s="52"/>
      <c r="F97" s="52"/>
      <c r="G97" s="52"/>
      <c r="H97" s="52"/>
      <c r="I97" s="52"/>
      <c r="J97" s="52"/>
      <c r="K97" s="52"/>
      <c r="L97" s="52"/>
      <c r="M97" s="52"/>
      <c r="N97" s="52"/>
      <c r="O97" s="52"/>
      <c r="P97" s="52"/>
      <c r="Q97" s="52"/>
    </row>
    <row r="99" spans="1:17" x14ac:dyDescent="0.55000000000000004">
      <c r="C99" s="57"/>
    </row>
    <row r="100" spans="1:17" x14ac:dyDescent="0.55000000000000004">
      <c r="C100" s="57"/>
    </row>
    <row r="101" spans="1:17" x14ac:dyDescent="0.55000000000000004">
      <c r="C101" s="57"/>
    </row>
    <row r="102" spans="1:17" x14ac:dyDescent="0.55000000000000004">
      <c r="C102" s="58"/>
    </row>
    <row r="103" spans="1:17" x14ac:dyDescent="0.55000000000000004">
      <c r="C103" s="59"/>
    </row>
    <row r="105" spans="1:17" x14ac:dyDescent="0.55000000000000004">
      <c r="C105" s="57"/>
    </row>
    <row r="106" spans="1:17" x14ac:dyDescent="0.55000000000000004">
      <c r="C106" s="57"/>
    </row>
    <row r="108" spans="1:17" x14ac:dyDescent="0.55000000000000004">
      <c r="C108" s="58"/>
    </row>
    <row r="109" spans="1:17" x14ac:dyDescent="0.55000000000000004">
      <c r="C109" s="59"/>
    </row>
    <row r="113" spans="1:7" ht="18.3" x14ac:dyDescent="0.7">
      <c r="A113" s="60"/>
      <c r="B113" s="61"/>
      <c r="D113" s="62"/>
      <c r="E113" s="62"/>
      <c r="F113" s="62"/>
      <c r="G113" s="63"/>
    </row>
    <row r="114" spans="1:7" x14ac:dyDescent="0.55000000000000004">
      <c r="B114" s="61"/>
      <c r="D114" s="64"/>
      <c r="E114" s="64"/>
      <c r="F114" s="64"/>
    </row>
    <row r="115" spans="1:7" x14ac:dyDescent="0.55000000000000004">
      <c r="B115" s="61"/>
      <c r="D115" s="64"/>
      <c r="E115" s="64"/>
      <c r="F115" s="64"/>
      <c r="G115" s="64"/>
    </row>
    <row r="116" spans="1:7" x14ac:dyDescent="0.55000000000000004">
      <c r="B116" s="61"/>
      <c r="D116" s="57"/>
      <c r="E116" s="57"/>
      <c r="F116" s="57"/>
      <c r="G116" s="57"/>
    </row>
    <row r="117" spans="1:7" ht="16.2" x14ac:dyDescent="0.85">
      <c r="B117" s="61"/>
      <c r="D117" s="65"/>
      <c r="E117" s="65"/>
      <c r="F117" s="65"/>
      <c r="G117" s="65"/>
    </row>
    <row r="118" spans="1:7" x14ac:dyDescent="0.55000000000000004">
      <c r="A118" s="66"/>
      <c r="B118" s="67"/>
      <c r="C118" s="66"/>
      <c r="D118" s="68"/>
      <c r="E118" s="68"/>
      <c r="F118" s="68"/>
      <c r="G118" s="68"/>
    </row>
    <row r="119" spans="1:7" x14ac:dyDescent="0.55000000000000004">
      <c r="B119" s="61"/>
      <c r="D119" s="64"/>
      <c r="E119" s="64"/>
      <c r="F119" s="64"/>
    </row>
    <row r="120" spans="1:7" x14ac:dyDescent="0.55000000000000004">
      <c r="D120" s="57"/>
      <c r="E120" s="57"/>
      <c r="F120" s="57"/>
    </row>
    <row r="121" spans="1:7" x14ac:dyDescent="0.55000000000000004">
      <c r="A121" s="69"/>
      <c r="D121" s="57"/>
      <c r="E121" s="57"/>
      <c r="F121" s="57"/>
    </row>
    <row r="122" spans="1:7" x14ac:dyDescent="0.55000000000000004">
      <c r="D122" s="57"/>
      <c r="E122" s="57"/>
      <c r="F122" s="57"/>
    </row>
    <row r="123" spans="1:7" x14ac:dyDescent="0.55000000000000004">
      <c r="D123" s="57"/>
      <c r="E123" s="57"/>
      <c r="F123" s="57"/>
    </row>
    <row r="124" spans="1:7" x14ac:dyDescent="0.55000000000000004">
      <c r="D124" s="57"/>
      <c r="E124" s="57"/>
      <c r="F124" s="57"/>
    </row>
    <row r="125" spans="1:7" ht="16.2" x14ac:dyDescent="0.85">
      <c r="D125" s="65"/>
      <c r="E125" s="65"/>
      <c r="F125" s="65"/>
    </row>
    <row r="126" spans="1:7" ht="16.2" x14ac:dyDescent="0.85">
      <c r="A126" s="66"/>
      <c r="B126" s="66"/>
      <c r="C126" s="66"/>
      <c r="D126" s="70"/>
      <c r="E126" s="70"/>
      <c r="F126" s="70"/>
      <c r="G126" s="71"/>
    </row>
    <row r="127" spans="1:7" x14ac:dyDescent="0.55000000000000004">
      <c r="A127" s="66"/>
      <c r="B127" s="66"/>
      <c r="C127" s="66"/>
      <c r="D127" s="66"/>
      <c r="E127" s="66"/>
      <c r="F127" s="66"/>
      <c r="G127" s="72"/>
    </row>
    <row r="128" spans="1:7" ht="16.2" x14ac:dyDescent="0.85">
      <c r="D128" s="73"/>
      <c r="E128" s="73"/>
      <c r="F128" s="73"/>
      <c r="G128" s="74"/>
    </row>
    <row r="131" spans="1:7" ht="16.2" x14ac:dyDescent="0.85">
      <c r="D131" s="75"/>
      <c r="E131" s="75"/>
      <c r="F131" s="75"/>
      <c r="G131" s="71"/>
    </row>
    <row r="133" spans="1:7" ht="16.2" x14ac:dyDescent="0.85">
      <c r="D133" s="76"/>
      <c r="E133" s="76"/>
      <c r="F133" s="76"/>
      <c r="G133" s="76"/>
    </row>
    <row r="135" spans="1:7" ht="16.2" x14ac:dyDescent="0.85">
      <c r="D135" s="71"/>
      <c r="E135" s="71"/>
      <c r="F135" s="71"/>
      <c r="G135" s="71"/>
    </row>
    <row r="137" spans="1:7" ht="18.3" x14ac:dyDescent="0.7">
      <c r="A137" s="77"/>
      <c r="B137" s="77"/>
      <c r="C137" s="77"/>
      <c r="D137" s="78"/>
      <c r="E137" s="78"/>
      <c r="F137" s="78"/>
      <c r="G137" s="78"/>
    </row>
  </sheetData>
  <pageMargins left="0.7" right="0.7" top="0.75" bottom="0.75" header="0.3" footer="0.3"/>
  <pageSetup scale="54" fitToHeight="0" orientation="landscape" horizontalDpi="1200" verticalDpi="1200" r:id="rId1"/>
  <rowBreaks count="1" manualBreakCount="1">
    <brk id="39" max="16383"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4E053-09ED-4969-ADAE-5A81B9B9E9E6}">
  <sheetPr codeName="Sheet31"/>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24.15625" style="176" bestFit="1"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517" t="s">
        <v>699</v>
      </c>
      <c r="D2" s="518"/>
      <c r="E2" s="518"/>
      <c r="F2" s="518"/>
      <c r="G2" s="518"/>
    </row>
    <row r="3" spans="1:8" ht="18" customHeight="1" x14ac:dyDescent="0.55000000000000004">
      <c r="B3" s="179" t="s">
        <v>235</v>
      </c>
    </row>
    <row r="5" spans="1:8" ht="18" customHeight="1" x14ac:dyDescent="0.55000000000000004">
      <c r="B5" s="180" t="s">
        <v>236</v>
      </c>
      <c r="C5" s="247" t="s">
        <v>707</v>
      </c>
      <c r="D5" s="247"/>
      <c r="E5" s="247"/>
      <c r="F5" s="208"/>
    </row>
    <row r="6" spans="1:8" ht="18" customHeight="1" x14ac:dyDescent="0.55000000000000004">
      <c r="B6" s="180" t="s">
        <v>237</v>
      </c>
      <c r="C6" s="243">
        <v>28</v>
      </c>
      <c r="D6" s="244"/>
      <c r="E6" s="244"/>
      <c r="F6" s="209"/>
    </row>
    <row r="7" spans="1:8" ht="18" customHeight="1" x14ac:dyDescent="0.55000000000000004">
      <c r="B7" s="180" t="s">
        <v>238</v>
      </c>
      <c r="C7" s="245">
        <v>1120</v>
      </c>
      <c r="D7" s="246"/>
      <c r="E7" s="246"/>
      <c r="F7" s="210"/>
    </row>
    <row r="8" spans="1:8" ht="18" customHeight="1" x14ac:dyDescent="0.55000000000000004">
      <c r="C8" s="211"/>
      <c r="D8" s="211"/>
      <c r="E8" s="211"/>
      <c r="F8" s="212"/>
    </row>
    <row r="9" spans="1:8" ht="18" customHeight="1" x14ac:dyDescent="0.55000000000000004">
      <c r="B9" s="180" t="s">
        <v>239</v>
      </c>
      <c r="C9" s="247" t="s">
        <v>701</v>
      </c>
      <c r="D9" s="247"/>
      <c r="E9" s="247"/>
      <c r="F9" s="208"/>
    </row>
    <row r="10" spans="1:8" ht="18" customHeight="1" x14ac:dyDescent="0.55000000000000004">
      <c r="B10" s="180" t="s">
        <v>241</v>
      </c>
      <c r="C10" s="248" t="s">
        <v>702</v>
      </c>
      <c r="D10" s="248"/>
      <c r="E10" s="248"/>
      <c r="F10" s="213"/>
    </row>
    <row r="11" spans="1:8" ht="18" customHeight="1" x14ac:dyDescent="0.55000000000000004">
      <c r="B11" s="180" t="s">
        <v>243</v>
      </c>
      <c r="C11" s="258" t="s">
        <v>706</v>
      </c>
      <c r="D11" s="247"/>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3595933.7628036155</v>
      </c>
      <c r="E18" s="214"/>
      <c r="F18" s="214"/>
      <c r="G18" s="214">
        <v>2980202.5779031971</v>
      </c>
      <c r="H18" s="249">
        <f>(D18+E18)-G18</f>
        <v>615731.18490041839</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251">
        <v>170848</v>
      </c>
      <c r="E21" s="252">
        <v>43266</v>
      </c>
      <c r="F21" s="252"/>
      <c r="G21" s="251">
        <v>103675</v>
      </c>
      <c r="H21" s="217">
        <v>110439</v>
      </c>
    </row>
    <row r="22" spans="1:8" ht="18" customHeight="1" x14ac:dyDescent="0.55000000000000004">
      <c r="A22" s="180" t="s">
        <v>112</v>
      </c>
      <c r="B22" s="176" t="s">
        <v>113</v>
      </c>
      <c r="D22" s="251">
        <v>6497</v>
      </c>
      <c r="E22" s="252">
        <v>2975</v>
      </c>
      <c r="F22" s="252"/>
      <c r="G22" s="251">
        <v>0</v>
      </c>
      <c r="H22" s="217">
        <v>9472</v>
      </c>
    </row>
    <row r="23" spans="1:8" ht="18" customHeight="1" x14ac:dyDescent="0.55000000000000004">
      <c r="A23" s="180" t="s">
        <v>114</v>
      </c>
      <c r="B23" s="176" t="s">
        <v>115</v>
      </c>
      <c r="D23" s="251"/>
      <c r="E23" s="252"/>
      <c r="F23" s="252"/>
      <c r="G23" s="251"/>
      <c r="H23" s="217">
        <v>0</v>
      </c>
    </row>
    <row r="24" spans="1:8" ht="18" customHeight="1" x14ac:dyDescent="0.55000000000000004">
      <c r="A24" s="180" t="s">
        <v>116</v>
      </c>
      <c r="B24" s="176" t="s">
        <v>117</v>
      </c>
      <c r="D24" s="251">
        <v>13645</v>
      </c>
      <c r="E24" s="252">
        <v>4348</v>
      </c>
      <c r="F24" s="252"/>
      <c r="G24" s="251">
        <v>2308</v>
      </c>
      <c r="H24" s="217">
        <v>15685</v>
      </c>
    </row>
    <row r="25" spans="1:8" ht="18" customHeight="1" x14ac:dyDescent="0.55000000000000004">
      <c r="A25" s="180" t="s">
        <v>118</v>
      </c>
      <c r="B25" s="176" t="s">
        <v>119</v>
      </c>
      <c r="D25" s="251">
        <v>95910</v>
      </c>
      <c r="E25" s="252">
        <v>73083</v>
      </c>
      <c r="F25" s="252"/>
      <c r="G25" s="251">
        <v>0</v>
      </c>
      <c r="H25" s="217">
        <v>168993</v>
      </c>
    </row>
    <row r="26" spans="1:8" ht="18" customHeight="1" x14ac:dyDescent="0.55000000000000004">
      <c r="A26" s="180" t="s">
        <v>120</v>
      </c>
      <c r="B26" s="176" t="s">
        <v>121</v>
      </c>
      <c r="D26" s="251"/>
      <c r="E26" s="252"/>
      <c r="F26" s="252"/>
      <c r="G26" s="251"/>
      <c r="H26" s="217">
        <v>0</v>
      </c>
    </row>
    <row r="27" spans="1:8" ht="18" customHeight="1" x14ac:dyDescent="0.55000000000000004">
      <c r="A27" s="180" t="s">
        <v>122</v>
      </c>
      <c r="B27" s="176" t="s">
        <v>246</v>
      </c>
      <c r="D27" s="251"/>
      <c r="E27" s="252"/>
      <c r="F27" s="252"/>
      <c r="G27" s="251"/>
      <c r="H27" s="217">
        <v>0</v>
      </c>
    </row>
    <row r="28" spans="1:8" ht="18" customHeight="1" x14ac:dyDescent="0.55000000000000004">
      <c r="A28" s="180" t="s">
        <v>124</v>
      </c>
      <c r="B28" s="176" t="s">
        <v>125</v>
      </c>
      <c r="D28" s="251"/>
      <c r="E28" s="252"/>
      <c r="F28" s="252"/>
      <c r="G28" s="251"/>
      <c r="H28" s="217">
        <v>0</v>
      </c>
    </row>
    <row r="29" spans="1:8" ht="18" customHeight="1" x14ac:dyDescent="0.55000000000000004">
      <c r="A29" s="180" t="s">
        <v>126</v>
      </c>
      <c r="B29" s="176" t="s">
        <v>127</v>
      </c>
      <c r="D29" s="251">
        <v>481695</v>
      </c>
      <c r="E29" s="252">
        <v>288576</v>
      </c>
      <c r="F29" s="252"/>
      <c r="G29" s="251">
        <v>119646</v>
      </c>
      <c r="H29" s="217">
        <v>650625</v>
      </c>
    </row>
    <row r="30" spans="1:8" ht="18" customHeight="1" x14ac:dyDescent="0.55000000000000004">
      <c r="A30" s="180" t="s">
        <v>128</v>
      </c>
      <c r="B30" s="185"/>
      <c r="D30" s="251"/>
      <c r="E30" s="252"/>
      <c r="F30" s="252"/>
      <c r="G30" s="251"/>
      <c r="H30" s="217">
        <v>0</v>
      </c>
    </row>
    <row r="31" spans="1:8" ht="18" customHeight="1" x14ac:dyDescent="0.55000000000000004">
      <c r="A31" s="180" t="s">
        <v>130</v>
      </c>
      <c r="B31" s="185"/>
      <c r="D31" s="251"/>
      <c r="E31" s="252"/>
      <c r="F31" s="252"/>
      <c r="G31" s="251"/>
      <c r="H31" s="217">
        <v>0</v>
      </c>
    </row>
    <row r="32" spans="1:8" ht="18" customHeight="1" x14ac:dyDescent="0.55000000000000004">
      <c r="A32" s="180" t="s">
        <v>131</v>
      </c>
      <c r="B32" s="185"/>
      <c r="D32" s="251"/>
      <c r="E32" s="252"/>
      <c r="F32" s="252"/>
      <c r="G32" s="251"/>
      <c r="H32" s="217">
        <v>0</v>
      </c>
    </row>
    <row r="33" spans="1:8" ht="18" customHeight="1" x14ac:dyDescent="0.55000000000000004">
      <c r="A33" s="180" t="s">
        <v>132</v>
      </c>
      <c r="B33" s="185"/>
      <c r="D33" s="251"/>
      <c r="E33" s="252"/>
      <c r="F33" s="252"/>
      <c r="G33" s="251"/>
      <c r="H33" s="217">
        <v>0</v>
      </c>
    </row>
    <row r="34" spans="1:8" ht="18" customHeight="1" x14ac:dyDescent="0.55000000000000004">
      <c r="A34" s="180" t="s">
        <v>133</v>
      </c>
      <c r="B34" s="185"/>
      <c r="D34" s="251"/>
      <c r="E34" s="252"/>
      <c r="F34" s="252"/>
      <c r="G34" s="251"/>
      <c r="H34" s="217">
        <v>0</v>
      </c>
    </row>
    <row r="35" spans="1:8" ht="18" customHeight="1" x14ac:dyDescent="0.55000000000000004">
      <c r="H35" s="186"/>
    </row>
    <row r="36" spans="1:8" ht="18" customHeight="1" x14ac:dyDescent="0.55000000000000004">
      <c r="A36" s="183" t="s">
        <v>134</v>
      </c>
      <c r="B36" s="179" t="s">
        <v>135</v>
      </c>
      <c r="C36" s="179" t="s">
        <v>248</v>
      </c>
      <c r="D36" s="217">
        <v>768595</v>
      </c>
      <c r="E36" s="217">
        <v>412248</v>
      </c>
      <c r="F36" s="217">
        <v>0</v>
      </c>
      <c r="G36" s="217">
        <v>225629</v>
      </c>
      <c r="H36" s="217">
        <v>955214</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251"/>
      <c r="E40" s="252"/>
      <c r="F40" s="252"/>
      <c r="G40" s="251"/>
      <c r="H40" s="217">
        <v>0</v>
      </c>
    </row>
    <row r="41" spans="1:8" ht="18" customHeight="1" x14ac:dyDescent="0.55000000000000004">
      <c r="A41" s="180" t="s">
        <v>251</v>
      </c>
      <c r="B41" s="176" t="s">
        <v>141</v>
      </c>
      <c r="D41" s="251"/>
      <c r="E41" s="252"/>
      <c r="F41" s="252"/>
      <c r="G41" s="251"/>
      <c r="H41" s="217">
        <v>0</v>
      </c>
    </row>
    <row r="42" spans="1:8" ht="18" customHeight="1" x14ac:dyDescent="0.55000000000000004">
      <c r="A42" s="180" t="s">
        <v>252</v>
      </c>
      <c r="B42" s="176" t="s">
        <v>143</v>
      </c>
      <c r="D42" s="251">
        <v>126</v>
      </c>
      <c r="E42" s="252">
        <v>96</v>
      </c>
      <c r="F42" s="252"/>
      <c r="G42" s="251"/>
      <c r="H42" s="217">
        <v>222</v>
      </c>
    </row>
    <row r="43" spans="1:8" ht="18" customHeight="1" x14ac:dyDescent="0.55000000000000004">
      <c r="A43" s="180" t="s">
        <v>253</v>
      </c>
      <c r="B43" s="176" t="s">
        <v>145</v>
      </c>
      <c r="D43" s="251"/>
      <c r="E43" s="252"/>
      <c r="F43" s="252"/>
      <c r="G43" s="251"/>
      <c r="H43" s="217">
        <v>0</v>
      </c>
    </row>
    <row r="44" spans="1:8" ht="18" customHeight="1" x14ac:dyDescent="0.55000000000000004">
      <c r="A44" s="180" t="s">
        <v>146</v>
      </c>
      <c r="B44" s="185"/>
      <c r="D44" s="322"/>
      <c r="E44" s="335"/>
      <c r="F44" s="335"/>
      <c r="G44" s="322"/>
      <c r="H44" s="217">
        <v>0</v>
      </c>
    </row>
    <row r="45" spans="1:8" ht="18" customHeight="1" x14ac:dyDescent="0.55000000000000004">
      <c r="A45" s="180" t="s">
        <v>147</v>
      </c>
      <c r="B45" s="185"/>
      <c r="D45" s="251"/>
      <c r="E45" s="252"/>
      <c r="F45" s="252"/>
      <c r="G45" s="251"/>
      <c r="H45" s="217">
        <v>0</v>
      </c>
    </row>
    <row r="46" spans="1:8" ht="18" customHeight="1" x14ac:dyDescent="0.55000000000000004">
      <c r="A46" s="180" t="s">
        <v>148</v>
      </c>
      <c r="B46" s="185"/>
      <c r="D46" s="251"/>
      <c r="E46" s="252"/>
      <c r="F46" s="252"/>
      <c r="G46" s="251"/>
      <c r="H46" s="217">
        <v>0</v>
      </c>
    </row>
    <row r="47" spans="1:8" ht="18" customHeight="1" x14ac:dyDescent="0.55000000000000004">
      <c r="A47" s="180" t="s">
        <v>149</v>
      </c>
      <c r="B47" s="185"/>
      <c r="D47" s="251"/>
      <c r="E47" s="252"/>
      <c r="F47" s="252"/>
      <c r="G47" s="251"/>
      <c r="H47" s="217">
        <v>0</v>
      </c>
    </row>
    <row r="49" spans="1:8" ht="18" customHeight="1" x14ac:dyDescent="0.55000000000000004">
      <c r="A49" s="183" t="s">
        <v>150</v>
      </c>
      <c r="B49" s="179" t="s">
        <v>254</v>
      </c>
      <c r="C49" s="179" t="s">
        <v>248</v>
      </c>
      <c r="D49" s="217">
        <v>126</v>
      </c>
      <c r="E49" s="217">
        <v>96</v>
      </c>
      <c r="F49" s="217">
        <v>0</v>
      </c>
      <c r="G49" s="217">
        <v>0</v>
      </c>
      <c r="H49" s="217">
        <v>222</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51">
        <v>14131037</v>
      </c>
      <c r="E53" s="251"/>
      <c r="F53" s="251"/>
      <c r="G53" s="251">
        <v>4413996</v>
      </c>
      <c r="H53" s="217">
        <v>9717041</v>
      </c>
    </row>
    <row r="54" spans="1:8" ht="18" customHeight="1" x14ac:dyDescent="0.55000000000000004">
      <c r="A54" s="180" t="s">
        <v>259</v>
      </c>
      <c r="B54" s="193"/>
      <c r="D54" s="251"/>
      <c r="E54" s="251"/>
      <c r="F54" s="251"/>
      <c r="G54" s="251"/>
      <c r="H54" s="217">
        <v>0</v>
      </c>
    </row>
    <row r="55" spans="1:8" ht="18" customHeight="1" x14ac:dyDescent="0.55000000000000004">
      <c r="A55" s="180" t="s">
        <v>260</v>
      </c>
      <c r="B55" s="194"/>
      <c r="D55" s="251"/>
      <c r="E55" s="251"/>
      <c r="F55" s="251"/>
      <c r="G55" s="251"/>
      <c r="H55" s="217">
        <v>0</v>
      </c>
    </row>
    <row r="56" spans="1:8" ht="18" customHeight="1" x14ac:dyDescent="0.55000000000000004">
      <c r="A56" s="180" t="s">
        <v>261</v>
      </c>
      <c r="B56" s="193"/>
      <c r="D56" s="251"/>
      <c r="E56" s="251"/>
      <c r="F56" s="251"/>
      <c r="G56" s="251"/>
      <c r="H56" s="217">
        <v>0</v>
      </c>
    </row>
    <row r="57" spans="1:8" ht="18" customHeight="1" x14ac:dyDescent="0.55000000000000004">
      <c r="A57" s="180" t="s">
        <v>263</v>
      </c>
      <c r="B57" s="193"/>
      <c r="D57" s="251"/>
      <c r="E57" s="251"/>
      <c r="F57" s="251"/>
      <c r="G57" s="251"/>
      <c r="H57" s="217">
        <v>0</v>
      </c>
    </row>
    <row r="58" spans="1:8" ht="18" customHeight="1" x14ac:dyDescent="0.55000000000000004">
      <c r="A58" s="180" t="s">
        <v>264</v>
      </c>
      <c r="B58" s="193"/>
      <c r="D58" s="251"/>
      <c r="E58" s="251"/>
      <c r="F58" s="251"/>
      <c r="G58" s="251"/>
      <c r="H58" s="217">
        <v>0</v>
      </c>
    </row>
    <row r="59" spans="1:8" ht="18" customHeight="1" x14ac:dyDescent="0.55000000000000004">
      <c r="A59" s="180" t="s">
        <v>265</v>
      </c>
      <c r="B59" s="223"/>
      <c r="D59" s="251"/>
      <c r="E59" s="251"/>
      <c r="F59" s="251"/>
      <c r="G59" s="251"/>
      <c r="H59" s="217">
        <v>0</v>
      </c>
    </row>
    <row r="60" spans="1:8" ht="18" customHeight="1" x14ac:dyDescent="0.55000000000000004">
      <c r="A60" s="180" t="s">
        <v>266</v>
      </c>
      <c r="B60" s="226"/>
      <c r="C60" s="212"/>
      <c r="D60" s="251"/>
      <c r="E60" s="251"/>
      <c r="F60" s="251"/>
      <c r="G60" s="251"/>
      <c r="H60" s="217">
        <v>0</v>
      </c>
    </row>
    <row r="61" spans="1:8" ht="18" customHeight="1" x14ac:dyDescent="0.55000000000000004">
      <c r="A61" s="180" t="s">
        <v>267</v>
      </c>
      <c r="B61" s="226"/>
      <c r="C61" s="212"/>
      <c r="D61" s="251"/>
      <c r="E61" s="251"/>
      <c r="F61" s="251"/>
      <c r="G61" s="251"/>
      <c r="H61" s="217">
        <v>0</v>
      </c>
    </row>
    <row r="62" spans="1:8" ht="18" customHeight="1" x14ac:dyDescent="0.55000000000000004">
      <c r="A62" s="180" t="s">
        <v>268</v>
      </c>
      <c r="B62" s="226"/>
      <c r="C62" s="212"/>
      <c r="D62" s="251"/>
      <c r="E62" s="251"/>
      <c r="F62" s="251"/>
      <c r="G62" s="251"/>
      <c r="H62" s="217">
        <v>0</v>
      </c>
    </row>
    <row r="63" spans="1:8" ht="18" customHeight="1" x14ac:dyDescent="0.55000000000000004">
      <c r="A63" s="180"/>
      <c r="E63" s="227"/>
      <c r="F63" s="192"/>
    </row>
    <row r="64" spans="1:8" ht="18" customHeight="1" x14ac:dyDescent="0.55000000000000004">
      <c r="A64" s="180" t="s">
        <v>269</v>
      </c>
      <c r="B64" s="179" t="s">
        <v>270</v>
      </c>
      <c r="C64" s="179" t="s">
        <v>248</v>
      </c>
      <c r="D64" s="217">
        <v>14131037</v>
      </c>
      <c r="E64" s="217">
        <v>0</v>
      </c>
      <c r="F64" s="217">
        <v>0</v>
      </c>
      <c r="G64" s="217">
        <v>4413996</v>
      </c>
      <c r="H64" s="217">
        <v>9717041</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v>0</v>
      </c>
      <c r="J68" s="254"/>
    </row>
    <row r="69" spans="1:10" ht="18" customHeight="1" x14ac:dyDescent="0.55000000000000004">
      <c r="A69" s="180" t="s">
        <v>273</v>
      </c>
      <c r="B69" s="176" t="s">
        <v>159</v>
      </c>
      <c r="D69" s="228"/>
      <c r="E69" s="216"/>
      <c r="F69" s="216"/>
      <c r="G69" s="228"/>
      <c r="H69" s="217">
        <v>0</v>
      </c>
    </row>
    <row r="70" spans="1:10" ht="18" customHeight="1" x14ac:dyDescent="0.55000000000000004">
      <c r="A70" s="180" t="s">
        <v>274</v>
      </c>
      <c r="B70" s="193"/>
      <c r="C70" s="179"/>
      <c r="D70" s="224"/>
      <c r="E70" s="216"/>
      <c r="F70" s="225"/>
      <c r="G70" s="224"/>
      <c r="H70" s="217">
        <v>0</v>
      </c>
    </row>
    <row r="71" spans="1:10" ht="18" customHeight="1" x14ac:dyDescent="0.55000000000000004">
      <c r="A71" s="180" t="s">
        <v>275</v>
      </c>
      <c r="B71" s="193"/>
      <c r="C71" s="179"/>
      <c r="D71" s="224"/>
      <c r="E71" s="216"/>
      <c r="F71" s="225"/>
      <c r="G71" s="224"/>
      <c r="H71" s="217">
        <v>0</v>
      </c>
    </row>
    <row r="72" spans="1:10" ht="18" customHeight="1" x14ac:dyDescent="0.55000000000000004">
      <c r="A72" s="180" t="s">
        <v>276</v>
      </c>
      <c r="B72" s="194"/>
      <c r="C72" s="179"/>
      <c r="D72" s="184"/>
      <c r="E72" s="216"/>
      <c r="F72" s="216"/>
      <c r="G72" s="184"/>
      <c r="H72" s="217">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v>0</v>
      </c>
      <c r="E74" s="229">
        <v>0</v>
      </c>
      <c r="F74" s="229">
        <v>0</v>
      </c>
      <c r="G74" s="217">
        <v>0</v>
      </c>
      <c r="H74" s="217">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251">
        <v>15155</v>
      </c>
      <c r="E77" s="319"/>
      <c r="F77" s="335"/>
      <c r="G77" s="251"/>
      <c r="H77" s="217">
        <v>15155</v>
      </c>
    </row>
    <row r="78" spans="1:10" ht="18" customHeight="1" x14ac:dyDescent="0.55000000000000004">
      <c r="A78" s="180" t="s">
        <v>281</v>
      </c>
      <c r="B78" s="176" t="s">
        <v>166</v>
      </c>
      <c r="D78" s="251"/>
      <c r="E78" s="319"/>
      <c r="F78" s="335"/>
      <c r="G78" s="251"/>
      <c r="H78" s="217">
        <v>0</v>
      </c>
    </row>
    <row r="79" spans="1:10" ht="18" customHeight="1" x14ac:dyDescent="0.55000000000000004">
      <c r="A79" s="180" t="s">
        <v>282</v>
      </c>
      <c r="B79" s="176" t="s">
        <v>168</v>
      </c>
      <c r="D79" s="251">
        <v>197517</v>
      </c>
      <c r="E79" s="319"/>
      <c r="F79" s="335"/>
      <c r="G79" s="251"/>
      <c r="H79" s="217">
        <v>197517</v>
      </c>
    </row>
    <row r="80" spans="1:10" ht="18" customHeight="1" x14ac:dyDescent="0.55000000000000004">
      <c r="A80" s="180" t="s">
        <v>283</v>
      </c>
      <c r="B80" s="176" t="s">
        <v>170</v>
      </c>
      <c r="D80" s="251"/>
      <c r="E80" s="319"/>
      <c r="F80" s="335"/>
      <c r="G80" s="251"/>
      <c r="H80" s="217">
        <v>0</v>
      </c>
    </row>
    <row r="81" spans="1:8" ht="18" customHeight="1" x14ac:dyDescent="0.55000000000000004">
      <c r="A81" s="180"/>
      <c r="H81" s="196"/>
    </row>
    <row r="82" spans="1:8" ht="18" customHeight="1" x14ac:dyDescent="0.55000000000000004">
      <c r="A82" s="180" t="s">
        <v>171</v>
      </c>
      <c r="B82" s="179" t="s">
        <v>284</v>
      </c>
      <c r="C82" s="179" t="s">
        <v>248</v>
      </c>
      <c r="D82" s="217">
        <v>212672</v>
      </c>
      <c r="E82" s="231"/>
      <c r="F82" s="217">
        <v>0</v>
      </c>
      <c r="G82" s="217">
        <v>0</v>
      </c>
      <c r="H82" s="217">
        <v>212672</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251">
        <v>94374</v>
      </c>
      <c r="E86" s="252">
        <v>71913</v>
      </c>
      <c r="F86" s="252"/>
      <c r="G86" s="251"/>
      <c r="H86" s="217">
        <v>166287</v>
      </c>
    </row>
    <row r="87" spans="1:8" ht="18" customHeight="1" x14ac:dyDescent="0.55000000000000004">
      <c r="A87" s="180" t="s">
        <v>287</v>
      </c>
      <c r="B87" s="176" t="s">
        <v>177</v>
      </c>
      <c r="D87" s="251">
        <v>566554</v>
      </c>
      <c r="E87" s="252"/>
      <c r="F87" s="252"/>
      <c r="G87" s="251"/>
      <c r="H87" s="217">
        <v>566554</v>
      </c>
    </row>
    <row r="88" spans="1:8" ht="18" customHeight="1" x14ac:dyDescent="0.55000000000000004">
      <c r="A88" s="180" t="s">
        <v>288</v>
      </c>
      <c r="B88" s="176" t="s">
        <v>289</v>
      </c>
      <c r="D88" s="251"/>
      <c r="E88" s="252"/>
      <c r="F88" s="252"/>
      <c r="G88" s="251"/>
      <c r="H88" s="217">
        <v>0</v>
      </c>
    </row>
    <row r="89" spans="1:8" ht="18" customHeight="1" x14ac:dyDescent="0.55000000000000004">
      <c r="A89" s="180" t="s">
        <v>290</v>
      </c>
      <c r="B89" s="176" t="s">
        <v>181</v>
      </c>
      <c r="D89" s="251"/>
      <c r="E89" s="252"/>
      <c r="F89" s="252"/>
      <c r="G89" s="251"/>
      <c r="H89" s="217">
        <v>0</v>
      </c>
    </row>
    <row r="90" spans="1:8" ht="18" customHeight="1" x14ac:dyDescent="0.55000000000000004">
      <c r="A90" s="180" t="s">
        <v>291</v>
      </c>
      <c r="B90" s="176" t="s">
        <v>183</v>
      </c>
      <c r="D90" s="251">
        <v>3500</v>
      </c>
      <c r="E90" s="252"/>
      <c r="F90" s="252"/>
      <c r="G90" s="251"/>
      <c r="H90" s="217">
        <v>3500</v>
      </c>
    </row>
    <row r="91" spans="1:8" ht="18" customHeight="1" x14ac:dyDescent="0.55000000000000004">
      <c r="A91" s="180" t="s">
        <v>292</v>
      </c>
      <c r="B91" s="176" t="s">
        <v>185</v>
      </c>
      <c r="D91" s="251">
        <v>3806</v>
      </c>
      <c r="E91" s="252">
        <v>2900</v>
      </c>
      <c r="F91" s="252"/>
      <c r="G91" s="251"/>
      <c r="H91" s="217">
        <v>6706</v>
      </c>
    </row>
    <row r="92" spans="1:8" ht="18" customHeight="1" x14ac:dyDescent="0.55000000000000004">
      <c r="A92" s="180" t="s">
        <v>293</v>
      </c>
      <c r="B92" s="176" t="s">
        <v>294</v>
      </c>
      <c r="D92" s="286">
        <v>42701</v>
      </c>
      <c r="E92" s="252"/>
      <c r="F92" s="287"/>
      <c r="G92" s="286"/>
      <c r="H92" s="217">
        <v>42701</v>
      </c>
    </row>
    <row r="93" spans="1:8" ht="18" customHeight="1" x14ac:dyDescent="0.55000000000000004">
      <c r="A93" s="180" t="s">
        <v>295</v>
      </c>
      <c r="B93" s="176" t="s">
        <v>296</v>
      </c>
      <c r="D93" s="251">
        <v>127977</v>
      </c>
      <c r="E93" s="252">
        <v>97518</v>
      </c>
      <c r="F93" s="252"/>
      <c r="G93" s="251"/>
      <c r="H93" s="217">
        <v>225495</v>
      </c>
    </row>
    <row r="94" spans="1:8" ht="18" customHeight="1" x14ac:dyDescent="0.55000000000000004">
      <c r="A94" s="180" t="s">
        <v>297</v>
      </c>
      <c r="B94" s="193"/>
      <c r="D94" s="251"/>
      <c r="E94" s="252"/>
      <c r="F94" s="252"/>
      <c r="G94" s="251"/>
      <c r="H94" s="217">
        <v>0</v>
      </c>
    </row>
    <row r="95" spans="1:8" ht="18" customHeight="1" x14ac:dyDescent="0.55000000000000004">
      <c r="A95" s="180" t="s">
        <v>298</v>
      </c>
      <c r="B95" s="193"/>
      <c r="D95" s="251"/>
      <c r="E95" s="252"/>
      <c r="F95" s="252"/>
      <c r="G95" s="251"/>
      <c r="H95" s="217">
        <v>0</v>
      </c>
    </row>
    <row r="96" spans="1:8" ht="18" customHeight="1" x14ac:dyDescent="0.55000000000000004">
      <c r="A96" s="180" t="s">
        <v>299</v>
      </c>
      <c r="B96" s="193"/>
      <c r="D96" s="251"/>
      <c r="E96" s="252"/>
      <c r="F96" s="252"/>
      <c r="G96" s="251"/>
      <c r="H96" s="217">
        <v>0</v>
      </c>
    </row>
    <row r="97" spans="1:8" ht="18" customHeight="1" x14ac:dyDescent="0.55000000000000004">
      <c r="A97" s="180"/>
    </row>
    <row r="98" spans="1:8" ht="18" customHeight="1" x14ac:dyDescent="0.55000000000000004">
      <c r="A98" s="183" t="s">
        <v>193</v>
      </c>
      <c r="B98" s="179" t="s">
        <v>300</v>
      </c>
      <c r="C98" s="179" t="s">
        <v>248</v>
      </c>
      <c r="D98" s="217">
        <v>838912</v>
      </c>
      <c r="E98" s="217">
        <v>172331</v>
      </c>
      <c r="F98" s="217">
        <v>0</v>
      </c>
      <c r="G98" s="217">
        <v>0</v>
      </c>
      <c r="H98" s="217">
        <v>1011243</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251">
        <v>58090</v>
      </c>
      <c r="E102" s="252"/>
      <c r="F102" s="252"/>
      <c r="G102" s="251"/>
      <c r="H102" s="217">
        <v>58090</v>
      </c>
    </row>
    <row r="103" spans="1:8" ht="18" customHeight="1" x14ac:dyDescent="0.55000000000000004">
      <c r="A103" s="180" t="s">
        <v>304</v>
      </c>
      <c r="B103" s="176" t="s">
        <v>199</v>
      </c>
      <c r="D103" s="251">
        <v>243503</v>
      </c>
      <c r="E103" s="252">
        <v>185549</v>
      </c>
      <c r="F103" s="252"/>
      <c r="G103" s="251"/>
      <c r="H103" s="217">
        <v>429052</v>
      </c>
    </row>
    <row r="104" spans="1:8" ht="18" customHeight="1" x14ac:dyDescent="0.55000000000000004">
      <c r="A104" s="180" t="s">
        <v>305</v>
      </c>
      <c r="B104" s="193" t="s">
        <v>201</v>
      </c>
      <c r="D104" s="251">
        <v>63701</v>
      </c>
      <c r="E104" s="252"/>
      <c r="F104" s="252"/>
      <c r="G104" s="251"/>
      <c r="H104" s="217">
        <v>63701</v>
      </c>
    </row>
    <row r="105" spans="1:8" ht="18" customHeight="1" x14ac:dyDescent="0.55000000000000004">
      <c r="A105" s="180" t="s">
        <v>306</v>
      </c>
      <c r="B105" s="193"/>
      <c r="D105" s="251"/>
      <c r="E105" s="252"/>
      <c r="F105" s="252"/>
      <c r="G105" s="251"/>
      <c r="H105" s="217">
        <v>0</v>
      </c>
    </row>
    <row r="106" spans="1:8" ht="18" customHeight="1" x14ac:dyDescent="0.55000000000000004">
      <c r="A106" s="180" t="s">
        <v>307</v>
      </c>
      <c r="B106" s="193"/>
      <c r="D106" s="251"/>
      <c r="E106" s="252"/>
      <c r="F106" s="252"/>
      <c r="G106" s="251"/>
      <c r="H106" s="217">
        <v>0</v>
      </c>
    </row>
    <row r="107" spans="1:8" ht="18" customHeight="1" x14ac:dyDescent="0.55000000000000004">
      <c r="B107" s="179"/>
    </row>
    <row r="108" spans="1:8" ht="18" customHeight="1" x14ac:dyDescent="0.55000000000000004">
      <c r="A108" s="183" t="s">
        <v>204</v>
      </c>
      <c r="B108" s="179" t="s">
        <v>308</v>
      </c>
      <c r="C108" s="179" t="s">
        <v>248</v>
      </c>
      <c r="D108" s="217">
        <v>365294</v>
      </c>
      <c r="E108" s="217">
        <v>185549</v>
      </c>
      <c r="F108" s="217">
        <v>0</v>
      </c>
      <c r="G108" s="217">
        <v>0</v>
      </c>
      <c r="H108" s="217">
        <v>550843</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251">
        <v>3589292.3199999994</v>
      </c>
      <c r="G111" s="251"/>
      <c r="H111" s="217">
        <v>3589292.3199999994</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0.76200000000000001</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251">
        <v>189042735.28000003</v>
      </c>
      <c r="F117" s="237"/>
    </row>
    <row r="118" spans="1:7" ht="18" customHeight="1" x14ac:dyDescent="0.55000000000000004">
      <c r="A118" s="180" t="s">
        <v>319</v>
      </c>
      <c r="B118" s="176" t="s">
        <v>320</v>
      </c>
      <c r="E118" s="251">
        <v>7922848.9800000004</v>
      </c>
      <c r="F118" s="237"/>
    </row>
    <row r="119" spans="1:7" ht="18" customHeight="1" x14ac:dyDescent="0.55000000000000004">
      <c r="A119" s="180" t="s">
        <v>321</v>
      </c>
      <c r="B119" s="179" t="s">
        <v>322</v>
      </c>
      <c r="E119" s="217">
        <v>196965584.26000002</v>
      </c>
      <c r="F119" s="238"/>
    </row>
    <row r="120" spans="1:7" ht="18" customHeight="1" x14ac:dyDescent="0.55000000000000004">
      <c r="A120" s="180"/>
      <c r="B120" s="179"/>
      <c r="E120" s="275"/>
      <c r="F120" s="212"/>
    </row>
    <row r="121" spans="1:7" ht="18" customHeight="1" x14ac:dyDescent="0.55000000000000004">
      <c r="A121" s="180" t="s">
        <v>323</v>
      </c>
      <c r="B121" s="179" t="s">
        <v>324</v>
      </c>
      <c r="E121" s="251">
        <v>176289631.13</v>
      </c>
      <c r="F121" s="237"/>
    </row>
    <row r="122" spans="1:7" ht="18" customHeight="1" x14ac:dyDescent="0.55000000000000004">
      <c r="A122" s="180"/>
      <c r="E122" s="275"/>
      <c r="F122" s="212"/>
    </row>
    <row r="123" spans="1:7" ht="18" customHeight="1" x14ac:dyDescent="0.55000000000000004">
      <c r="A123" s="180" t="s">
        <v>325</v>
      </c>
      <c r="B123" s="179" t="s">
        <v>326</v>
      </c>
      <c r="E123" s="251">
        <v>20675953.130000025</v>
      </c>
      <c r="F123" s="237"/>
    </row>
    <row r="124" spans="1:7" ht="18" customHeight="1" x14ac:dyDescent="0.55000000000000004">
      <c r="A124" s="180"/>
      <c r="E124" s="275"/>
      <c r="F124" s="212"/>
    </row>
    <row r="125" spans="1:7" ht="18" customHeight="1" x14ac:dyDescent="0.55000000000000004">
      <c r="A125" s="180" t="s">
        <v>327</v>
      </c>
      <c r="B125" s="179" t="s">
        <v>328</v>
      </c>
      <c r="E125" s="251">
        <v>793464.66</v>
      </c>
      <c r="F125" s="237"/>
    </row>
    <row r="126" spans="1:7" ht="18" customHeight="1" x14ac:dyDescent="0.55000000000000004">
      <c r="A126" s="180"/>
      <c r="E126" s="275"/>
      <c r="F126" s="212"/>
    </row>
    <row r="127" spans="1:7" ht="18" customHeight="1" x14ac:dyDescent="0.55000000000000004">
      <c r="A127" s="180" t="s">
        <v>329</v>
      </c>
      <c r="B127" s="179" t="s">
        <v>330</v>
      </c>
      <c r="E127" s="251">
        <v>21469417.790000025</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v>0</v>
      </c>
    </row>
    <row r="132" spans="1:8" ht="18" customHeight="1" x14ac:dyDescent="0.55000000000000004">
      <c r="A132" s="180" t="s">
        <v>333</v>
      </c>
      <c r="B132" s="176" t="s">
        <v>68</v>
      </c>
      <c r="D132" s="184"/>
      <c r="E132" s="216"/>
      <c r="F132" s="216"/>
      <c r="G132" s="184"/>
      <c r="H132" s="217">
        <v>0</v>
      </c>
    </row>
    <row r="133" spans="1:8" ht="18" customHeight="1" x14ac:dyDescent="0.55000000000000004">
      <c r="A133" s="180" t="s">
        <v>334</v>
      </c>
      <c r="B133" s="185"/>
      <c r="D133" s="184"/>
      <c r="E133" s="216"/>
      <c r="F133" s="216"/>
      <c r="G133" s="184"/>
      <c r="H133" s="217">
        <v>0</v>
      </c>
    </row>
    <row r="134" spans="1:8" ht="18" customHeight="1" x14ac:dyDescent="0.55000000000000004">
      <c r="A134" s="180" t="s">
        <v>335</v>
      </c>
      <c r="B134" s="185"/>
      <c r="D134" s="184"/>
      <c r="E134" s="216"/>
      <c r="F134" s="216"/>
      <c r="G134" s="184"/>
      <c r="H134" s="217">
        <v>0</v>
      </c>
    </row>
    <row r="135" spans="1:8" ht="18" customHeight="1" x14ac:dyDescent="0.55000000000000004">
      <c r="A135" s="180" t="s">
        <v>336</v>
      </c>
      <c r="B135" s="185"/>
      <c r="D135" s="184"/>
      <c r="E135" s="216"/>
      <c r="F135" s="216"/>
      <c r="G135" s="184"/>
      <c r="H135" s="217">
        <v>0</v>
      </c>
    </row>
    <row r="136" spans="1:8" ht="18" customHeight="1" x14ac:dyDescent="0.55000000000000004">
      <c r="A136" s="183"/>
    </row>
    <row r="137" spans="1:8" ht="18" customHeight="1" x14ac:dyDescent="0.55000000000000004">
      <c r="A137" s="183" t="s">
        <v>215</v>
      </c>
      <c r="B137" s="179" t="s">
        <v>337</v>
      </c>
      <c r="D137" s="217">
        <v>0</v>
      </c>
      <c r="E137" s="217">
        <v>0</v>
      </c>
      <c r="F137" s="217">
        <v>0</v>
      </c>
      <c r="G137" s="217">
        <v>0</v>
      </c>
      <c r="H137" s="217">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v>768595</v>
      </c>
      <c r="E141" s="239">
        <v>412248</v>
      </c>
      <c r="F141" s="239">
        <v>0</v>
      </c>
      <c r="G141" s="239">
        <v>225629</v>
      </c>
      <c r="H141" s="239">
        <v>955214</v>
      </c>
    </row>
    <row r="142" spans="1:8" ht="18" customHeight="1" x14ac:dyDescent="0.55000000000000004">
      <c r="A142" s="180" t="s">
        <v>150</v>
      </c>
      <c r="B142" s="179" t="s">
        <v>220</v>
      </c>
      <c r="D142" s="239">
        <v>126</v>
      </c>
      <c r="E142" s="239">
        <v>96</v>
      </c>
      <c r="F142" s="239">
        <v>0</v>
      </c>
      <c r="G142" s="239">
        <v>0</v>
      </c>
      <c r="H142" s="239">
        <v>222</v>
      </c>
    </row>
    <row r="143" spans="1:8" ht="18" customHeight="1" x14ac:dyDescent="0.55000000000000004">
      <c r="A143" s="180" t="s">
        <v>269</v>
      </c>
      <c r="B143" s="179" t="s">
        <v>222</v>
      </c>
      <c r="D143" s="239">
        <v>14131037</v>
      </c>
      <c r="E143" s="239">
        <v>0</v>
      </c>
      <c r="F143" s="239">
        <v>0</v>
      </c>
      <c r="G143" s="239">
        <v>4413996</v>
      </c>
      <c r="H143" s="239">
        <v>9717041</v>
      </c>
    </row>
    <row r="144" spans="1:8" ht="18" customHeight="1" x14ac:dyDescent="0.55000000000000004">
      <c r="A144" s="180" t="s">
        <v>161</v>
      </c>
      <c r="B144" s="179" t="s">
        <v>70</v>
      </c>
      <c r="D144" s="239">
        <v>0</v>
      </c>
      <c r="E144" s="239">
        <v>0</v>
      </c>
      <c r="F144" s="239">
        <v>0</v>
      </c>
      <c r="G144" s="239">
        <v>0</v>
      </c>
      <c r="H144" s="239">
        <v>0</v>
      </c>
    </row>
    <row r="145" spans="1:8" ht="18" customHeight="1" x14ac:dyDescent="0.55000000000000004">
      <c r="A145" s="180" t="s">
        <v>171</v>
      </c>
      <c r="B145" s="179" t="s">
        <v>69</v>
      </c>
      <c r="D145" s="239">
        <v>212672</v>
      </c>
      <c r="E145" s="239">
        <v>0</v>
      </c>
      <c r="F145" s="239">
        <v>0</v>
      </c>
      <c r="G145" s="239">
        <v>0</v>
      </c>
      <c r="H145" s="239">
        <v>212672</v>
      </c>
    </row>
    <row r="146" spans="1:8" ht="18" customHeight="1" x14ac:dyDescent="0.55000000000000004">
      <c r="A146" s="180" t="s">
        <v>193</v>
      </c>
      <c r="B146" s="179" t="s">
        <v>226</v>
      </c>
      <c r="D146" s="239">
        <v>838912</v>
      </c>
      <c r="E146" s="239">
        <v>172331</v>
      </c>
      <c r="F146" s="239">
        <v>0</v>
      </c>
      <c r="G146" s="239">
        <v>0</v>
      </c>
      <c r="H146" s="239">
        <v>1011243</v>
      </c>
    </row>
    <row r="147" spans="1:8" ht="18" customHeight="1" x14ac:dyDescent="0.55000000000000004">
      <c r="A147" s="180" t="s">
        <v>204</v>
      </c>
      <c r="B147" s="179" t="s">
        <v>71</v>
      </c>
      <c r="D147" s="217">
        <v>365294</v>
      </c>
      <c r="E147" s="217">
        <v>185549</v>
      </c>
      <c r="F147" s="217">
        <v>0</v>
      </c>
      <c r="G147" s="217">
        <v>0</v>
      </c>
      <c r="H147" s="217">
        <v>550843</v>
      </c>
    </row>
    <row r="148" spans="1:8" ht="18" customHeight="1" x14ac:dyDescent="0.55000000000000004">
      <c r="A148" s="180" t="s">
        <v>310</v>
      </c>
      <c r="B148" s="179" t="s">
        <v>58</v>
      </c>
      <c r="D148" s="240" t="s">
        <v>245</v>
      </c>
      <c r="E148" s="240" t="s">
        <v>245</v>
      </c>
      <c r="F148" s="240"/>
      <c r="G148" s="240" t="s">
        <v>245</v>
      </c>
      <c r="H148" s="239">
        <v>3589292.3199999994</v>
      </c>
    </row>
    <row r="149" spans="1:8" ht="18" customHeight="1" x14ac:dyDescent="0.55000000000000004">
      <c r="A149" s="180" t="s">
        <v>215</v>
      </c>
      <c r="B149" s="179" t="s">
        <v>230</v>
      </c>
      <c r="D149" s="217">
        <v>0</v>
      </c>
      <c r="E149" s="217">
        <v>0</v>
      </c>
      <c r="F149" s="217">
        <v>0</v>
      </c>
      <c r="G149" s="217">
        <v>0</v>
      </c>
      <c r="H149" s="217">
        <v>0</v>
      </c>
    </row>
    <row r="150" spans="1:8" ht="18" customHeight="1" x14ac:dyDescent="0.55000000000000004">
      <c r="A150" s="180" t="s">
        <v>103</v>
      </c>
      <c r="B150" s="179" t="s">
        <v>104</v>
      </c>
      <c r="D150" s="217">
        <f>D18</f>
        <v>3595933.7628036155</v>
      </c>
      <c r="E150" s="217">
        <f>E18</f>
        <v>0</v>
      </c>
      <c r="F150" s="217">
        <f>F18</f>
        <v>0</v>
      </c>
      <c r="G150" s="217">
        <f>G18</f>
        <v>2980202.5779031971</v>
      </c>
      <c r="H150" s="217">
        <f>H18</f>
        <v>615731.18490041839</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v>19530980</v>
      </c>
      <c r="E152" s="241">
        <v>770224</v>
      </c>
      <c r="F152" s="241">
        <v>0</v>
      </c>
      <c r="G152" s="241">
        <v>7238238.3057190794</v>
      </c>
      <c r="H152" s="241">
        <v>16652258.014280921</v>
      </c>
    </row>
    <row r="154" spans="1:8" ht="18" customHeight="1" x14ac:dyDescent="0.55000000000000004">
      <c r="A154" s="183" t="s">
        <v>339</v>
      </c>
      <c r="B154" s="179" t="s">
        <v>340</v>
      </c>
      <c r="D154" s="242">
        <v>9.4459656575043627E-2</v>
      </c>
    </row>
    <row r="155" spans="1:8" ht="18" customHeight="1" x14ac:dyDescent="0.55000000000000004">
      <c r="A155" s="183" t="s">
        <v>341</v>
      </c>
      <c r="B155" s="179" t="s">
        <v>342</v>
      </c>
      <c r="D155" s="242">
        <v>0.77562690228317088</v>
      </c>
    </row>
  </sheetData>
  <mergeCells count="2">
    <mergeCell ref="C2:G2"/>
    <mergeCell ref="B13:D13"/>
  </mergeCells>
  <hyperlinks>
    <hyperlink ref="C11" r:id="rId1" xr:uid="{0A08EF3F-36EE-4A51-83FC-F73E516E3D90}"/>
  </hyperlinks>
  <pageMargins left="0.7" right="0.7" top="0.75" bottom="0.75" header="0.3" footer="0.3"/>
  <pageSetup orientation="portrait" horizontalDpi="1200" verticalDpi="1200"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1B77B-E2D1-43F8-B518-2F8815280141}">
  <sheetPr codeName="Sheet32"/>
  <dimension ref="A1:J155"/>
  <sheetViews>
    <sheetView zoomScaleNormal="100" workbookViewId="0"/>
  </sheetViews>
  <sheetFormatPr defaultColWidth="9" defaultRowHeight="14.4" x14ac:dyDescent="0.55000000000000004"/>
  <cols>
    <col min="1" max="1" width="8.26171875" style="175" customWidth="1"/>
    <col min="2" max="2" width="55.26171875" style="176" bestFit="1" customWidth="1"/>
    <col min="3" max="3" width="12.26171875" style="176" customWidth="1"/>
    <col min="4" max="4" width="17.15625" style="176" customWidth="1"/>
    <col min="5" max="6" width="21.15625" style="176" customWidth="1"/>
    <col min="7" max="7" width="19.68359375" style="176" customWidth="1"/>
    <col min="8" max="8" width="17.6835937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01" t="s">
        <v>544</v>
      </c>
      <c r="D5" s="501"/>
      <c r="E5" s="501"/>
      <c r="F5" s="208"/>
    </row>
    <row r="6" spans="1:8" ht="18" customHeight="1" x14ac:dyDescent="0.55000000000000004">
      <c r="B6" s="180" t="s">
        <v>237</v>
      </c>
      <c r="C6" s="516" t="s">
        <v>545</v>
      </c>
      <c r="D6" s="516"/>
      <c r="E6" s="516"/>
      <c r="F6" s="209"/>
    </row>
    <row r="7" spans="1:8" ht="18" customHeight="1" x14ac:dyDescent="0.55000000000000004">
      <c r="B7" s="180" t="s">
        <v>238</v>
      </c>
      <c r="C7" s="512">
        <v>3281</v>
      </c>
      <c r="D7" s="512"/>
      <c r="E7" s="512"/>
      <c r="F7" s="210"/>
    </row>
    <row r="8" spans="1:8" ht="18" customHeight="1" x14ac:dyDescent="0.55000000000000004">
      <c r="C8" s="211"/>
      <c r="D8" s="211"/>
      <c r="E8" s="211"/>
      <c r="F8" s="212"/>
    </row>
    <row r="9" spans="1:8" ht="18" customHeight="1" x14ac:dyDescent="0.55000000000000004">
      <c r="B9" s="180" t="s">
        <v>239</v>
      </c>
      <c r="C9" s="501" t="s">
        <v>546</v>
      </c>
      <c r="D9" s="501"/>
      <c r="E9" s="501"/>
      <c r="F9" s="208"/>
    </row>
    <row r="10" spans="1:8" ht="18" customHeight="1" x14ac:dyDescent="0.55000000000000004">
      <c r="B10" s="180" t="s">
        <v>241</v>
      </c>
      <c r="C10" s="513" t="s">
        <v>547</v>
      </c>
      <c r="D10" s="513"/>
      <c r="E10" s="513"/>
      <c r="F10" s="213"/>
    </row>
    <row r="11" spans="1:8" ht="18" customHeight="1" x14ac:dyDescent="0.55000000000000004">
      <c r="B11" s="180" t="s">
        <v>243</v>
      </c>
      <c r="C11" s="501" t="s">
        <v>548</v>
      </c>
      <c r="D11" s="501"/>
      <c r="E11" s="50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49">
        <v>12858796.841753703</v>
      </c>
      <c r="E18" s="249"/>
      <c r="F18" s="249"/>
      <c r="G18" s="249">
        <v>10656987.03711655</v>
      </c>
      <c r="H18" s="249">
        <f>(D18+E18)-G18</f>
        <v>2201809.8046371527</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291">
        <v>1717848</v>
      </c>
      <c r="E21" s="291">
        <v>871690</v>
      </c>
      <c r="F21" s="291"/>
      <c r="G21" s="291">
        <v>20524</v>
      </c>
      <c r="H21" s="217">
        <f>(D21+E21)-F21-G21</f>
        <v>2569014</v>
      </c>
    </row>
    <row r="22" spans="1:8" ht="18" customHeight="1" x14ac:dyDescent="0.55000000000000004">
      <c r="A22" s="180" t="s">
        <v>112</v>
      </c>
      <c r="B22" s="176" t="s">
        <v>113</v>
      </c>
      <c r="D22" s="291">
        <v>18835</v>
      </c>
      <c r="E22" s="291">
        <v>8570</v>
      </c>
      <c r="F22" s="291"/>
      <c r="G22" s="291">
        <v>450</v>
      </c>
      <c r="H22" s="217">
        <f t="shared" ref="H22:H34" si="0">(D22+E22)-F22-G22</f>
        <v>26955</v>
      </c>
    </row>
    <row r="23" spans="1:8" ht="18" customHeight="1" x14ac:dyDescent="0.55000000000000004">
      <c r="A23" s="180" t="s">
        <v>114</v>
      </c>
      <c r="B23" s="176" t="s">
        <v>115</v>
      </c>
      <c r="D23" s="291">
        <v>0</v>
      </c>
      <c r="E23" s="291">
        <v>0</v>
      </c>
      <c r="F23" s="291"/>
      <c r="G23" s="291">
        <v>0</v>
      </c>
      <c r="H23" s="217">
        <f t="shared" si="0"/>
        <v>0</v>
      </c>
    </row>
    <row r="24" spans="1:8" ht="18" customHeight="1" x14ac:dyDescent="0.55000000000000004">
      <c r="A24" s="180" t="s">
        <v>116</v>
      </c>
      <c r="B24" s="176" t="s">
        <v>117</v>
      </c>
      <c r="D24" s="291">
        <v>148553</v>
      </c>
      <c r="E24" s="291">
        <v>26739</v>
      </c>
      <c r="F24" s="291"/>
      <c r="G24" s="291">
        <v>0</v>
      </c>
      <c r="H24" s="217">
        <f t="shared" si="0"/>
        <v>175292</v>
      </c>
    </row>
    <row r="25" spans="1:8" ht="18" customHeight="1" x14ac:dyDescent="0.55000000000000004">
      <c r="A25" s="180" t="s">
        <v>118</v>
      </c>
      <c r="B25" s="176" t="s">
        <v>119</v>
      </c>
      <c r="D25" s="291">
        <v>0</v>
      </c>
      <c r="E25" s="291">
        <v>0</v>
      </c>
      <c r="F25" s="291"/>
      <c r="G25" s="291">
        <v>0</v>
      </c>
      <c r="H25" s="217">
        <f t="shared" si="0"/>
        <v>0</v>
      </c>
    </row>
    <row r="26" spans="1:8" ht="18" customHeight="1" x14ac:dyDescent="0.55000000000000004">
      <c r="A26" s="180" t="s">
        <v>120</v>
      </c>
      <c r="B26" s="176" t="s">
        <v>121</v>
      </c>
      <c r="D26" s="291">
        <v>0</v>
      </c>
      <c r="E26" s="291">
        <v>0</v>
      </c>
      <c r="F26" s="291"/>
      <c r="G26" s="291">
        <v>0</v>
      </c>
      <c r="H26" s="217">
        <f t="shared" si="0"/>
        <v>0</v>
      </c>
    </row>
    <row r="27" spans="1:8" ht="18" customHeight="1" x14ac:dyDescent="0.55000000000000004">
      <c r="A27" s="180" t="s">
        <v>122</v>
      </c>
      <c r="B27" s="176" t="s">
        <v>246</v>
      </c>
      <c r="D27" s="291">
        <v>225816</v>
      </c>
      <c r="E27" s="291">
        <v>141361</v>
      </c>
      <c r="F27" s="291"/>
      <c r="G27" s="291">
        <v>0</v>
      </c>
      <c r="H27" s="217">
        <f t="shared" si="0"/>
        <v>367177</v>
      </c>
    </row>
    <row r="28" spans="1:8" ht="18" customHeight="1" x14ac:dyDescent="0.55000000000000004">
      <c r="A28" s="180" t="s">
        <v>124</v>
      </c>
      <c r="B28" s="176" t="s">
        <v>125</v>
      </c>
      <c r="D28" s="291">
        <v>0</v>
      </c>
      <c r="E28" s="291">
        <v>0</v>
      </c>
      <c r="F28" s="291"/>
      <c r="G28" s="291">
        <v>0</v>
      </c>
      <c r="H28" s="217">
        <f t="shared" si="0"/>
        <v>0</v>
      </c>
    </row>
    <row r="29" spans="1:8" ht="18" customHeight="1" x14ac:dyDescent="0.55000000000000004">
      <c r="A29" s="180" t="s">
        <v>126</v>
      </c>
      <c r="B29" s="176" t="s">
        <v>127</v>
      </c>
      <c r="D29" s="291">
        <v>3473918</v>
      </c>
      <c r="E29" s="291">
        <v>1253588</v>
      </c>
      <c r="F29" s="291"/>
      <c r="G29" s="291">
        <v>0</v>
      </c>
      <c r="H29" s="217">
        <f t="shared" si="0"/>
        <v>4727506</v>
      </c>
    </row>
    <row r="30" spans="1:8" ht="18" customHeight="1" x14ac:dyDescent="0.55000000000000004">
      <c r="A30" s="180" t="s">
        <v>128</v>
      </c>
      <c r="B30" s="193" t="s">
        <v>549</v>
      </c>
      <c r="D30" s="291">
        <v>2021204</v>
      </c>
      <c r="E30" s="291">
        <v>1108019</v>
      </c>
      <c r="F30" s="291">
        <v>634412</v>
      </c>
      <c r="G30" s="291">
        <v>14322</v>
      </c>
      <c r="H30" s="217">
        <f t="shared" si="0"/>
        <v>2480489</v>
      </c>
    </row>
    <row r="31" spans="1:8" ht="18" customHeight="1" x14ac:dyDescent="0.55000000000000004">
      <c r="A31" s="180" t="s">
        <v>130</v>
      </c>
      <c r="B31" s="193"/>
      <c r="D31" s="184"/>
      <c r="E31" s="216"/>
      <c r="F31" s="216"/>
      <c r="G31" s="184"/>
      <c r="H31" s="217">
        <f t="shared" si="0"/>
        <v>0</v>
      </c>
    </row>
    <row r="32" spans="1:8" ht="18" customHeight="1" x14ac:dyDescent="0.55000000000000004">
      <c r="A32" s="180" t="s">
        <v>131</v>
      </c>
      <c r="B32" s="193"/>
      <c r="D32" s="184"/>
      <c r="E32" s="216"/>
      <c r="F32" s="216"/>
      <c r="G32" s="184"/>
      <c r="H32" s="217">
        <f t="shared" si="0"/>
        <v>0</v>
      </c>
    </row>
    <row r="33" spans="1:8" ht="18" customHeight="1" x14ac:dyDescent="0.55000000000000004">
      <c r="A33" s="180" t="s">
        <v>132</v>
      </c>
      <c r="B33" s="193"/>
      <c r="D33" s="184"/>
      <c r="E33" s="216"/>
      <c r="F33" s="216"/>
      <c r="G33" s="184"/>
      <c r="H33" s="217">
        <f t="shared" si="0"/>
        <v>0</v>
      </c>
    </row>
    <row r="34" spans="1:8" ht="18" customHeight="1" x14ac:dyDescent="0.55000000000000004">
      <c r="A34" s="180" t="s">
        <v>133</v>
      </c>
      <c r="B34" s="193"/>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7606174</v>
      </c>
      <c r="E36" s="217">
        <f>SUM(E21:E34)</f>
        <v>3409967</v>
      </c>
      <c r="F36" s="217">
        <f>SUM(F21:F34)</f>
        <v>634412</v>
      </c>
      <c r="G36" s="217">
        <f>SUM(G21:G34)</f>
        <v>35296</v>
      </c>
      <c r="H36" s="217">
        <f>SUM(H21:H34)</f>
        <v>10346433</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26223778</v>
      </c>
      <c r="E40" s="216">
        <v>16416085</v>
      </c>
      <c r="F40" s="216"/>
      <c r="G40" s="184">
        <v>0</v>
      </c>
      <c r="H40" s="217">
        <f>(D40+E40)-F40-G40</f>
        <v>42639863</v>
      </c>
    </row>
    <row r="41" spans="1:8" ht="18" customHeight="1" x14ac:dyDescent="0.55000000000000004">
      <c r="A41" s="180" t="s">
        <v>251</v>
      </c>
      <c r="B41" s="176" t="s">
        <v>141</v>
      </c>
      <c r="D41" s="184">
        <v>3688593</v>
      </c>
      <c r="E41" s="216">
        <v>2309060</v>
      </c>
      <c r="F41" s="216"/>
      <c r="G41" s="184">
        <v>0</v>
      </c>
      <c r="H41" s="217">
        <f t="shared" ref="H41:H47" si="1">(D41+E41)-F41-G41</f>
        <v>5997653</v>
      </c>
    </row>
    <row r="42" spans="1:8" ht="18" customHeight="1" x14ac:dyDescent="0.55000000000000004">
      <c r="A42" s="180" t="s">
        <v>252</v>
      </c>
      <c r="B42" s="176" t="s">
        <v>143</v>
      </c>
      <c r="D42" s="184">
        <v>963769</v>
      </c>
      <c r="E42" s="216">
        <v>603316</v>
      </c>
      <c r="F42" s="216"/>
      <c r="G42" s="184">
        <v>5921</v>
      </c>
      <c r="H42" s="217">
        <f t="shared" si="1"/>
        <v>1561164</v>
      </c>
    </row>
    <row r="43" spans="1:8" ht="18" customHeight="1" x14ac:dyDescent="0.55000000000000004">
      <c r="A43" s="180" t="s">
        <v>253</v>
      </c>
      <c r="B43" s="176" t="s">
        <v>145</v>
      </c>
      <c r="D43" s="184">
        <v>228645</v>
      </c>
      <c r="E43" s="216">
        <v>143131</v>
      </c>
      <c r="F43" s="216"/>
      <c r="G43" s="184">
        <v>0</v>
      </c>
      <c r="H43" s="217">
        <f t="shared" si="1"/>
        <v>371776</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31104785</v>
      </c>
      <c r="E49" s="217">
        <f>SUM(E40:E47)</f>
        <v>19471592</v>
      </c>
      <c r="F49" s="217">
        <f>SUM(F40:F47)</f>
        <v>0</v>
      </c>
      <c r="G49" s="217">
        <f>SUM(G40:G47)</f>
        <v>5921</v>
      </c>
      <c r="H49" s="217">
        <f>SUM(H40:H47)</f>
        <v>50570456</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91">
        <v>8579886</v>
      </c>
      <c r="E53" s="291">
        <v>0</v>
      </c>
      <c r="F53" s="291"/>
      <c r="G53" s="291">
        <v>1091043</v>
      </c>
      <c r="H53" s="217">
        <f>(D53+E53)-F53-G53</f>
        <v>7488843</v>
      </c>
    </row>
    <row r="54" spans="1:8" ht="18" customHeight="1" x14ac:dyDescent="0.55000000000000004">
      <c r="A54" s="180" t="s">
        <v>259</v>
      </c>
      <c r="B54" s="193"/>
      <c r="D54" s="184"/>
      <c r="E54" s="216"/>
      <c r="F54" s="216"/>
      <c r="G54" s="184"/>
      <c r="H54" s="217">
        <f t="shared" ref="H54:H62" si="2">(D54+E54)-F54-G54</f>
        <v>0</v>
      </c>
    </row>
    <row r="55" spans="1:8" ht="18" customHeight="1" x14ac:dyDescent="0.55000000000000004">
      <c r="A55" s="180" t="s">
        <v>260</v>
      </c>
      <c r="B55" s="194"/>
      <c r="D55" s="184"/>
      <c r="E55" s="216"/>
      <c r="F55" s="216"/>
      <c r="G55" s="184"/>
      <c r="H55" s="217">
        <f t="shared" si="2"/>
        <v>0</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8579886</v>
      </c>
      <c r="E64" s="217">
        <f>SUM(E53:E62)</f>
        <v>0</v>
      </c>
      <c r="F64" s="217">
        <f>SUM(F53:F62)</f>
        <v>0</v>
      </c>
      <c r="G64" s="217">
        <f>SUM(G53:G62)</f>
        <v>1091043</v>
      </c>
      <c r="H64" s="217">
        <f>SUM(H53:H62)</f>
        <v>7488843</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91">
        <v>27060</v>
      </c>
      <c r="E68" s="291">
        <v>0</v>
      </c>
      <c r="F68" s="291"/>
      <c r="G68" s="291">
        <v>0</v>
      </c>
      <c r="H68" s="217">
        <f>(D68+E68)-F68-G68</f>
        <v>27060</v>
      </c>
      <c r="J68" s="254"/>
    </row>
    <row r="69" spans="1:10" ht="18" customHeight="1" x14ac:dyDescent="0.55000000000000004">
      <c r="A69" s="180" t="s">
        <v>273</v>
      </c>
      <c r="B69" s="176" t="s">
        <v>159</v>
      </c>
      <c r="D69" s="291">
        <v>598</v>
      </c>
      <c r="E69" s="291">
        <v>0</v>
      </c>
      <c r="F69" s="291"/>
      <c r="G69" s="291">
        <v>0</v>
      </c>
      <c r="H69" s="217">
        <f>(D69+E69)-F69-G69</f>
        <v>598</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27658</v>
      </c>
      <c r="E74" s="229">
        <f>SUM(E68:E72)</f>
        <v>0</v>
      </c>
      <c r="F74" s="229">
        <f>SUM(F68:F72)</f>
        <v>0</v>
      </c>
      <c r="G74" s="217">
        <f>SUM(G68:G72)</f>
        <v>0</v>
      </c>
      <c r="H74" s="217">
        <f>SUM(H68:H72)</f>
        <v>27658</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251">
        <v>396875</v>
      </c>
      <c r="E77" s="230"/>
      <c r="F77" s="220"/>
      <c r="G77" s="251">
        <v>0</v>
      </c>
      <c r="H77" s="217">
        <f>(D77-F77-G77)</f>
        <v>396875</v>
      </c>
    </row>
    <row r="78" spans="1:10" ht="18" customHeight="1" x14ac:dyDescent="0.55000000000000004">
      <c r="A78" s="180" t="s">
        <v>281</v>
      </c>
      <c r="B78" s="176" t="s">
        <v>166</v>
      </c>
      <c r="D78" s="251">
        <v>0</v>
      </c>
      <c r="E78" s="230"/>
      <c r="F78" s="220"/>
      <c r="G78" s="251">
        <v>0</v>
      </c>
      <c r="H78" s="217">
        <f>(D78-F78-G78)</f>
        <v>0</v>
      </c>
    </row>
    <row r="79" spans="1:10" ht="18" customHeight="1" x14ac:dyDescent="0.55000000000000004">
      <c r="A79" s="180" t="s">
        <v>282</v>
      </c>
      <c r="B79" s="176" t="s">
        <v>168</v>
      </c>
      <c r="D79" s="251">
        <v>385211</v>
      </c>
      <c r="E79" s="230"/>
      <c r="F79" s="220"/>
      <c r="G79" s="251">
        <v>4309</v>
      </c>
      <c r="H79" s="217">
        <f>(D79-F79-G79)</f>
        <v>380902</v>
      </c>
    </row>
    <row r="80" spans="1:10" ht="18" customHeight="1" x14ac:dyDescent="0.55000000000000004">
      <c r="A80" s="180" t="s">
        <v>283</v>
      </c>
      <c r="B80" s="176" t="s">
        <v>170</v>
      </c>
      <c r="D80" s="251">
        <v>0</v>
      </c>
      <c r="E80" s="230"/>
      <c r="F80" s="220"/>
      <c r="G80" s="251">
        <v>0</v>
      </c>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782086</v>
      </c>
      <c r="E82" s="231"/>
      <c r="F82" s="217">
        <f>SUM(F77:F80)</f>
        <v>0</v>
      </c>
      <c r="G82" s="217">
        <f>SUM(G77:G80)</f>
        <v>4309</v>
      </c>
      <c r="H82" s="217">
        <f>SUM(H77:H80)</f>
        <v>777777</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251">
        <v>42254</v>
      </c>
      <c r="E86" s="252">
        <v>22139</v>
      </c>
      <c r="F86" s="252"/>
      <c r="G86" s="251">
        <v>0</v>
      </c>
      <c r="H86" s="217">
        <f>(D86+E86)-F86-G86</f>
        <v>64393</v>
      </c>
    </row>
    <row r="87" spans="1:8" ht="18" customHeight="1" x14ac:dyDescent="0.55000000000000004">
      <c r="A87" s="180" t="s">
        <v>287</v>
      </c>
      <c r="B87" s="176" t="s">
        <v>177</v>
      </c>
      <c r="D87" s="251">
        <v>0</v>
      </c>
      <c r="E87" s="252">
        <v>0</v>
      </c>
      <c r="F87" s="252"/>
      <c r="G87" s="251">
        <v>0</v>
      </c>
      <c r="H87" s="217">
        <f t="shared" ref="H87:H96" si="3">(D87+E87)-F87-G87</f>
        <v>0</v>
      </c>
    </row>
    <row r="88" spans="1:8" ht="18" customHeight="1" x14ac:dyDescent="0.55000000000000004">
      <c r="A88" s="180" t="s">
        <v>288</v>
      </c>
      <c r="B88" s="176" t="s">
        <v>289</v>
      </c>
      <c r="D88" s="251">
        <v>33090</v>
      </c>
      <c r="E88" s="252">
        <v>19194</v>
      </c>
      <c r="F88" s="252"/>
      <c r="G88" s="251">
        <v>0</v>
      </c>
      <c r="H88" s="217">
        <f t="shared" si="3"/>
        <v>52284</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c r="E91" s="216"/>
      <c r="F91" s="216"/>
      <c r="G91" s="184"/>
      <c r="H91" s="217">
        <f t="shared" si="3"/>
        <v>0</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75344</v>
      </c>
      <c r="E98" s="217">
        <f>SUM(E86:E96)</f>
        <v>41333</v>
      </c>
      <c r="F98" s="217">
        <f>SUM(F86:F96)</f>
        <v>0</v>
      </c>
      <c r="G98" s="217">
        <f>SUM(G86:G96)</f>
        <v>0</v>
      </c>
      <c r="H98" s="217">
        <f>SUM(H86:H96)</f>
        <v>116677</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251">
        <v>206694</v>
      </c>
      <c r="E102" s="252">
        <v>129390</v>
      </c>
      <c r="F102" s="252"/>
      <c r="G102" s="251">
        <v>0</v>
      </c>
      <c r="H102" s="217">
        <f>(D102+E102)-F102-G102</f>
        <v>336084</v>
      </c>
    </row>
    <row r="103" spans="1:8" ht="18" customHeight="1" x14ac:dyDescent="0.55000000000000004">
      <c r="A103" s="180" t="s">
        <v>304</v>
      </c>
      <c r="B103" s="176" t="s">
        <v>199</v>
      </c>
      <c r="D103" s="251">
        <v>4686</v>
      </c>
      <c r="E103" s="252">
        <v>2933</v>
      </c>
      <c r="F103" s="252"/>
      <c r="G103" s="251">
        <v>0</v>
      </c>
      <c r="H103" s="217">
        <f>(D103+E103)-F103-G103</f>
        <v>7619</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211380</v>
      </c>
      <c r="E108" s="217">
        <f>SUM(E102:E106)</f>
        <v>132323</v>
      </c>
      <c r="F108" s="217">
        <f>SUM(F102:F106)</f>
        <v>0</v>
      </c>
      <c r="G108" s="217">
        <f>SUM(G102:G106)</f>
        <v>0</v>
      </c>
      <c r="H108" s="217">
        <f>SUM(H102:H106)</f>
        <v>343703</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251">
        <v>22241000</v>
      </c>
      <c r="G111" s="184"/>
      <c r="H111" s="217">
        <f>F111-G111</f>
        <v>22241000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352">
        <v>0.626</v>
      </c>
      <c r="F114" s="235" t="s">
        <v>429</v>
      </c>
      <c r="G114" s="352">
        <v>0.18</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637583000</v>
      </c>
      <c r="F117" s="237"/>
    </row>
    <row r="118" spans="1:7" ht="18" customHeight="1" x14ac:dyDescent="0.55000000000000004">
      <c r="A118" s="180" t="s">
        <v>319</v>
      </c>
      <c r="B118" s="176" t="s">
        <v>320</v>
      </c>
      <c r="E118" s="184">
        <v>79268000</v>
      </c>
      <c r="F118" s="237"/>
    </row>
    <row r="119" spans="1:7" ht="18" customHeight="1" x14ac:dyDescent="0.55000000000000004">
      <c r="A119" s="180" t="s">
        <v>321</v>
      </c>
      <c r="B119" s="179" t="s">
        <v>322</v>
      </c>
      <c r="E119" s="217">
        <f>SUM(E117:E118)</f>
        <v>716851000</v>
      </c>
      <c r="F119" s="238"/>
    </row>
    <row r="120" spans="1:7" ht="18" customHeight="1" x14ac:dyDescent="0.55000000000000004">
      <c r="A120" s="180"/>
      <c r="B120" s="179"/>
      <c r="F120" s="212"/>
    </row>
    <row r="121" spans="1:7" ht="18" customHeight="1" x14ac:dyDescent="0.55000000000000004">
      <c r="A121" s="180" t="s">
        <v>323</v>
      </c>
      <c r="B121" s="179" t="s">
        <v>324</v>
      </c>
      <c r="E121" s="251">
        <v>714247000</v>
      </c>
      <c r="F121" s="237"/>
    </row>
    <row r="122" spans="1:7" ht="18" customHeight="1" x14ac:dyDescent="0.55000000000000004">
      <c r="A122" s="180"/>
      <c r="E122" s="275"/>
      <c r="F122" s="212"/>
    </row>
    <row r="123" spans="1:7" ht="18" customHeight="1" x14ac:dyDescent="0.55000000000000004">
      <c r="A123" s="180" t="s">
        <v>325</v>
      </c>
      <c r="B123" s="179" t="s">
        <v>326</v>
      </c>
      <c r="E123" s="251">
        <v>2604000</v>
      </c>
      <c r="F123" s="237"/>
    </row>
    <row r="124" spans="1:7" ht="18" customHeight="1" x14ac:dyDescent="0.55000000000000004">
      <c r="A124" s="180"/>
      <c r="E124" s="275"/>
      <c r="F124" s="212"/>
    </row>
    <row r="125" spans="1:7" ht="18" customHeight="1" x14ac:dyDescent="0.55000000000000004">
      <c r="A125" s="180" t="s">
        <v>327</v>
      </c>
      <c r="B125" s="179" t="s">
        <v>328</v>
      </c>
      <c r="E125" s="251">
        <v>25378000</v>
      </c>
      <c r="F125" s="237"/>
    </row>
    <row r="126" spans="1:7" ht="18" customHeight="1" x14ac:dyDescent="0.55000000000000004">
      <c r="A126" s="180"/>
      <c r="E126" s="275"/>
      <c r="F126" s="212"/>
    </row>
    <row r="127" spans="1:7" ht="18" customHeight="1" x14ac:dyDescent="0.55000000000000004">
      <c r="A127" s="180" t="s">
        <v>329</v>
      </c>
      <c r="B127" s="179" t="s">
        <v>330</v>
      </c>
      <c r="E127" s="251">
        <v>27982000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7606174</v>
      </c>
      <c r="E141" s="239">
        <f>E36</f>
        <v>3409967</v>
      </c>
      <c r="F141" s="239">
        <f>F36</f>
        <v>634412</v>
      </c>
      <c r="G141" s="239">
        <f>G36</f>
        <v>35296</v>
      </c>
      <c r="H141" s="239">
        <f>H36</f>
        <v>10346433</v>
      </c>
    </row>
    <row r="142" spans="1:8" ht="18" customHeight="1" x14ac:dyDescent="0.55000000000000004">
      <c r="A142" s="180" t="s">
        <v>150</v>
      </c>
      <c r="B142" s="179" t="s">
        <v>220</v>
      </c>
      <c r="D142" s="239">
        <f>D49</f>
        <v>31104785</v>
      </c>
      <c r="E142" s="239">
        <f>E49</f>
        <v>19471592</v>
      </c>
      <c r="F142" s="239">
        <f>F49</f>
        <v>0</v>
      </c>
      <c r="G142" s="239">
        <f>G49</f>
        <v>5921</v>
      </c>
      <c r="H142" s="239">
        <f>H49</f>
        <v>50570456</v>
      </c>
    </row>
    <row r="143" spans="1:8" ht="18" customHeight="1" x14ac:dyDescent="0.55000000000000004">
      <c r="A143" s="180" t="s">
        <v>269</v>
      </c>
      <c r="B143" s="179" t="s">
        <v>222</v>
      </c>
      <c r="D143" s="239">
        <f>D64</f>
        <v>8579886</v>
      </c>
      <c r="E143" s="239">
        <f>E64</f>
        <v>0</v>
      </c>
      <c r="F143" s="239">
        <f>F64</f>
        <v>0</v>
      </c>
      <c r="G143" s="239">
        <f>G64</f>
        <v>1091043</v>
      </c>
      <c r="H143" s="239">
        <f>H64</f>
        <v>7488843</v>
      </c>
    </row>
    <row r="144" spans="1:8" ht="18" customHeight="1" x14ac:dyDescent="0.55000000000000004">
      <c r="A144" s="180" t="s">
        <v>161</v>
      </c>
      <c r="B144" s="179" t="s">
        <v>70</v>
      </c>
      <c r="D144" s="239">
        <f>D74</f>
        <v>27658</v>
      </c>
      <c r="E144" s="239">
        <f>E74</f>
        <v>0</v>
      </c>
      <c r="F144" s="239">
        <f>F74</f>
        <v>0</v>
      </c>
      <c r="G144" s="239">
        <f>G74</f>
        <v>0</v>
      </c>
      <c r="H144" s="239">
        <f>H74</f>
        <v>27658</v>
      </c>
    </row>
    <row r="145" spans="1:8" ht="18" customHeight="1" x14ac:dyDescent="0.55000000000000004">
      <c r="A145" s="180" t="s">
        <v>171</v>
      </c>
      <c r="B145" s="179" t="s">
        <v>69</v>
      </c>
      <c r="D145" s="239">
        <f>D82</f>
        <v>782086</v>
      </c>
      <c r="E145" s="239">
        <f>E82</f>
        <v>0</v>
      </c>
      <c r="F145" s="239">
        <f>F82</f>
        <v>0</v>
      </c>
      <c r="G145" s="239">
        <f>G82</f>
        <v>4309</v>
      </c>
      <c r="H145" s="239">
        <f>H82</f>
        <v>777777</v>
      </c>
    </row>
    <row r="146" spans="1:8" ht="18" customHeight="1" x14ac:dyDescent="0.55000000000000004">
      <c r="A146" s="180" t="s">
        <v>193</v>
      </c>
      <c r="B146" s="179" t="s">
        <v>226</v>
      </c>
      <c r="D146" s="239">
        <f>D98</f>
        <v>75344</v>
      </c>
      <c r="E146" s="239">
        <f>E98</f>
        <v>41333</v>
      </c>
      <c r="F146" s="239">
        <f>F98</f>
        <v>0</v>
      </c>
      <c r="G146" s="239">
        <f>G98</f>
        <v>0</v>
      </c>
      <c r="H146" s="239">
        <f>H98</f>
        <v>116677</v>
      </c>
    </row>
    <row r="147" spans="1:8" ht="18" customHeight="1" x14ac:dyDescent="0.55000000000000004">
      <c r="A147" s="180" t="s">
        <v>204</v>
      </c>
      <c r="B147" s="179" t="s">
        <v>71</v>
      </c>
      <c r="D147" s="217">
        <f>D108</f>
        <v>211380</v>
      </c>
      <c r="E147" s="217">
        <f>E108</f>
        <v>132323</v>
      </c>
      <c r="F147" s="217">
        <f>F108</f>
        <v>0</v>
      </c>
      <c r="G147" s="217">
        <f>G108</f>
        <v>0</v>
      </c>
      <c r="H147" s="217">
        <f>H108</f>
        <v>343703</v>
      </c>
    </row>
    <row r="148" spans="1:8" ht="18" customHeight="1" x14ac:dyDescent="0.55000000000000004">
      <c r="A148" s="180" t="s">
        <v>310</v>
      </c>
      <c r="B148" s="179" t="s">
        <v>58</v>
      </c>
      <c r="D148" s="240" t="s">
        <v>245</v>
      </c>
      <c r="E148" s="240" t="s">
        <v>245</v>
      </c>
      <c r="F148" s="240"/>
      <c r="G148" s="240" t="s">
        <v>245</v>
      </c>
      <c r="H148" s="239">
        <f>H111</f>
        <v>22241000</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12858796.841753703</v>
      </c>
      <c r="E150" s="217">
        <f>E18</f>
        <v>0</v>
      </c>
      <c r="F150" s="217">
        <f>F18</f>
        <v>0</v>
      </c>
      <c r="G150" s="217">
        <f>G18</f>
        <v>10656987.03711655</v>
      </c>
      <c r="H150" s="217">
        <f>H18</f>
        <v>2201809.8046371527</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61246109.841753706</v>
      </c>
      <c r="E152" s="241">
        <f>SUM(E141:E150)</f>
        <v>23055215</v>
      </c>
      <c r="F152" s="241">
        <f>SUM(F141:F150)</f>
        <v>634412</v>
      </c>
      <c r="G152" s="241">
        <f>SUM(G141:G150)</f>
        <v>11793556.03711655</v>
      </c>
      <c r="H152" s="241">
        <f>SUM(H141:H150)</f>
        <v>94114356.804637149</v>
      </c>
    </row>
    <row r="154" spans="1:8" ht="18" customHeight="1" x14ac:dyDescent="0.55000000000000004">
      <c r="A154" s="183" t="s">
        <v>339</v>
      </c>
      <c r="B154" s="179" t="s">
        <v>340</v>
      </c>
      <c r="D154" s="242">
        <f>H152/E121</f>
        <v>0.13176724131097106</v>
      </c>
    </row>
    <row r="155" spans="1:8" ht="18" customHeight="1" x14ac:dyDescent="0.55000000000000004">
      <c r="A155" s="183" t="s">
        <v>341</v>
      </c>
      <c r="B155" s="179" t="s">
        <v>342</v>
      </c>
      <c r="D155" s="242">
        <f>H152/E127</f>
        <v>3.3633892075132996</v>
      </c>
    </row>
  </sheetData>
  <mergeCells count="8">
    <mergeCell ref="C11:E11"/>
    <mergeCell ref="B13:D13"/>
    <mergeCell ref="C2:D2"/>
    <mergeCell ref="C5:E5"/>
    <mergeCell ref="C6:E6"/>
    <mergeCell ref="C7:E7"/>
    <mergeCell ref="C9:E9"/>
    <mergeCell ref="C10:E10"/>
  </mergeCells>
  <pageMargins left="0.7" right="0.7" top="0.75" bottom="0.75" header="0.3" footer="0.3"/>
  <pageSetup orientation="portrait" horizontalDpi="1200" verticalDpi="12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85727-478D-4644-8CA4-BE60001A503E}">
  <sheetPr codeName="Sheet33"/>
  <dimension ref="A1:J155"/>
  <sheetViews>
    <sheetView zoomScaleNormal="100" workbookViewId="0"/>
  </sheetViews>
  <sheetFormatPr defaultColWidth="9" defaultRowHeight="14.4" x14ac:dyDescent="0.55000000000000004"/>
  <cols>
    <col min="1" max="1" width="8.41796875" style="175" customWidth="1"/>
    <col min="2" max="2" width="55.41796875" style="176" bestFit="1" customWidth="1"/>
    <col min="3" max="3" width="12.41796875" style="176" customWidth="1"/>
    <col min="4" max="4" width="17.15625" style="176" customWidth="1"/>
    <col min="5" max="6" width="21.15625" style="176" customWidth="1"/>
    <col min="7" max="7" width="19.578125" style="176" customWidth="1"/>
    <col min="8" max="8" width="17.578125" style="176" customWidth="1"/>
    <col min="9" max="9" width="11.83984375" customWidth="1"/>
    <col min="10" max="16384" width="9" style="176"/>
  </cols>
  <sheetData>
    <row r="1" spans="1:8" ht="18" customHeight="1" x14ac:dyDescent="0.55000000000000004">
      <c r="A1" s="224"/>
      <c r="B1" s="225"/>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01" t="s">
        <v>550</v>
      </c>
      <c r="D5" s="501"/>
      <c r="E5" s="501"/>
      <c r="F5" s="208"/>
    </row>
    <row r="6" spans="1:8" ht="18" customHeight="1" x14ac:dyDescent="0.55000000000000004">
      <c r="B6" s="180" t="s">
        <v>237</v>
      </c>
      <c r="C6" s="243">
        <v>210037</v>
      </c>
      <c r="D6" s="244"/>
      <c r="E6" s="244"/>
      <c r="F6" s="209"/>
    </row>
    <row r="7" spans="1:8" ht="18" customHeight="1" x14ac:dyDescent="0.55000000000000004">
      <c r="B7" s="180" t="s">
        <v>238</v>
      </c>
      <c r="C7" s="245">
        <v>230</v>
      </c>
      <c r="D7" s="246"/>
      <c r="E7" s="246"/>
      <c r="F7" s="210"/>
    </row>
    <row r="8" spans="1:8" ht="18" customHeight="1" x14ac:dyDescent="0.55000000000000004">
      <c r="C8" s="211"/>
      <c r="D8" s="211"/>
      <c r="E8" s="211"/>
      <c r="F8" s="212"/>
    </row>
    <row r="9" spans="1:8" ht="18" customHeight="1" x14ac:dyDescent="0.55000000000000004">
      <c r="B9" s="180" t="s">
        <v>239</v>
      </c>
      <c r="C9" s="501" t="s">
        <v>376</v>
      </c>
      <c r="D9" s="501"/>
      <c r="E9" s="501"/>
      <c r="F9" s="208"/>
    </row>
    <row r="10" spans="1:8" ht="18" customHeight="1" x14ac:dyDescent="0.55000000000000004">
      <c r="B10" s="180" t="s">
        <v>241</v>
      </c>
      <c r="C10" s="513" t="s">
        <v>377</v>
      </c>
      <c r="D10" s="513"/>
      <c r="E10" s="513"/>
      <c r="F10" s="213"/>
    </row>
    <row r="11" spans="1:8" ht="18" customHeight="1" x14ac:dyDescent="0.55000000000000004">
      <c r="B11" s="180" t="s">
        <v>243</v>
      </c>
      <c r="C11" s="501" t="s">
        <v>378</v>
      </c>
      <c r="D11" s="501"/>
      <c r="E11" s="50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941806.5503162489</v>
      </c>
      <c r="E18" s="214"/>
      <c r="F18" s="214"/>
      <c r="G18" s="214">
        <v>780541.15962087829</v>
      </c>
      <c r="H18" s="249">
        <f>(D18+E18)-G18</f>
        <v>161265.39069537062</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42587.85</v>
      </c>
      <c r="E21" s="216">
        <v>6571.39</v>
      </c>
      <c r="F21" s="216"/>
      <c r="G21" s="184"/>
      <c r="H21" s="217">
        <f>(D21+E21)-F21-G21</f>
        <v>49159.24</v>
      </c>
    </row>
    <row r="22" spans="1:8" ht="18" customHeight="1" x14ac:dyDescent="0.55000000000000004">
      <c r="A22" s="180" t="s">
        <v>112</v>
      </c>
      <c r="B22" s="176" t="s">
        <v>113</v>
      </c>
      <c r="D22" s="184"/>
      <c r="E22" s="216"/>
      <c r="F22" s="216"/>
      <c r="G22" s="184"/>
      <c r="H22" s="217">
        <f t="shared" ref="H22:H34" si="0">(D22+E22)-F22-G22</f>
        <v>0</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c r="E24" s="216"/>
      <c r="F24" s="216"/>
      <c r="G24" s="184"/>
      <c r="H24" s="217">
        <f t="shared" si="0"/>
        <v>0</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c r="E29" s="216"/>
      <c r="F29" s="216"/>
      <c r="G29" s="184"/>
      <c r="H29" s="217">
        <f t="shared" si="0"/>
        <v>0</v>
      </c>
    </row>
    <row r="30" spans="1:8" ht="18" customHeight="1" x14ac:dyDescent="0.55000000000000004">
      <c r="A30" s="180" t="s">
        <v>128</v>
      </c>
      <c r="B30" s="185"/>
      <c r="D30" s="184"/>
      <c r="E30" s="216"/>
      <c r="F30" s="216"/>
      <c r="G30" s="184"/>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42587.85</v>
      </c>
      <c r="E36" s="217">
        <f>SUM(E21:E34)</f>
        <v>6571.39</v>
      </c>
      <c r="F36" s="217">
        <f>SUM(F21:F34)</f>
        <v>0</v>
      </c>
      <c r="G36" s="217">
        <f>SUM(G21:G34)</f>
        <v>0</v>
      </c>
      <c r="H36" s="217">
        <f>SUM(H21:H34)</f>
        <v>49159.24</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c r="E41" s="216"/>
      <c r="F41" s="216"/>
      <c r="G41" s="184"/>
      <c r="H41" s="217">
        <f t="shared" ref="H41:H47" si="1">(D41+E41)-F41-G41</f>
        <v>0</v>
      </c>
    </row>
    <row r="42" spans="1:8" ht="18" customHeight="1" x14ac:dyDescent="0.55000000000000004">
      <c r="A42" s="180" t="s">
        <v>252</v>
      </c>
      <c r="B42" s="176" t="s">
        <v>143</v>
      </c>
      <c r="D42" s="184"/>
      <c r="E42" s="216"/>
      <c r="F42" s="216"/>
      <c r="G42" s="184"/>
      <c r="H42" s="217">
        <f t="shared" si="1"/>
        <v>0</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0</v>
      </c>
      <c r="E49" s="217">
        <f>SUM(E40:E47)</f>
        <v>0</v>
      </c>
      <c r="F49" s="217">
        <f>SUM(F40:F47)</f>
        <v>0</v>
      </c>
      <c r="G49" s="217">
        <f>SUM(G40:G47)</f>
        <v>0</v>
      </c>
      <c r="H49" s="217">
        <f>SUM(H40:H47)</f>
        <v>0</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314">
        <v>8639440.2633333355</v>
      </c>
      <c r="E53" s="274">
        <v>754353.50333333004</v>
      </c>
      <c r="F53" s="222"/>
      <c r="G53" s="222"/>
      <c r="H53" s="217">
        <f>(D53+E53)-F53-G53</f>
        <v>9393793.7666666657</v>
      </c>
    </row>
    <row r="54" spans="1:8" ht="18" customHeight="1" x14ac:dyDescent="0.55000000000000004">
      <c r="A54" s="180" t="s">
        <v>259</v>
      </c>
      <c r="B54" s="193"/>
      <c r="D54" s="184"/>
      <c r="E54" s="216"/>
      <c r="F54" s="216"/>
      <c r="G54" s="184"/>
      <c r="H54" s="217">
        <f t="shared" ref="H54:H62" si="2">(D54+E54)-F54-G54</f>
        <v>0</v>
      </c>
    </row>
    <row r="55" spans="1:8" ht="18" customHeight="1" x14ac:dyDescent="0.55000000000000004">
      <c r="A55" s="180" t="s">
        <v>260</v>
      </c>
      <c r="B55" s="194" t="s">
        <v>551</v>
      </c>
      <c r="D55" s="184">
        <v>57878</v>
      </c>
      <c r="E55" s="216">
        <v>72860.710000000006</v>
      </c>
      <c r="F55" s="216"/>
      <c r="G55" s="184"/>
      <c r="H55" s="217">
        <f t="shared" si="2"/>
        <v>130738.71</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4"/>
      <c r="E60" s="225"/>
      <c r="F60" s="222"/>
      <c r="G60" s="222"/>
      <c r="H60" s="217">
        <f t="shared" si="2"/>
        <v>0</v>
      </c>
    </row>
    <row r="61" spans="1:8" ht="18" customHeight="1" x14ac:dyDescent="0.55000000000000004">
      <c r="A61" s="180" t="s">
        <v>267</v>
      </c>
      <c r="B61" s="226"/>
      <c r="C61" s="212"/>
      <c r="D61" s="224"/>
      <c r="E61" s="225"/>
      <c r="F61" s="222"/>
      <c r="G61" s="222"/>
      <c r="H61" s="217">
        <f t="shared" si="2"/>
        <v>0</v>
      </c>
    </row>
    <row r="62" spans="1:8" x14ac:dyDescent="0.55000000000000004">
      <c r="A62" s="180" t="s">
        <v>268</v>
      </c>
      <c r="B62" s="270"/>
      <c r="C62" s="212"/>
      <c r="D62" s="224"/>
      <c r="E62" s="225"/>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8697318.2633333355</v>
      </c>
      <c r="E64" s="217">
        <f>SUM(E53:E62)</f>
        <v>827214.21333333</v>
      </c>
      <c r="F64" s="217">
        <f>SUM(F53:F62)</f>
        <v>0</v>
      </c>
      <c r="G64" s="217">
        <f>SUM(G53:G62)</f>
        <v>0</v>
      </c>
      <c r="H64" s="217">
        <f>SUM(H53:H62)</f>
        <v>9524532.4766666666</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c r="E79" s="230"/>
      <c r="F79" s="220"/>
      <c r="G79" s="184"/>
      <c r="H79" s="217">
        <f>(D79-F79-G79)</f>
        <v>0</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0</v>
      </c>
      <c r="E82" s="231"/>
      <c r="F82" s="217">
        <f>SUM(F77:F80)</f>
        <v>0</v>
      </c>
      <c r="G82" s="217">
        <f>SUM(G77:G80)</f>
        <v>0</v>
      </c>
      <c r="H82" s="217">
        <f>SUM(H77:H80)</f>
        <v>0</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v>2261.29</v>
      </c>
      <c r="E87" s="216">
        <v>348.92</v>
      </c>
      <c r="F87" s="216"/>
      <c r="G87" s="184"/>
      <c r="H87" s="217">
        <f t="shared" ref="H87:H96" si="3">(D87+E87)-F87-G87</f>
        <v>2610.21</v>
      </c>
    </row>
    <row r="88" spans="1:8" ht="18" customHeight="1" x14ac:dyDescent="0.55000000000000004">
      <c r="A88" s="180" t="s">
        <v>288</v>
      </c>
      <c r="B88" s="176" t="s">
        <v>289</v>
      </c>
      <c r="D88" s="184">
        <v>820.96</v>
      </c>
      <c r="E88" s="216">
        <v>126.68</v>
      </c>
      <c r="F88" s="216"/>
      <c r="G88" s="184"/>
      <c r="H88" s="217">
        <f t="shared" si="3"/>
        <v>947.6400000000001</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v>4638.42</v>
      </c>
      <c r="E91" s="216">
        <v>715.72</v>
      </c>
      <c r="F91" s="216"/>
      <c r="G91" s="184"/>
      <c r="H91" s="217">
        <f t="shared" si="3"/>
        <v>5354.14</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7720.67</v>
      </c>
      <c r="E98" s="217">
        <f>SUM(E86:E96)</f>
        <v>1191.3200000000002</v>
      </c>
      <c r="F98" s="217">
        <f>SUM(F86:F96)</f>
        <v>0</v>
      </c>
      <c r="G98" s="217">
        <f>SUM(G86:G96)</f>
        <v>0</v>
      </c>
      <c r="H98" s="217">
        <f>SUM(H86:H96)</f>
        <v>8911.9900000000016</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18882.060000000001</v>
      </c>
      <c r="E102" s="216">
        <v>23770</v>
      </c>
      <c r="F102" s="216"/>
      <c r="G102" s="184"/>
      <c r="H102" s="217">
        <f>(D102+E102)-F102-G102</f>
        <v>42652.06</v>
      </c>
    </row>
    <row r="103" spans="1:8" ht="18" customHeight="1" x14ac:dyDescent="0.55000000000000004">
      <c r="A103" s="180" t="s">
        <v>304</v>
      </c>
    </row>
    <row r="104" spans="1:8" ht="18" customHeight="1" x14ac:dyDescent="0.55000000000000004">
      <c r="A104" s="180" t="s">
        <v>305</v>
      </c>
      <c r="B104" s="176" t="s">
        <v>552</v>
      </c>
      <c r="D104" s="184">
        <v>41047.949999999997</v>
      </c>
      <c r="E104" s="216">
        <v>51673.919999999998</v>
      </c>
      <c r="F104" s="216"/>
      <c r="G104" s="184"/>
      <c r="H104" s="217">
        <f>(D104+E104)-F104-G104</f>
        <v>92721.87</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59930.009999999995</v>
      </c>
      <c r="E108" s="217">
        <f>SUM(E102:E106)</f>
        <v>75443.92</v>
      </c>
      <c r="F108" s="217">
        <f>SUM(F102:F106)</f>
        <v>0</v>
      </c>
      <c r="G108" s="217">
        <f>SUM(G102:G106)</f>
        <v>0</v>
      </c>
      <c r="H108" s="217">
        <f>SUM(H102:H106)</f>
        <v>135373.93</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629000</v>
      </c>
      <c r="G111" s="184"/>
      <c r="H111" s="217">
        <f>F111-G111</f>
        <v>629000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1.26</v>
      </c>
      <c r="F114" s="235" t="s">
        <v>429</v>
      </c>
      <c r="G114" s="236">
        <v>0.15</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36972000</v>
      </c>
      <c r="F117" s="237"/>
    </row>
    <row r="118" spans="1:7" ht="18" customHeight="1" x14ac:dyDescent="0.55000000000000004">
      <c r="A118" s="180" t="s">
        <v>319</v>
      </c>
      <c r="B118" s="176" t="s">
        <v>320</v>
      </c>
      <c r="E118" s="184">
        <v>1581000</v>
      </c>
      <c r="F118" s="237"/>
    </row>
    <row r="119" spans="1:7" ht="18" customHeight="1" x14ac:dyDescent="0.55000000000000004">
      <c r="A119" s="180" t="s">
        <v>321</v>
      </c>
      <c r="B119" s="179" t="s">
        <v>322</v>
      </c>
      <c r="E119" s="217">
        <f>SUM(E117:E118)</f>
        <v>38553000</v>
      </c>
      <c r="F119" s="238"/>
    </row>
    <row r="120" spans="1:7" ht="18" customHeight="1" x14ac:dyDescent="0.55000000000000004">
      <c r="A120" s="180"/>
      <c r="B120" s="179"/>
      <c r="F120" s="212"/>
    </row>
    <row r="121" spans="1:7" ht="18" customHeight="1" x14ac:dyDescent="0.55000000000000004">
      <c r="A121" s="180" t="s">
        <v>323</v>
      </c>
      <c r="B121" s="179" t="s">
        <v>324</v>
      </c>
      <c r="E121" s="184">
        <v>46947000</v>
      </c>
      <c r="F121" s="237"/>
    </row>
    <row r="122" spans="1:7" ht="18" customHeight="1" x14ac:dyDescent="0.55000000000000004">
      <c r="A122" s="180"/>
      <c r="F122" s="212"/>
    </row>
    <row r="123" spans="1:7" ht="18" customHeight="1" x14ac:dyDescent="0.55000000000000004">
      <c r="A123" s="180" t="s">
        <v>325</v>
      </c>
      <c r="B123" s="179" t="s">
        <v>326</v>
      </c>
      <c r="E123" s="184">
        <f>+E119-E121</f>
        <v>-8394000</v>
      </c>
      <c r="F123" s="237"/>
    </row>
    <row r="124" spans="1:7" ht="18" customHeight="1" x14ac:dyDescent="0.55000000000000004">
      <c r="A124" s="180"/>
      <c r="F124" s="212"/>
    </row>
    <row r="125" spans="1:7" ht="18" customHeight="1" x14ac:dyDescent="0.55000000000000004">
      <c r="A125" s="180" t="s">
        <v>327</v>
      </c>
      <c r="B125" s="179" t="s">
        <v>328</v>
      </c>
      <c r="E125" s="184">
        <v>634000</v>
      </c>
      <c r="F125" s="237"/>
    </row>
    <row r="126" spans="1:7" ht="18" customHeight="1" x14ac:dyDescent="0.55000000000000004">
      <c r="A126" s="180"/>
      <c r="F126" s="212"/>
    </row>
    <row r="127" spans="1:7" ht="18" customHeight="1" x14ac:dyDescent="0.55000000000000004">
      <c r="A127" s="180" t="s">
        <v>329</v>
      </c>
      <c r="B127" s="179" t="s">
        <v>330</v>
      </c>
      <c r="E127" s="184">
        <f>+E123+E125</f>
        <v>-7760000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42587.85</v>
      </c>
      <c r="E141" s="239">
        <f>E36</f>
        <v>6571.39</v>
      </c>
      <c r="F141" s="239">
        <f>F36</f>
        <v>0</v>
      </c>
      <c r="G141" s="239">
        <f>G36</f>
        <v>0</v>
      </c>
      <c r="H141" s="239">
        <f>H36</f>
        <v>49159.24</v>
      </c>
    </row>
    <row r="142" spans="1:8" ht="18" customHeight="1" x14ac:dyDescent="0.55000000000000004">
      <c r="A142" s="180" t="s">
        <v>150</v>
      </c>
      <c r="B142" s="179" t="s">
        <v>220</v>
      </c>
      <c r="D142" s="239">
        <f>D49</f>
        <v>0</v>
      </c>
      <c r="E142" s="239">
        <f>E49</f>
        <v>0</v>
      </c>
      <c r="F142" s="239">
        <f>F49</f>
        <v>0</v>
      </c>
      <c r="G142" s="239">
        <f>G49</f>
        <v>0</v>
      </c>
      <c r="H142" s="239">
        <f>H49</f>
        <v>0</v>
      </c>
    </row>
    <row r="143" spans="1:8" ht="18" customHeight="1" x14ac:dyDescent="0.55000000000000004">
      <c r="A143" s="180" t="s">
        <v>269</v>
      </c>
      <c r="B143" s="179" t="s">
        <v>222</v>
      </c>
      <c r="D143" s="239">
        <f>D64</f>
        <v>8697318.2633333355</v>
      </c>
      <c r="E143" s="239">
        <f>E64</f>
        <v>827214.21333333</v>
      </c>
      <c r="F143" s="239">
        <f>F64</f>
        <v>0</v>
      </c>
      <c r="G143" s="239">
        <f>G64</f>
        <v>0</v>
      </c>
      <c r="H143" s="239">
        <f>H64</f>
        <v>9524532.4766666666</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0</v>
      </c>
      <c r="E145" s="239">
        <f>E82</f>
        <v>0</v>
      </c>
      <c r="F145" s="239">
        <f>F82</f>
        <v>0</v>
      </c>
      <c r="G145" s="239">
        <f>G82</f>
        <v>0</v>
      </c>
      <c r="H145" s="239">
        <f>H82</f>
        <v>0</v>
      </c>
    </row>
    <row r="146" spans="1:8" ht="18" customHeight="1" x14ac:dyDescent="0.55000000000000004">
      <c r="A146" s="180" t="s">
        <v>193</v>
      </c>
      <c r="B146" s="179" t="s">
        <v>226</v>
      </c>
      <c r="D146" s="239">
        <f>D98</f>
        <v>7720.67</v>
      </c>
      <c r="E146" s="239">
        <f>E98</f>
        <v>1191.3200000000002</v>
      </c>
      <c r="F146" s="239">
        <f>F98</f>
        <v>0</v>
      </c>
      <c r="G146" s="239">
        <f>G98</f>
        <v>0</v>
      </c>
      <c r="H146" s="239">
        <f>H98</f>
        <v>8911.9900000000016</v>
      </c>
    </row>
    <row r="147" spans="1:8" ht="18" customHeight="1" x14ac:dyDescent="0.55000000000000004">
      <c r="A147" s="180" t="s">
        <v>204</v>
      </c>
      <c r="B147" s="179" t="s">
        <v>71</v>
      </c>
      <c r="D147" s="217">
        <f>D108</f>
        <v>59930.009999999995</v>
      </c>
      <c r="E147" s="217">
        <f>E108</f>
        <v>75443.92</v>
      </c>
      <c r="F147" s="217">
        <f>F108</f>
        <v>0</v>
      </c>
      <c r="G147" s="217">
        <f>G108</f>
        <v>0</v>
      </c>
      <c r="H147" s="217">
        <f>H108</f>
        <v>135373.93</v>
      </c>
    </row>
    <row r="148" spans="1:8" ht="18" customHeight="1" x14ac:dyDescent="0.55000000000000004">
      <c r="A148" s="180" t="s">
        <v>310</v>
      </c>
      <c r="B148" s="179" t="s">
        <v>58</v>
      </c>
      <c r="D148" s="240" t="s">
        <v>245</v>
      </c>
      <c r="E148" s="240" t="s">
        <v>245</v>
      </c>
      <c r="F148" s="240"/>
      <c r="G148" s="240" t="s">
        <v>245</v>
      </c>
      <c r="H148" s="239">
        <f>H111</f>
        <v>629000</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941806.5503162489</v>
      </c>
      <c r="E150" s="217">
        <f>E18</f>
        <v>0</v>
      </c>
      <c r="F150" s="217">
        <f>F18</f>
        <v>0</v>
      </c>
      <c r="G150" s="217">
        <f>G18</f>
        <v>780541.15962087829</v>
      </c>
      <c r="H150" s="217">
        <f>H18</f>
        <v>161265.39069537062</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9749363.3436495829</v>
      </c>
      <c r="E152" s="241">
        <f>SUM(E141:E150)</f>
        <v>910420.84333333001</v>
      </c>
      <c r="F152" s="241">
        <f>SUM(F141:F150)</f>
        <v>0</v>
      </c>
      <c r="G152" s="241">
        <f>SUM(G141:G150)</f>
        <v>780541.15962087829</v>
      </c>
      <c r="H152" s="241">
        <f>SUM(H141:H150)</f>
        <v>10508243.027362037</v>
      </c>
    </row>
    <row r="154" spans="1:8" ht="18" customHeight="1" x14ac:dyDescent="0.55000000000000004">
      <c r="A154" s="183" t="s">
        <v>339</v>
      </c>
      <c r="B154" s="179" t="s">
        <v>340</v>
      </c>
      <c r="D154" s="242">
        <f>H152/E121</f>
        <v>0.2238320452289185</v>
      </c>
    </row>
    <row r="155" spans="1:8" ht="18" customHeight="1" x14ac:dyDescent="0.55000000000000004">
      <c r="A155" s="183" t="s">
        <v>341</v>
      </c>
      <c r="B155" s="179" t="s">
        <v>342</v>
      </c>
      <c r="D155" s="242">
        <f>H152/E127</f>
        <v>-1.3541550292992317</v>
      </c>
    </row>
  </sheetData>
  <mergeCells count="6">
    <mergeCell ref="B13:D13"/>
    <mergeCell ref="C2:D2"/>
    <mergeCell ref="C5:E5"/>
    <mergeCell ref="C9:E9"/>
    <mergeCell ref="C10:E10"/>
    <mergeCell ref="C11:E11"/>
  </mergeCells>
  <pageMargins left="0.7" right="0.7" top="0.75" bottom="0.75" header="0.3" footer="0.3"/>
  <pageSetup orientation="portrait" horizontalDpi="1200" verticalDpi="12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57E54-816C-4D0F-85E4-F7A7CF905216}">
  <sheetPr codeName="Sheet34"/>
  <dimension ref="A1:J155"/>
  <sheetViews>
    <sheetView zoomScaleNormal="100" workbookViewId="0"/>
  </sheetViews>
  <sheetFormatPr defaultColWidth="9" defaultRowHeight="14.4" x14ac:dyDescent="0.55000000000000004"/>
  <cols>
    <col min="1" max="1" width="8.15625" style="175" customWidth="1"/>
    <col min="2" max="2" width="55.41796875" style="176" bestFit="1" customWidth="1"/>
    <col min="3" max="3" width="27.683593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257" t="s">
        <v>553</v>
      </c>
      <c r="D5" s="247"/>
      <c r="E5" s="247"/>
      <c r="F5" s="208"/>
    </row>
    <row r="6" spans="1:8" ht="18" customHeight="1" x14ac:dyDescent="0.55000000000000004">
      <c r="B6" s="180" t="s">
        <v>237</v>
      </c>
      <c r="C6" s="244">
        <v>32</v>
      </c>
      <c r="D6" s="244"/>
      <c r="E6" s="244"/>
      <c r="F6" s="209"/>
    </row>
    <row r="7" spans="1:8" ht="18" customHeight="1" x14ac:dyDescent="0.55000000000000004">
      <c r="B7" s="180" t="s">
        <v>238</v>
      </c>
      <c r="C7" s="246">
        <v>1077</v>
      </c>
      <c r="D7" s="246"/>
      <c r="E7" s="246"/>
      <c r="F7" s="210"/>
    </row>
    <row r="8" spans="1:8" ht="18" customHeight="1" x14ac:dyDescent="0.55000000000000004">
      <c r="C8" s="211"/>
      <c r="D8" s="211"/>
      <c r="E8" s="211"/>
      <c r="F8" s="212"/>
    </row>
    <row r="9" spans="1:8" ht="18" customHeight="1" x14ac:dyDescent="0.55000000000000004">
      <c r="B9" s="180" t="s">
        <v>239</v>
      </c>
      <c r="C9" s="247" t="s">
        <v>554</v>
      </c>
      <c r="D9" s="247"/>
      <c r="E9" s="247"/>
      <c r="F9" s="208"/>
    </row>
    <row r="10" spans="1:8" ht="18" customHeight="1" x14ac:dyDescent="0.55000000000000004">
      <c r="B10" s="180" t="s">
        <v>241</v>
      </c>
      <c r="C10" s="248" t="s">
        <v>555</v>
      </c>
      <c r="D10" s="248"/>
      <c r="E10" s="248"/>
      <c r="F10" s="213"/>
    </row>
    <row r="11" spans="1:8" ht="18" customHeight="1" x14ac:dyDescent="0.55000000000000004">
      <c r="B11" s="180" t="s">
        <v>243</v>
      </c>
      <c r="C11" s="258" t="s">
        <v>556</v>
      </c>
      <c r="D11" s="247"/>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3078468.2874989659</v>
      </c>
      <c r="E18" s="214"/>
      <c r="F18" s="214"/>
      <c r="G18" s="214">
        <v>2551342.6363128209</v>
      </c>
      <c r="H18" s="249">
        <f>(D18+E18)-G18</f>
        <v>527125.65118614491</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4075</v>
      </c>
      <c r="E21" s="216">
        <v>700</v>
      </c>
      <c r="F21" s="216"/>
      <c r="G21" s="184"/>
      <c r="H21" s="217">
        <f>(D21+E21)-F21-G21</f>
        <v>4775</v>
      </c>
    </row>
    <row r="22" spans="1:8" ht="18" customHeight="1" x14ac:dyDescent="0.55000000000000004">
      <c r="A22" s="180" t="s">
        <v>112</v>
      </c>
      <c r="B22" s="176" t="s">
        <v>113</v>
      </c>
      <c r="D22" s="184"/>
      <c r="E22" s="216"/>
      <c r="F22" s="216"/>
      <c r="G22" s="184"/>
      <c r="H22" s="217">
        <f t="shared" ref="H22:H34" si="0">(D22+E22)-F22-G22</f>
        <v>0</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v>1103644</v>
      </c>
      <c r="E24" s="216">
        <v>407736</v>
      </c>
      <c r="F24" s="216"/>
      <c r="G24" s="184"/>
      <c r="H24" s="217">
        <f t="shared" si="0"/>
        <v>1511380</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v>781</v>
      </c>
      <c r="E29" s="216">
        <v>128</v>
      </c>
      <c r="F29" s="216"/>
      <c r="G29" s="184"/>
      <c r="H29" s="217">
        <f t="shared" si="0"/>
        <v>909</v>
      </c>
    </row>
    <row r="30" spans="1:8" ht="18" customHeight="1" x14ac:dyDescent="0.55000000000000004">
      <c r="A30" s="180" t="s">
        <v>128</v>
      </c>
      <c r="B30" s="185" t="s">
        <v>557</v>
      </c>
      <c r="D30" s="184">
        <v>7615</v>
      </c>
      <c r="E30" s="216"/>
      <c r="F30" s="216"/>
      <c r="G30" s="184"/>
      <c r="H30" s="217">
        <f t="shared" si="0"/>
        <v>7615</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1116115</v>
      </c>
      <c r="E36" s="217">
        <f>SUM(E21:E34)</f>
        <v>408564</v>
      </c>
      <c r="F36" s="217">
        <f>SUM(F21:F34)</f>
        <v>0</v>
      </c>
      <c r="G36" s="217">
        <f>SUM(G21:G34)</f>
        <v>0</v>
      </c>
      <c r="H36" s="217">
        <f>SUM(H21:H34)</f>
        <v>1524679</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v>102769</v>
      </c>
      <c r="E41" s="216">
        <v>38024</v>
      </c>
      <c r="F41" s="216"/>
      <c r="G41" s="184"/>
      <c r="H41" s="217">
        <f t="shared" ref="H41:H47" si="1">(D41+E41)-F41-G41</f>
        <v>140793</v>
      </c>
    </row>
    <row r="42" spans="1:8" ht="18" customHeight="1" x14ac:dyDescent="0.55000000000000004">
      <c r="A42" s="180" t="s">
        <v>252</v>
      </c>
      <c r="B42" s="176" t="s">
        <v>143</v>
      </c>
      <c r="D42" s="184"/>
      <c r="E42" s="216"/>
      <c r="F42" s="216"/>
      <c r="G42" s="184"/>
      <c r="H42" s="217">
        <f t="shared" si="1"/>
        <v>0</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102769</v>
      </c>
      <c r="E49" s="217">
        <f>SUM(E40:E47)</f>
        <v>38024</v>
      </c>
      <c r="F49" s="217">
        <f>SUM(F40:F47)</f>
        <v>0</v>
      </c>
      <c r="G49" s="217">
        <f>SUM(G40:G47)</f>
        <v>0</v>
      </c>
      <c r="H49" s="217">
        <f>SUM(H40:H47)</f>
        <v>140793</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22"/>
      <c r="E53" s="222"/>
      <c r="F53" s="222"/>
      <c r="G53" s="222"/>
      <c r="H53" s="217">
        <f>(D53+E53)-F53-G53</f>
        <v>0</v>
      </c>
    </row>
    <row r="54" spans="1:8" ht="18" customHeight="1" x14ac:dyDescent="0.55000000000000004">
      <c r="A54" s="180" t="s">
        <v>259</v>
      </c>
      <c r="B54" s="193" t="s">
        <v>558</v>
      </c>
      <c r="D54" s="184">
        <v>19707732</v>
      </c>
      <c r="E54" s="216"/>
      <c r="F54" s="216"/>
      <c r="G54" s="184">
        <v>9037022</v>
      </c>
      <c r="H54" s="217">
        <f t="shared" ref="H54:H62" si="2">(D54+E54)-F54-G54</f>
        <v>10670710</v>
      </c>
    </row>
    <row r="55" spans="1:8" ht="18" customHeight="1" x14ac:dyDescent="0.55000000000000004">
      <c r="A55" s="180" t="s">
        <v>260</v>
      </c>
      <c r="B55" s="194"/>
      <c r="D55" s="184"/>
      <c r="E55" s="216"/>
      <c r="F55" s="216"/>
      <c r="G55" s="184"/>
      <c r="H55" s="217">
        <f t="shared" si="2"/>
        <v>0</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19707732</v>
      </c>
      <c r="E64" s="217">
        <f>SUM(E53:E62)</f>
        <v>0</v>
      </c>
      <c r="F64" s="217">
        <f>SUM(F53:F62)</f>
        <v>0</v>
      </c>
      <c r="G64" s="217">
        <f>SUM(G53:G62)</f>
        <v>9037022</v>
      </c>
      <c r="H64" s="217">
        <f>SUM(H53:H62)</f>
        <v>10670710</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v>14531</v>
      </c>
      <c r="E68" s="216"/>
      <c r="F68" s="216"/>
      <c r="G68" s="228"/>
      <c r="H68" s="217">
        <f>(D68+E68)-F68-G68</f>
        <v>14531</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14531</v>
      </c>
      <c r="E74" s="229">
        <f>SUM(E68:E72)</f>
        <v>0</v>
      </c>
      <c r="F74" s="229">
        <f>SUM(F68:F72)</f>
        <v>0</v>
      </c>
      <c r="G74" s="217">
        <f>SUM(G68:G72)</f>
        <v>0</v>
      </c>
      <c r="H74" s="217">
        <f>SUM(H68:H72)</f>
        <v>14531</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v>139904</v>
      </c>
      <c r="E79" s="230"/>
      <c r="F79" s="220"/>
      <c r="G79" s="184"/>
      <c r="H79" s="217">
        <f>(D79-F79-G79)</f>
        <v>139904</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139904</v>
      </c>
      <c r="E82" s="231"/>
      <c r="F82" s="217">
        <f>SUM(F77:F80)</f>
        <v>0</v>
      </c>
      <c r="G82" s="217">
        <f>SUM(G77:G80)</f>
        <v>0</v>
      </c>
      <c r="H82" s="217">
        <f>SUM(H77:H80)</f>
        <v>139904</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v>1936</v>
      </c>
      <c r="E87" s="216"/>
      <c r="F87" s="216"/>
      <c r="G87" s="184"/>
      <c r="H87" s="217">
        <f t="shared" ref="H87:H96" si="3">(D87+E87)-F87-G87</f>
        <v>1936</v>
      </c>
    </row>
    <row r="88" spans="1:8" ht="18" customHeight="1" x14ac:dyDescent="0.55000000000000004">
      <c r="A88" s="180" t="s">
        <v>288</v>
      </c>
      <c r="B88" s="176" t="s">
        <v>289</v>
      </c>
      <c r="D88" s="184">
        <v>387</v>
      </c>
      <c r="E88" s="216"/>
      <c r="F88" s="216"/>
      <c r="G88" s="184"/>
      <c r="H88" s="217">
        <f t="shared" si="3"/>
        <v>387</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c r="E91" s="216"/>
      <c r="F91" s="216"/>
      <c r="G91" s="184"/>
      <c r="H91" s="217">
        <f t="shared" si="3"/>
        <v>0</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2323</v>
      </c>
      <c r="E98" s="217">
        <f>SUM(E86:E96)</f>
        <v>0</v>
      </c>
      <c r="F98" s="217">
        <f>SUM(F86:F96)</f>
        <v>0</v>
      </c>
      <c r="G98" s="217">
        <f>SUM(G86:G96)</f>
        <v>0</v>
      </c>
      <c r="H98" s="217">
        <f>SUM(H86:H96)</f>
        <v>2323</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622</v>
      </c>
      <c r="E102" s="216"/>
      <c r="F102" s="216"/>
      <c r="G102" s="184"/>
      <c r="H102" s="217">
        <f>(D102+E102)-F102-G102</f>
        <v>622</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t="s">
        <v>201</v>
      </c>
      <c r="D104" s="184">
        <v>15760</v>
      </c>
      <c r="E104" s="216"/>
      <c r="F104" s="216"/>
      <c r="G104" s="184"/>
      <c r="H104" s="217">
        <f>(D104+E104)-F104-G104</f>
        <v>15760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16382</v>
      </c>
      <c r="E108" s="217">
        <f>SUM(E102:E106)</f>
        <v>0</v>
      </c>
      <c r="F108" s="217">
        <f>SUM(F102:F106)</f>
        <v>0</v>
      </c>
      <c r="G108" s="217">
        <f>SUM(G102:G106)</f>
        <v>0</v>
      </c>
      <c r="H108" s="217">
        <f>SUM(H102:H106)</f>
        <v>16382</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1763814</v>
      </c>
      <c r="G111" s="184"/>
      <c r="H111" s="217">
        <f>F111-G111</f>
        <v>1763814</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353">
        <v>3.7000000000000002E-3</v>
      </c>
      <c r="F114" s="235" t="s">
        <v>429</v>
      </c>
      <c r="G114" s="353">
        <v>0</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173050343</v>
      </c>
      <c r="F117" s="237"/>
    </row>
    <row r="118" spans="1:7" ht="18" customHeight="1" x14ac:dyDescent="0.55000000000000004">
      <c r="A118" s="180" t="s">
        <v>319</v>
      </c>
      <c r="B118" s="176" t="s">
        <v>320</v>
      </c>
      <c r="E118" s="184">
        <v>8159425</v>
      </c>
      <c r="F118" s="237"/>
    </row>
    <row r="119" spans="1:7" ht="18" customHeight="1" x14ac:dyDescent="0.55000000000000004">
      <c r="A119" s="180" t="s">
        <v>321</v>
      </c>
      <c r="B119" s="179" t="s">
        <v>322</v>
      </c>
      <c r="E119" s="217">
        <f>SUM(E117:E118)</f>
        <v>181209768</v>
      </c>
      <c r="F119" s="238"/>
    </row>
    <row r="120" spans="1:7" ht="18" customHeight="1" x14ac:dyDescent="0.55000000000000004">
      <c r="A120" s="180"/>
      <c r="B120" s="179"/>
      <c r="F120" s="212"/>
    </row>
    <row r="121" spans="1:7" ht="18" customHeight="1" x14ac:dyDescent="0.55000000000000004">
      <c r="A121" s="180" t="s">
        <v>323</v>
      </c>
      <c r="B121" s="179" t="s">
        <v>324</v>
      </c>
      <c r="E121" s="184">
        <v>181465929</v>
      </c>
      <c r="F121" s="237"/>
    </row>
    <row r="122" spans="1:7" ht="18" customHeight="1" x14ac:dyDescent="0.55000000000000004">
      <c r="A122" s="180"/>
      <c r="F122" s="212"/>
    </row>
    <row r="123" spans="1:7" ht="18" customHeight="1" x14ac:dyDescent="0.55000000000000004">
      <c r="A123" s="180" t="s">
        <v>325</v>
      </c>
      <c r="B123" s="179" t="s">
        <v>326</v>
      </c>
      <c r="E123" s="184">
        <v>-256161</v>
      </c>
      <c r="F123" s="237"/>
    </row>
    <row r="124" spans="1:7" ht="18" customHeight="1" x14ac:dyDescent="0.55000000000000004">
      <c r="A124" s="180"/>
      <c r="F124" s="212"/>
    </row>
    <row r="125" spans="1:7" ht="18" customHeight="1" x14ac:dyDescent="0.55000000000000004">
      <c r="A125" s="180" t="s">
        <v>327</v>
      </c>
      <c r="B125" s="179" t="s">
        <v>328</v>
      </c>
      <c r="E125" s="184">
        <f>418780+15984313</f>
        <v>16403093</v>
      </c>
      <c r="F125" s="237"/>
    </row>
    <row r="126" spans="1:7" ht="18" customHeight="1" x14ac:dyDescent="0.55000000000000004">
      <c r="A126" s="180"/>
    </row>
    <row r="127" spans="1:7" ht="18" customHeight="1" x14ac:dyDescent="0.55000000000000004">
      <c r="A127" s="180" t="s">
        <v>329</v>
      </c>
      <c r="B127" s="179" t="s">
        <v>330</v>
      </c>
      <c r="E127" s="200">
        <f>E123+E125</f>
        <v>16146932</v>
      </c>
      <c r="F127" s="354"/>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1116115</v>
      </c>
      <c r="E141" s="239">
        <f>E36</f>
        <v>408564</v>
      </c>
      <c r="F141" s="239">
        <f>F36</f>
        <v>0</v>
      </c>
      <c r="G141" s="239">
        <f>G36</f>
        <v>0</v>
      </c>
      <c r="H141" s="239">
        <f>H36</f>
        <v>1524679</v>
      </c>
    </row>
    <row r="142" spans="1:8" ht="18" customHeight="1" x14ac:dyDescent="0.55000000000000004">
      <c r="A142" s="180" t="s">
        <v>150</v>
      </c>
      <c r="B142" s="179" t="s">
        <v>220</v>
      </c>
      <c r="D142" s="239">
        <f>D49</f>
        <v>102769</v>
      </c>
      <c r="E142" s="239">
        <f>E49</f>
        <v>38024</v>
      </c>
      <c r="F142" s="239">
        <f>F49</f>
        <v>0</v>
      </c>
      <c r="G142" s="239">
        <f>G49</f>
        <v>0</v>
      </c>
      <c r="H142" s="239">
        <f>H49</f>
        <v>140793</v>
      </c>
    </row>
    <row r="143" spans="1:8" ht="18" customHeight="1" x14ac:dyDescent="0.55000000000000004">
      <c r="A143" s="180" t="s">
        <v>269</v>
      </c>
      <c r="B143" s="179" t="s">
        <v>222</v>
      </c>
      <c r="D143" s="239">
        <f>D64</f>
        <v>19707732</v>
      </c>
      <c r="E143" s="239">
        <f>E64</f>
        <v>0</v>
      </c>
      <c r="F143" s="239">
        <f>F64</f>
        <v>0</v>
      </c>
      <c r="G143" s="239">
        <f>G64</f>
        <v>9037022</v>
      </c>
      <c r="H143" s="239">
        <f>H64</f>
        <v>10670710</v>
      </c>
    </row>
    <row r="144" spans="1:8" ht="18" customHeight="1" x14ac:dyDescent="0.55000000000000004">
      <c r="A144" s="180" t="s">
        <v>161</v>
      </c>
      <c r="B144" s="179" t="s">
        <v>70</v>
      </c>
      <c r="D144" s="239">
        <f>D74</f>
        <v>14531</v>
      </c>
      <c r="E144" s="239">
        <f>E74</f>
        <v>0</v>
      </c>
      <c r="F144" s="239">
        <f>F74</f>
        <v>0</v>
      </c>
      <c r="G144" s="239">
        <f>G74</f>
        <v>0</v>
      </c>
      <c r="H144" s="239">
        <f>H74</f>
        <v>14531</v>
      </c>
    </row>
    <row r="145" spans="1:8" ht="18" customHeight="1" x14ac:dyDescent="0.55000000000000004">
      <c r="A145" s="180" t="s">
        <v>171</v>
      </c>
      <c r="B145" s="179" t="s">
        <v>69</v>
      </c>
      <c r="D145" s="239">
        <f>D82</f>
        <v>139904</v>
      </c>
      <c r="E145" s="239">
        <f>E82</f>
        <v>0</v>
      </c>
      <c r="F145" s="239">
        <f>F82</f>
        <v>0</v>
      </c>
      <c r="G145" s="239">
        <f>G82</f>
        <v>0</v>
      </c>
      <c r="H145" s="239">
        <f>H82</f>
        <v>139904</v>
      </c>
    </row>
    <row r="146" spans="1:8" ht="18" customHeight="1" x14ac:dyDescent="0.55000000000000004">
      <c r="A146" s="180" t="s">
        <v>193</v>
      </c>
      <c r="B146" s="179" t="s">
        <v>226</v>
      </c>
      <c r="D146" s="239">
        <f>D98</f>
        <v>2323</v>
      </c>
      <c r="E146" s="239">
        <f>E98</f>
        <v>0</v>
      </c>
      <c r="F146" s="239">
        <f>F98</f>
        <v>0</v>
      </c>
      <c r="G146" s="239">
        <f>G98</f>
        <v>0</v>
      </c>
      <c r="H146" s="239">
        <f>H98</f>
        <v>2323</v>
      </c>
    </row>
    <row r="147" spans="1:8" ht="18" customHeight="1" x14ac:dyDescent="0.55000000000000004">
      <c r="A147" s="180" t="s">
        <v>204</v>
      </c>
      <c r="B147" s="179" t="s">
        <v>71</v>
      </c>
      <c r="D147" s="217">
        <f>D108</f>
        <v>16382</v>
      </c>
      <c r="E147" s="217">
        <f>E108</f>
        <v>0</v>
      </c>
      <c r="F147" s="217">
        <f>F108</f>
        <v>0</v>
      </c>
      <c r="G147" s="217">
        <f>G108</f>
        <v>0</v>
      </c>
      <c r="H147" s="217">
        <f>H108</f>
        <v>16382</v>
      </c>
    </row>
    <row r="148" spans="1:8" ht="18" customHeight="1" x14ac:dyDescent="0.55000000000000004">
      <c r="A148" s="180" t="s">
        <v>310</v>
      </c>
      <c r="B148" s="179" t="s">
        <v>58</v>
      </c>
      <c r="D148" s="240" t="s">
        <v>245</v>
      </c>
      <c r="E148" s="240" t="s">
        <v>245</v>
      </c>
      <c r="F148" s="240"/>
      <c r="G148" s="240" t="s">
        <v>245</v>
      </c>
      <c r="H148" s="239">
        <f>H111</f>
        <v>1763814</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3078468.2874989659</v>
      </c>
      <c r="E150" s="217">
        <f>E18</f>
        <v>0</v>
      </c>
      <c r="F150" s="217">
        <f>F18</f>
        <v>0</v>
      </c>
      <c r="G150" s="217">
        <f>G18</f>
        <v>2551342.6363128209</v>
      </c>
      <c r="H150" s="217">
        <f>H18</f>
        <v>527125.65118614491</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24178224.287498966</v>
      </c>
      <c r="E152" s="241">
        <f>SUM(E141:E150)</f>
        <v>446588</v>
      </c>
      <c r="F152" s="241">
        <f>SUM(F141:F150)</f>
        <v>0</v>
      </c>
      <c r="G152" s="241">
        <f>SUM(G141:G150)</f>
        <v>11588364.63631282</v>
      </c>
      <c r="H152" s="241">
        <f>SUM(H141:H150)</f>
        <v>14800261.651186146</v>
      </c>
    </row>
    <row r="154" spans="1:8" ht="18" customHeight="1" x14ac:dyDescent="0.55000000000000004">
      <c r="A154" s="183" t="s">
        <v>339</v>
      </c>
      <c r="B154" s="179" t="s">
        <v>340</v>
      </c>
      <c r="D154" s="242">
        <f>H152/E121</f>
        <v>8.1559451588216023E-2</v>
      </c>
    </row>
    <row r="155" spans="1:8" ht="18" customHeight="1" x14ac:dyDescent="0.55000000000000004">
      <c r="A155" s="183" t="s">
        <v>341</v>
      </c>
      <c r="B155" s="179" t="s">
        <v>342</v>
      </c>
      <c r="D155" s="242">
        <f>H152/E127</f>
        <v>0.91659899547394796</v>
      </c>
    </row>
  </sheetData>
  <mergeCells count="2">
    <mergeCell ref="C2:D2"/>
    <mergeCell ref="B13:D13"/>
  </mergeCells>
  <hyperlinks>
    <hyperlink ref="C11" r:id="rId1" xr:uid="{F41947E9-0864-4389-B2C8-5920825F54FB}"/>
  </hyperlinks>
  <pageMargins left="0.7" right="0.7" top="0.75" bottom="0.75" header="0.3" footer="0.3"/>
  <pageSetup orientation="portrait" horizontalDpi="1200" verticalDpi="1200"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CDEA3-E886-4B42-848C-9A993790F53E}">
  <sheetPr codeName="Sheet35"/>
  <dimension ref="A1:K163"/>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0" width="19.83984375" style="176" customWidth="1"/>
    <col min="11" max="11" width="14.26171875" style="355" bestFit="1" customWidth="1"/>
    <col min="12"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247" t="s">
        <v>559</v>
      </c>
      <c r="D5" s="247"/>
      <c r="E5" s="247"/>
      <c r="F5" s="208"/>
    </row>
    <row r="6" spans="1:8" ht="18" customHeight="1" x14ac:dyDescent="0.55000000000000004">
      <c r="B6" s="180" t="s">
        <v>237</v>
      </c>
      <c r="C6" s="247" t="s">
        <v>560</v>
      </c>
      <c r="D6" s="247"/>
      <c r="E6" s="247"/>
      <c r="F6" s="208"/>
    </row>
    <row r="7" spans="1:8" ht="18" customHeight="1" x14ac:dyDescent="0.55000000000000004">
      <c r="B7" s="180" t="s">
        <v>238</v>
      </c>
      <c r="C7" s="247">
        <v>1698</v>
      </c>
      <c r="D7" s="247"/>
      <c r="E7" s="247"/>
      <c r="F7" s="208"/>
    </row>
    <row r="8" spans="1:8" ht="18" customHeight="1" x14ac:dyDescent="0.55000000000000004">
      <c r="C8" s="211"/>
      <c r="D8" s="211"/>
      <c r="E8" s="211"/>
      <c r="F8" s="212"/>
    </row>
    <row r="9" spans="1:8" ht="18" customHeight="1" x14ac:dyDescent="0.55000000000000004">
      <c r="B9" s="180" t="s">
        <v>239</v>
      </c>
      <c r="C9" s="247" t="s">
        <v>388</v>
      </c>
      <c r="D9" s="247"/>
      <c r="E9" s="247"/>
      <c r="F9" s="208"/>
    </row>
    <row r="10" spans="1:8" ht="18" customHeight="1" x14ac:dyDescent="0.55000000000000004">
      <c r="B10" s="180" t="s">
        <v>241</v>
      </c>
      <c r="C10" s="247" t="s">
        <v>389</v>
      </c>
      <c r="D10" s="247"/>
      <c r="E10" s="247"/>
      <c r="F10" s="208"/>
    </row>
    <row r="11" spans="1:8" ht="18" customHeight="1" x14ac:dyDescent="0.55000000000000004">
      <c r="B11" s="180" t="s">
        <v>243</v>
      </c>
      <c r="C11" s="272" t="s">
        <v>390</v>
      </c>
      <c r="D11" s="247"/>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4389560.9382601073</v>
      </c>
      <c r="E18" s="214"/>
      <c r="F18" s="214"/>
      <c r="G18" s="214">
        <v>3637937.0942212716</v>
      </c>
      <c r="H18" s="249">
        <f>(D18+E18)-G18</f>
        <v>751623.84403883573</v>
      </c>
    </row>
    <row r="19" spans="1:8" ht="45" customHeight="1" x14ac:dyDescent="0.55000000000000004">
      <c r="A19" s="178" t="s">
        <v>105</v>
      </c>
      <c r="B19" s="177"/>
      <c r="C19" s="177"/>
      <c r="D19" s="182"/>
      <c r="E19" s="182"/>
      <c r="F19" s="182"/>
      <c r="G19" s="182"/>
      <c r="H19" s="182" t="s">
        <v>244</v>
      </c>
    </row>
    <row r="20" spans="1:8" ht="18" customHeight="1" x14ac:dyDescent="0.55000000000000004">
      <c r="A20" s="183" t="s">
        <v>108</v>
      </c>
      <c r="B20" s="179" t="s">
        <v>109</v>
      </c>
    </row>
    <row r="21" spans="1:8" ht="18" customHeight="1" x14ac:dyDescent="0.55000000000000004">
      <c r="A21" s="180" t="s">
        <v>110</v>
      </c>
      <c r="B21" s="176" t="s">
        <v>111</v>
      </c>
      <c r="D21" s="184">
        <v>1823090</v>
      </c>
      <c r="E21" s="216">
        <v>911178</v>
      </c>
      <c r="F21" s="216"/>
      <c r="G21" s="184">
        <v>195638</v>
      </c>
      <c r="H21" s="217">
        <f>(D21+E21)-F21-G21</f>
        <v>2538630</v>
      </c>
    </row>
    <row r="22" spans="1:8" ht="18" customHeight="1" x14ac:dyDescent="0.55000000000000004">
      <c r="A22" s="180" t="s">
        <v>112</v>
      </c>
      <c r="B22" s="176" t="s">
        <v>113</v>
      </c>
      <c r="D22" s="184"/>
      <c r="E22" s="216"/>
      <c r="F22" s="216"/>
      <c r="G22" s="184"/>
      <c r="H22" s="217">
        <f t="shared" ref="H22:H34" si="0">(D22+E22)-F22-G22</f>
        <v>0</v>
      </c>
    </row>
    <row r="23" spans="1:8" ht="18" customHeight="1" x14ac:dyDescent="0.55000000000000004">
      <c r="A23" s="180" t="s">
        <v>114</v>
      </c>
      <c r="B23" s="176" t="s">
        <v>115</v>
      </c>
      <c r="D23" s="184">
        <v>113479</v>
      </c>
      <c r="E23" s="216">
        <v>13617</v>
      </c>
      <c r="F23" s="216"/>
      <c r="G23" s="184"/>
      <c r="H23" s="217">
        <f t="shared" si="0"/>
        <v>127096</v>
      </c>
    </row>
    <row r="24" spans="1:8" ht="18" customHeight="1" x14ac:dyDescent="0.55000000000000004">
      <c r="A24" s="180" t="s">
        <v>116</v>
      </c>
      <c r="B24" s="176" t="s">
        <v>117</v>
      </c>
      <c r="D24" s="184"/>
      <c r="E24" s="216"/>
      <c r="F24" s="216"/>
      <c r="G24" s="184"/>
      <c r="H24" s="217">
        <f t="shared" si="0"/>
        <v>0</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v>255385</v>
      </c>
      <c r="E29" s="216">
        <v>125460</v>
      </c>
      <c r="F29" s="216"/>
      <c r="G29" s="184"/>
      <c r="H29" s="217">
        <f t="shared" si="0"/>
        <v>380845</v>
      </c>
    </row>
    <row r="30" spans="1:8" ht="18" customHeight="1" x14ac:dyDescent="0.55000000000000004">
      <c r="A30" s="180" t="s">
        <v>128</v>
      </c>
      <c r="B30" s="185" t="s">
        <v>561</v>
      </c>
      <c r="D30" s="184">
        <v>242797</v>
      </c>
      <c r="E30" s="216">
        <v>121399</v>
      </c>
      <c r="F30" s="216"/>
      <c r="G30" s="184"/>
      <c r="H30" s="217">
        <f t="shared" si="0"/>
        <v>364196</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2434751</v>
      </c>
      <c r="E36" s="217">
        <f>SUM(E21:E34)</f>
        <v>1171654</v>
      </c>
      <c r="F36" s="217">
        <f>SUM(F21:F34)</f>
        <v>0</v>
      </c>
      <c r="G36" s="217">
        <f>SUM(G21:G34)</f>
        <v>195638</v>
      </c>
      <c r="H36" s="217">
        <f>SUM(H21:H34)</f>
        <v>3410767</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v>120972</v>
      </c>
      <c r="E41" s="216">
        <v>60486</v>
      </c>
      <c r="F41" s="216"/>
      <c r="G41" s="184"/>
      <c r="H41" s="217">
        <f t="shared" ref="H41:H47" si="1">(D41+E41)-F41-G41</f>
        <v>181458</v>
      </c>
    </row>
    <row r="42" spans="1:8" ht="18" customHeight="1" x14ac:dyDescent="0.55000000000000004">
      <c r="A42" s="180" t="s">
        <v>252</v>
      </c>
      <c r="B42" s="176" t="s">
        <v>143</v>
      </c>
      <c r="D42" s="184">
        <v>678377</v>
      </c>
      <c r="E42" s="216">
        <v>339189</v>
      </c>
      <c r="F42" s="216"/>
      <c r="G42" s="184"/>
      <c r="H42" s="217">
        <f t="shared" si="1"/>
        <v>1017566</v>
      </c>
    </row>
    <row r="43" spans="1:8" ht="18" customHeight="1" x14ac:dyDescent="0.55000000000000004">
      <c r="A43" s="180" t="s">
        <v>253</v>
      </c>
      <c r="B43" s="176" t="s">
        <v>145</v>
      </c>
      <c r="D43" s="184">
        <v>21500</v>
      </c>
      <c r="E43" s="216"/>
      <c r="F43" s="216"/>
      <c r="G43" s="184"/>
      <c r="H43" s="217">
        <f t="shared" si="1"/>
        <v>21500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10" ht="18" customHeight="1" x14ac:dyDescent="0.55000000000000004">
      <c r="A49" s="183" t="s">
        <v>150</v>
      </c>
      <c r="B49" s="179" t="s">
        <v>254</v>
      </c>
      <c r="C49" s="179" t="s">
        <v>248</v>
      </c>
      <c r="D49" s="217">
        <f>SUM(D40:D47)</f>
        <v>820849</v>
      </c>
      <c r="E49" s="217">
        <f>SUM(E40:E47)</f>
        <v>399675</v>
      </c>
      <c r="F49" s="217">
        <f>SUM(F40:F47)</f>
        <v>0</v>
      </c>
      <c r="G49" s="217">
        <f>SUM(G40:G47)</f>
        <v>0</v>
      </c>
      <c r="H49" s="217">
        <f>SUM(H40:H47)</f>
        <v>1220524</v>
      </c>
    </row>
    <row r="50" spans="1:10" ht="18" customHeight="1" thickBot="1" x14ac:dyDescent="0.6">
      <c r="D50" s="189"/>
      <c r="E50" s="189"/>
      <c r="F50" s="189"/>
      <c r="G50" s="189"/>
      <c r="H50" s="189"/>
    </row>
    <row r="51" spans="1:10" ht="42.75" customHeight="1" x14ac:dyDescent="0.55000000000000004">
      <c r="D51" s="182" t="s">
        <v>99</v>
      </c>
      <c r="E51" s="182" t="s">
        <v>100</v>
      </c>
      <c r="F51" s="182" t="s">
        <v>431</v>
      </c>
      <c r="G51" s="182" t="s">
        <v>432</v>
      </c>
      <c r="H51" s="182" t="s">
        <v>244</v>
      </c>
    </row>
    <row r="52" spans="1:10" ht="18" customHeight="1" x14ac:dyDescent="0.55000000000000004">
      <c r="A52" s="183" t="s">
        <v>255</v>
      </c>
      <c r="B52" s="221" t="s">
        <v>256</v>
      </c>
    </row>
    <row r="53" spans="1:10" ht="18" customHeight="1" x14ac:dyDescent="0.55000000000000004">
      <c r="A53" s="180" t="s">
        <v>257</v>
      </c>
      <c r="B53" s="193" t="s">
        <v>562</v>
      </c>
      <c r="D53" s="184">
        <v>1259130</v>
      </c>
      <c r="E53" s="216"/>
      <c r="F53" s="216">
        <v>36235</v>
      </c>
      <c r="G53" s="184"/>
      <c r="H53" s="217">
        <f>(D53+E53)-F53-G53</f>
        <v>1222895</v>
      </c>
    </row>
    <row r="54" spans="1:10" ht="18" customHeight="1" x14ac:dyDescent="0.55000000000000004">
      <c r="A54" s="180" t="s">
        <v>259</v>
      </c>
      <c r="B54" s="193" t="s">
        <v>563</v>
      </c>
      <c r="C54" s="176" t="s">
        <v>564</v>
      </c>
      <c r="D54" s="184">
        <v>10691428</v>
      </c>
      <c r="E54" s="216"/>
      <c r="F54" s="216"/>
      <c r="G54" s="184"/>
      <c r="H54" s="217">
        <f t="shared" ref="H54:H62" si="2">(D54+E54)-F54-G54</f>
        <v>10691428</v>
      </c>
    </row>
    <row r="55" spans="1:10" ht="18" customHeight="1" x14ac:dyDescent="0.55000000000000004">
      <c r="A55" s="180" t="s">
        <v>260</v>
      </c>
      <c r="B55" s="193"/>
      <c r="D55" s="184"/>
      <c r="E55" s="216"/>
      <c r="F55" s="216"/>
      <c r="G55" s="184"/>
      <c r="H55" s="217">
        <f t="shared" si="2"/>
        <v>0</v>
      </c>
    </row>
    <row r="56" spans="1:10" ht="18" customHeight="1" x14ac:dyDescent="0.55000000000000004">
      <c r="A56" s="180" t="s">
        <v>261</v>
      </c>
      <c r="B56" s="193" t="s">
        <v>565</v>
      </c>
      <c r="D56" s="184">
        <v>181499</v>
      </c>
      <c r="E56" s="216"/>
      <c r="F56" s="216"/>
      <c r="G56" s="184"/>
      <c r="H56" s="217">
        <f t="shared" si="2"/>
        <v>181499</v>
      </c>
    </row>
    <row r="57" spans="1:10" ht="18" customHeight="1" x14ac:dyDescent="0.55000000000000004">
      <c r="A57" s="180" t="s">
        <v>263</v>
      </c>
      <c r="B57" s="193"/>
      <c r="D57" s="184"/>
      <c r="E57" s="216"/>
      <c r="F57" s="216"/>
      <c r="G57" s="184"/>
      <c r="H57" s="217">
        <f t="shared" si="2"/>
        <v>0</v>
      </c>
    </row>
    <row r="58" spans="1:10" ht="18" customHeight="1" x14ac:dyDescent="0.55000000000000004">
      <c r="A58" s="180" t="s">
        <v>264</v>
      </c>
      <c r="B58" s="193"/>
      <c r="D58" s="184"/>
      <c r="E58" s="216"/>
      <c r="F58" s="216"/>
      <c r="G58" s="184"/>
      <c r="H58" s="217">
        <f>(D58+E58)-F58-G58</f>
        <v>0</v>
      </c>
    </row>
    <row r="59" spans="1:10" ht="18" customHeight="1" x14ac:dyDescent="0.55000000000000004">
      <c r="A59" s="180" t="s">
        <v>265</v>
      </c>
      <c r="B59" s="223"/>
      <c r="D59" s="224"/>
      <c r="E59" s="225"/>
      <c r="F59" s="225"/>
      <c r="G59" s="224"/>
      <c r="H59" s="217">
        <f t="shared" si="2"/>
        <v>0</v>
      </c>
    </row>
    <row r="60" spans="1:10" ht="18" customHeight="1" x14ac:dyDescent="0.55000000000000004">
      <c r="A60" s="180" t="s">
        <v>266</v>
      </c>
      <c r="B60" s="226"/>
      <c r="C60" s="212"/>
      <c r="D60" s="222"/>
      <c r="E60" s="222"/>
      <c r="F60" s="222"/>
      <c r="G60" s="222"/>
      <c r="H60" s="217">
        <f t="shared" si="2"/>
        <v>0</v>
      </c>
    </row>
    <row r="61" spans="1:10" ht="18" customHeight="1" x14ac:dyDescent="0.55000000000000004">
      <c r="A61" s="180" t="s">
        <v>267</v>
      </c>
      <c r="B61" s="226"/>
      <c r="C61" s="212"/>
      <c r="D61" s="222"/>
      <c r="E61" s="222"/>
      <c r="F61" s="222"/>
      <c r="G61" s="222"/>
      <c r="H61" s="217">
        <f t="shared" si="2"/>
        <v>0</v>
      </c>
    </row>
    <row r="62" spans="1:10" ht="18" customHeight="1" x14ac:dyDescent="0.55000000000000004">
      <c r="A62" s="180" t="s">
        <v>268</v>
      </c>
      <c r="B62" s="226"/>
      <c r="C62" s="212"/>
      <c r="D62" s="222"/>
      <c r="E62" s="222"/>
      <c r="F62" s="222"/>
      <c r="G62" s="222"/>
      <c r="H62" s="217">
        <f t="shared" si="2"/>
        <v>0</v>
      </c>
    </row>
    <row r="63" spans="1:10" ht="18" customHeight="1" x14ac:dyDescent="0.55000000000000004">
      <c r="A63" s="180"/>
      <c r="E63" s="227"/>
      <c r="F63" s="192"/>
    </row>
    <row r="64" spans="1:10" ht="18" customHeight="1" x14ac:dyDescent="0.55000000000000004">
      <c r="A64" s="180" t="s">
        <v>269</v>
      </c>
      <c r="B64" s="179" t="s">
        <v>270</v>
      </c>
      <c r="C64" s="179" t="s">
        <v>248</v>
      </c>
      <c r="D64" s="217">
        <f>SUM(D53:D62)</f>
        <v>12132057</v>
      </c>
      <c r="E64" s="217">
        <f>SUM(E53:E62)</f>
        <v>0</v>
      </c>
      <c r="F64" s="217">
        <f>SUM(F53:F62)</f>
        <v>36235</v>
      </c>
      <c r="G64" s="217">
        <f>SUM(G53:G62)</f>
        <v>0</v>
      </c>
      <c r="H64" s="217">
        <f>SUM(H53:H62)</f>
        <v>12095822</v>
      </c>
      <c r="J64" s="275"/>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16">
        <v>57616</v>
      </c>
      <c r="E69" s="216">
        <v>28808</v>
      </c>
      <c r="F69" s="216"/>
      <c r="G69" s="228"/>
      <c r="H69" s="217">
        <f>(D69+E69)-F69-G69</f>
        <v>86424</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57616</v>
      </c>
      <c r="E74" s="229">
        <f>SUM(E68:E72)</f>
        <v>28808</v>
      </c>
      <c r="F74" s="229">
        <f>SUM(F68:F72)</f>
        <v>0</v>
      </c>
      <c r="G74" s="217">
        <f>SUM(G68:G72)</f>
        <v>0</v>
      </c>
      <c r="H74" s="217">
        <f>SUM(H68:H72)</f>
        <v>86424</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53767</v>
      </c>
      <c r="E77" s="230"/>
      <c r="F77" s="220"/>
      <c r="G77" s="184"/>
      <c r="H77" s="217">
        <f>(D77-F77-G77)</f>
        <v>53767</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v>115104</v>
      </c>
      <c r="E79" s="230" t="s">
        <v>247</v>
      </c>
      <c r="F79" s="220"/>
      <c r="G79" s="184"/>
      <c r="H79" s="217">
        <f>(D79-F79-G79)</f>
        <v>115104</v>
      </c>
      <c r="I79" t="s">
        <v>247</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168871</v>
      </c>
      <c r="E82" s="231">
        <f>SUM(E77:E81)</f>
        <v>0</v>
      </c>
      <c r="F82" s="217">
        <f>SUM(F77:F80)</f>
        <v>0</v>
      </c>
      <c r="G82" s="217">
        <f>SUM(G77:G80)</f>
        <v>0</v>
      </c>
      <c r="H82" s="217">
        <f>SUM(H77:H80)</f>
        <v>168871</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v>3548</v>
      </c>
      <c r="E88" s="216">
        <v>426</v>
      </c>
      <c r="F88" s="216"/>
      <c r="G88" s="184"/>
      <c r="H88" s="217">
        <f t="shared" si="3"/>
        <v>3974</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c r="E91" s="216"/>
      <c r="F91" s="216"/>
      <c r="G91" s="184"/>
      <c r="H91" s="217">
        <f t="shared" si="3"/>
        <v>0</v>
      </c>
    </row>
    <row r="92" spans="1:8" ht="18" customHeight="1" x14ac:dyDescent="0.55000000000000004">
      <c r="A92" s="180" t="s">
        <v>293</v>
      </c>
      <c r="B92" s="176" t="s">
        <v>294</v>
      </c>
      <c r="D92" s="233">
        <v>435481</v>
      </c>
      <c r="E92" s="216"/>
      <c r="F92" s="234"/>
      <c r="G92" s="233"/>
      <c r="H92" s="217">
        <f t="shared" si="3"/>
        <v>435481</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11" ht="18" customHeight="1" x14ac:dyDescent="0.55000000000000004">
      <c r="A97" s="180"/>
    </row>
    <row r="98" spans="1:11" ht="18" customHeight="1" x14ac:dyDescent="0.55000000000000004">
      <c r="A98" s="183" t="s">
        <v>193</v>
      </c>
      <c r="B98" s="179" t="s">
        <v>300</v>
      </c>
      <c r="C98" s="179" t="s">
        <v>248</v>
      </c>
      <c r="D98" s="217">
        <f>SUM(D86:D96)</f>
        <v>439029</v>
      </c>
      <c r="E98" s="217">
        <f>SUM(E86:E96)</f>
        <v>426</v>
      </c>
      <c r="F98" s="217">
        <f>SUM(F86:F96)</f>
        <v>0</v>
      </c>
      <c r="G98" s="217">
        <f>SUM(G86:G96)</f>
        <v>0</v>
      </c>
      <c r="H98" s="217">
        <f>SUM(H86:H96)</f>
        <v>439455</v>
      </c>
    </row>
    <row r="99" spans="1:11" ht="18" customHeight="1" thickBot="1" x14ac:dyDescent="0.6">
      <c r="B99" s="179"/>
      <c r="D99" s="189"/>
      <c r="E99" s="189"/>
      <c r="F99" s="189"/>
      <c r="G99" s="189"/>
      <c r="H99" s="189"/>
    </row>
    <row r="100" spans="1:11" ht="42.75" customHeight="1" x14ac:dyDescent="0.55000000000000004">
      <c r="D100" s="182" t="s">
        <v>99</v>
      </c>
      <c r="E100" s="182" t="s">
        <v>100</v>
      </c>
      <c r="F100" s="182" t="s">
        <v>431</v>
      </c>
      <c r="G100" s="182" t="s">
        <v>432</v>
      </c>
      <c r="H100" s="182" t="s">
        <v>244</v>
      </c>
    </row>
    <row r="101" spans="1:11" ht="18" customHeight="1" x14ac:dyDescent="0.55000000000000004">
      <c r="A101" s="183" t="s">
        <v>301</v>
      </c>
      <c r="B101" s="179" t="s">
        <v>195</v>
      </c>
    </row>
    <row r="102" spans="1:11" ht="18" customHeight="1" x14ac:dyDescent="0.55000000000000004">
      <c r="A102" s="180" t="s">
        <v>302</v>
      </c>
      <c r="B102" s="176" t="s">
        <v>303</v>
      </c>
      <c r="D102" s="184">
        <v>156473</v>
      </c>
      <c r="E102" s="216">
        <v>78237</v>
      </c>
      <c r="F102" s="216"/>
      <c r="G102" s="184"/>
      <c r="H102" s="217">
        <f>(D102+E102)-F102-G102</f>
        <v>234710</v>
      </c>
    </row>
    <row r="103" spans="1:11" ht="18" customHeight="1" x14ac:dyDescent="0.55000000000000004">
      <c r="A103" s="180" t="s">
        <v>304</v>
      </c>
      <c r="B103" s="176" t="s">
        <v>199</v>
      </c>
      <c r="D103" s="184"/>
      <c r="E103" s="216"/>
      <c r="F103" s="216"/>
      <c r="G103" s="184"/>
      <c r="H103" s="217">
        <f>(D103+E103)-F103-G103</f>
        <v>0</v>
      </c>
    </row>
    <row r="104" spans="1:11" ht="18" customHeight="1" x14ac:dyDescent="0.55000000000000004">
      <c r="A104" s="180" t="s">
        <v>305</v>
      </c>
      <c r="B104" s="193"/>
      <c r="D104" s="184"/>
      <c r="E104" s="216"/>
      <c r="F104" s="216"/>
      <c r="G104" s="184"/>
      <c r="H104" s="217">
        <f>(D104+E104)-F104-G104</f>
        <v>0</v>
      </c>
    </row>
    <row r="105" spans="1:11" ht="18" customHeight="1" x14ac:dyDescent="0.55000000000000004">
      <c r="A105" s="180" t="s">
        <v>306</v>
      </c>
      <c r="B105" s="193"/>
      <c r="D105" s="184"/>
      <c r="E105" s="216"/>
      <c r="F105" s="216"/>
      <c r="G105" s="184"/>
      <c r="H105" s="217">
        <f>(D105+E105)-F105-G105</f>
        <v>0</v>
      </c>
    </row>
    <row r="106" spans="1:11" ht="18" customHeight="1" x14ac:dyDescent="0.55000000000000004">
      <c r="A106" s="180" t="s">
        <v>307</v>
      </c>
      <c r="B106" s="193"/>
      <c r="D106" s="184"/>
      <c r="E106" s="216"/>
      <c r="F106" s="216"/>
      <c r="G106" s="184"/>
      <c r="H106" s="217">
        <f>(D106+E106)-F106-G106</f>
        <v>0</v>
      </c>
    </row>
    <row r="107" spans="1:11" ht="18" customHeight="1" x14ac:dyDescent="0.55000000000000004">
      <c r="B107" s="179"/>
    </row>
    <row r="108" spans="1:11" ht="18" customHeight="1" x14ac:dyDescent="0.55000000000000004">
      <c r="A108" s="183" t="s">
        <v>204</v>
      </c>
      <c r="B108" s="179" t="s">
        <v>308</v>
      </c>
      <c r="C108" s="179" t="s">
        <v>248</v>
      </c>
      <c r="D108" s="217">
        <f>SUM(D102:D106)</f>
        <v>156473</v>
      </c>
      <c r="E108" s="217">
        <f>SUM(E102:E106)</f>
        <v>78237</v>
      </c>
      <c r="F108" s="217">
        <f>SUM(F102:F106)</f>
        <v>0</v>
      </c>
      <c r="G108" s="217">
        <f>SUM(G102:G106)</f>
        <v>0</v>
      </c>
      <c r="H108" s="217">
        <f>SUM(H102:H106)</f>
        <v>234710</v>
      </c>
      <c r="K108" s="356"/>
    </row>
    <row r="109" spans="1:11" ht="18" customHeight="1" thickBot="1" x14ac:dyDescent="0.6">
      <c r="A109" s="197"/>
      <c r="B109" s="198"/>
      <c r="C109" s="199"/>
      <c r="D109" s="189"/>
      <c r="E109" s="189"/>
      <c r="F109" s="189"/>
      <c r="G109" s="189"/>
      <c r="H109" s="189"/>
      <c r="K109" s="356"/>
    </row>
    <row r="110" spans="1:11" ht="25.5" x14ac:dyDescent="0.55000000000000004">
      <c r="A110" s="183" t="s">
        <v>309</v>
      </c>
      <c r="B110" s="179" t="s">
        <v>434</v>
      </c>
      <c r="F110" s="182"/>
      <c r="G110" s="182" t="s">
        <v>435</v>
      </c>
      <c r="H110" s="182" t="s">
        <v>244</v>
      </c>
      <c r="K110" s="356"/>
    </row>
    <row r="111" spans="1:11" ht="18" customHeight="1" x14ac:dyDescent="0.55000000000000004">
      <c r="A111" s="183" t="s">
        <v>310</v>
      </c>
      <c r="B111" s="179" t="s">
        <v>311</v>
      </c>
      <c r="E111" s="179" t="s">
        <v>436</v>
      </c>
      <c r="F111" s="184">
        <v>856982</v>
      </c>
      <c r="G111" s="184"/>
      <c r="H111" s="217">
        <f>F111-G111</f>
        <v>856982</v>
      </c>
    </row>
    <row r="112" spans="1:11"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0.5</v>
      </c>
      <c r="F114" s="235" t="s">
        <v>429</v>
      </c>
      <c r="G114" s="236">
        <v>0.12</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216150634</v>
      </c>
      <c r="F117" s="237"/>
    </row>
    <row r="118" spans="1:7" ht="18" customHeight="1" x14ac:dyDescent="0.55000000000000004">
      <c r="A118" s="180" t="s">
        <v>319</v>
      </c>
      <c r="B118" s="176" t="s">
        <v>320</v>
      </c>
      <c r="E118" s="184">
        <v>17048234</v>
      </c>
      <c r="F118" s="237"/>
    </row>
    <row r="119" spans="1:7" ht="18" customHeight="1" x14ac:dyDescent="0.55000000000000004">
      <c r="A119" s="180" t="s">
        <v>321</v>
      </c>
      <c r="B119" s="179" t="s">
        <v>322</v>
      </c>
      <c r="E119" s="217">
        <f>SUM(E117:E118)</f>
        <v>233198868</v>
      </c>
      <c r="F119" s="238"/>
    </row>
    <row r="120" spans="1:7" ht="18" customHeight="1" x14ac:dyDescent="0.55000000000000004">
      <c r="A120" s="180"/>
      <c r="B120" s="179"/>
      <c r="F120" s="212"/>
    </row>
    <row r="121" spans="1:7" ht="18" customHeight="1" x14ac:dyDescent="0.55000000000000004">
      <c r="A121" s="180" t="s">
        <v>323</v>
      </c>
      <c r="B121" s="179" t="s">
        <v>324</v>
      </c>
      <c r="E121" s="184">
        <v>219612494</v>
      </c>
      <c r="F121" s="237"/>
    </row>
    <row r="122" spans="1:7" ht="18" customHeight="1" x14ac:dyDescent="0.55000000000000004">
      <c r="A122" s="180"/>
      <c r="F122" s="212"/>
    </row>
    <row r="123" spans="1:7" ht="18" customHeight="1" x14ac:dyDescent="0.55000000000000004">
      <c r="A123" s="180" t="s">
        <v>325</v>
      </c>
      <c r="B123" s="179" t="s">
        <v>326</v>
      </c>
      <c r="E123" s="184">
        <f>E119-E121</f>
        <v>13586374</v>
      </c>
      <c r="F123" s="237"/>
    </row>
    <row r="124" spans="1:7" ht="18" customHeight="1" x14ac:dyDescent="0.55000000000000004">
      <c r="A124" s="180"/>
      <c r="F124" s="212"/>
    </row>
    <row r="125" spans="1:7" ht="18" customHeight="1" x14ac:dyDescent="0.55000000000000004">
      <c r="A125" s="180" t="s">
        <v>327</v>
      </c>
      <c r="B125" s="179" t="s">
        <v>328</v>
      </c>
      <c r="E125" s="184">
        <v>27323060</v>
      </c>
      <c r="F125" s="237"/>
    </row>
    <row r="126" spans="1:7" ht="18" customHeight="1" x14ac:dyDescent="0.55000000000000004">
      <c r="A126" s="180"/>
      <c r="F126" s="212"/>
    </row>
    <row r="127" spans="1:7" ht="18" customHeight="1" x14ac:dyDescent="0.55000000000000004">
      <c r="A127" s="180" t="s">
        <v>329</v>
      </c>
      <c r="B127" s="179" t="s">
        <v>330</v>
      </c>
      <c r="E127" s="184">
        <f>E123+E125</f>
        <v>40909434</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2434751</v>
      </c>
      <c r="E141" s="239">
        <f>E36</f>
        <v>1171654</v>
      </c>
      <c r="F141" s="239">
        <f>F36</f>
        <v>0</v>
      </c>
      <c r="G141" s="239">
        <f>G36</f>
        <v>195638</v>
      </c>
      <c r="H141" s="239">
        <f>H36</f>
        <v>3410767</v>
      </c>
    </row>
    <row r="142" spans="1:8" ht="18" customHeight="1" x14ac:dyDescent="0.55000000000000004">
      <c r="A142" s="180" t="s">
        <v>150</v>
      </c>
      <c r="B142" s="179" t="s">
        <v>220</v>
      </c>
      <c r="D142" s="239">
        <f>D49</f>
        <v>820849</v>
      </c>
      <c r="E142" s="239">
        <f>E49</f>
        <v>399675</v>
      </c>
      <c r="F142" s="239">
        <f>F49</f>
        <v>0</v>
      </c>
      <c r="G142" s="239">
        <f>G49</f>
        <v>0</v>
      </c>
      <c r="H142" s="239">
        <f>H49</f>
        <v>1220524</v>
      </c>
    </row>
    <row r="143" spans="1:8" ht="18" customHeight="1" x14ac:dyDescent="0.55000000000000004">
      <c r="A143" s="180" t="s">
        <v>269</v>
      </c>
      <c r="B143" s="179" t="s">
        <v>222</v>
      </c>
      <c r="D143" s="239">
        <f>D64</f>
        <v>12132057</v>
      </c>
      <c r="E143" s="239">
        <f>E64</f>
        <v>0</v>
      </c>
      <c r="F143" s="239">
        <f>F64</f>
        <v>36235</v>
      </c>
      <c r="G143" s="239">
        <f>G64</f>
        <v>0</v>
      </c>
      <c r="H143" s="239">
        <f>H64</f>
        <v>12095822</v>
      </c>
    </row>
    <row r="144" spans="1:8" ht="18" customHeight="1" x14ac:dyDescent="0.55000000000000004">
      <c r="A144" s="180" t="s">
        <v>161</v>
      </c>
      <c r="B144" s="179" t="s">
        <v>70</v>
      </c>
      <c r="D144" s="239">
        <f>D74</f>
        <v>57616</v>
      </c>
      <c r="E144" s="239">
        <f>E74</f>
        <v>28808</v>
      </c>
      <c r="F144" s="239">
        <f>F74</f>
        <v>0</v>
      </c>
      <c r="G144" s="239">
        <f>G74</f>
        <v>0</v>
      </c>
      <c r="H144" s="239">
        <f>H74</f>
        <v>86424</v>
      </c>
    </row>
    <row r="145" spans="1:10" ht="18" customHeight="1" x14ac:dyDescent="0.55000000000000004">
      <c r="A145" s="180" t="s">
        <v>171</v>
      </c>
      <c r="B145" s="179" t="s">
        <v>69</v>
      </c>
      <c r="D145" s="239">
        <f>D82</f>
        <v>168871</v>
      </c>
      <c r="E145" s="239">
        <f>E82</f>
        <v>0</v>
      </c>
      <c r="F145" s="239">
        <f>F82</f>
        <v>0</v>
      </c>
      <c r="G145" s="239">
        <f>G82</f>
        <v>0</v>
      </c>
      <c r="H145" s="239">
        <f>H82</f>
        <v>168871</v>
      </c>
    </row>
    <row r="146" spans="1:10" ht="18" customHeight="1" x14ac:dyDescent="0.55000000000000004">
      <c r="A146" s="180" t="s">
        <v>193</v>
      </c>
      <c r="B146" s="179" t="s">
        <v>226</v>
      </c>
      <c r="D146" s="239">
        <f>D98</f>
        <v>439029</v>
      </c>
      <c r="E146" s="239">
        <f>E98</f>
        <v>426</v>
      </c>
      <c r="F146" s="239">
        <f>F98</f>
        <v>0</v>
      </c>
      <c r="G146" s="239">
        <f>G98</f>
        <v>0</v>
      </c>
      <c r="H146" s="239">
        <f>H98</f>
        <v>439455</v>
      </c>
    </row>
    <row r="147" spans="1:10" ht="18" customHeight="1" x14ac:dyDescent="0.55000000000000004">
      <c r="A147" s="180" t="s">
        <v>204</v>
      </c>
      <c r="B147" s="179" t="s">
        <v>71</v>
      </c>
      <c r="D147" s="217">
        <f>D108</f>
        <v>156473</v>
      </c>
      <c r="E147" s="217">
        <f>E108</f>
        <v>78237</v>
      </c>
      <c r="F147" s="217">
        <f>F108</f>
        <v>0</v>
      </c>
      <c r="G147" s="217">
        <f>G108</f>
        <v>0</v>
      </c>
      <c r="H147" s="217">
        <f>H108</f>
        <v>234710</v>
      </c>
    </row>
    <row r="148" spans="1:10" ht="18" customHeight="1" x14ac:dyDescent="0.55000000000000004">
      <c r="A148" s="180" t="s">
        <v>310</v>
      </c>
      <c r="B148" s="179" t="s">
        <v>58</v>
      </c>
      <c r="D148" s="240" t="s">
        <v>245</v>
      </c>
      <c r="E148" s="240" t="s">
        <v>245</v>
      </c>
      <c r="F148" s="240"/>
      <c r="G148" s="240" t="s">
        <v>245</v>
      </c>
      <c r="H148" s="239">
        <f>H111</f>
        <v>856982</v>
      </c>
    </row>
    <row r="149" spans="1:10" ht="18" customHeight="1" x14ac:dyDescent="0.55000000000000004">
      <c r="A149" s="180" t="s">
        <v>215</v>
      </c>
      <c r="B149" s="179" t="s">
        <v>230</v>
      </c>
      <c r="D149" s="217">
        <f>D137</f>
        <v>0</v>
      </c>
      <c r="E149" s="217">
        <f>E137</f>
        <v>0</v>
      </c>
      <c r="F149" s="217">
        <f>F137</f>
        <v>0</v>
      </c>
      <c r="G149" s="217">
        <f>G137</f>
        <v>0</v>
      </c>
      <c r="H149" s="217">
        <f>H137</f>
        <v>0</v>
      </c>
    </row>
    <row r="150" spans="1:10" ht="18" customHeight="1" x14ac:dyDescent="0.55000000000000004">
      <c r="A150" s="180" t="s">
        <v>103</v>
      </c>
      <c r="B150" s="179" t="s">
        <v>104</v>
      </c>
      <c r="D150" s="217">
        <f>D18</f>
        <v>4389560.9382601073</v>
      </c>
      <c r="E150" s="217">
        <f>E18</f>
        <v>0</v>
      </c>
      <c r="F150" s="217">
        <f>F18</f>
        <v>0</v>
      </c>
      <c r="G150" s="217">
        <f>G18</f>
        <v>3637937.0942212716</v>
      </c>
      <c r="H150" s="217">
        <f>H18</f>
        <v>751623.84403883573</v>
      </c>
    </row>
    <row r="151" spans="1:10" ht="18" customHeight="1" x14ac:dyDescent="0.55000000000000004">
      <c r="B151" s="179"/>
      <c r="D151" s="190"/>
      <c r="E151" s="190"/>
      <c r="F151" s="190"/>
      <c r="G151" s="190"/>
      <c r="H151" s="190"/>
    </row>
    <row r="152" spans="1:10" ht="18" customHeight="1" x14ac:dyDescent="0.55000000000000004">
      <c r="A152" s="183" t="s">
        <v>231</v>
      </c>
      <c r="B152" s="179" t="s">
        <v>217</v>
      </c>
      <c r="D152" s="241">
        <f>SUM(D141:D150)</f>
        <v>20599206.938260108</v>
      </c>
      <c r="E152" s="241">
        <f>SUM(E141:E150)</f>
        <v>1678800</v>
      </c>
      <c r="F152" s="241">
        <f>SUM(F141:F150)</f>
        <v>36235</v>
      </c>
      <c r="G152" s="241">
        <f>SUM(G141:G150)</f>
        <v>3833575.0942212716</v>
      </c>
      <c r="H152" s="241">
        <f>SUM(H141:H150)</f>
        <v>19265178.844038837</v>
      </c>
      <c r="I152" s="280"/>
      <c r="J152" s="275"/>
    </row>
    <row r="153" spans="1:10" ht="18" customHeight="1" x14ac:dyDescent="0.55000000000000004">
      <c r="J153" s="275"/>
    </row>
    <row r="154" spans="1:10" ht="18" customHeight="1" x14ac:dyDescent="0.55000000000000004">
      <c r="A154" s="183" t="s">
        <v>339</v>
      </c>
      <c r="B154" s="179" t="s">
        <v>340</v>
      </c>
      <c r="D154" s="242">
        <f>H152/E121</f>
        <v>8.7723510138903282E-2</v>
      </c>
      <c r="E154" s="275" t="s">
        <v>247</v>
      </c>
    </row>
    <row r="155" spans="1:10" ht="18" customHeight="1" x14ac:dyDescent="0.55000000000000004">
      <c r="A155" s="183" t="s">
        <v>341</v>
      </c>
      <c r="B155" s="179" t="s">
        <v>342</v>
      </c>
      <c r="D155" s="242">
        <f>H152/E127</f>
        <v>0.47092264449414861</v>
      </c>
      <c r="E155" s="275" t="s">
        <v>247</v>
      </c>
    </row>
    <row r="158" spans="1:10" ht="18" customHeight="1" x14ac:dyDescent="0.55000000000000004">
      <c r="E158" s="275"/>
    </row>
    <row r="159" spans="1:10" ht="18" customHeight="1" x14ac:dyDescent="0.55000000000000004">
      <c r="E159" s="357"/>
    </row>
    <row r="160" spans="1:10" ht="18" customHeight="1" x14ac:dyDescent="0.55000000000000004">
      <c r="E160" s="275"/>
    </row>
    <row r="163" spans="5:5" ht="18" customHeight="1" x14ac:dyDescent="0.55000000000000004">
      <c r="E163" s="275"/>
    </row>
  </sheetData>
  <mergeCells count="2">
    <mergeCell ref="C2:D2"/>
    <mergeCell ref="B13:D13"/>
  </mergeCells>
  <hyperlinks>
    <hyperlink ref="C11" r:id="rId1" xr:uid="{47D7A4F0-6DFE-4EF4-B7DE-923F09FDA3E3}"/>
  </hyperlinks>
  <pageMargins left="0.7" right="0.7" top="0.75" bottom="0.75" header="0.3" footer="0.3"/>
  <pageSetup orientation="portrait" horizontalDpi="1200" verticalDpi="1200"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3C7BB-660A-41D8-A8F2-30E53D5E0E3F}">
  <sheetPr codeName="Sheet36"/>
  <dimension ref="A1:J158"/>
  <sheetViews>
    <sheetView zoomScaleNormal="100" workbookViewId="0"/>
  </sheetViews>
  <sheetFormatPr defaultColWidth="9" defaultRowHeight="14.4" x14ac:dyDescent="0.55000000000000004"/>
  <cols>
    <col min="1" max="1" width="8.26171875" style="175" customWidth="1"/>
    <col min="2" max="2" width="55.26171875" style="176" bestFit="1" customWidth="1"/>
    <col min="3" max="3" width="12.26171875" style="176" customWidth="1"/>
    <col min="4" max="4" width="17.15625" style="176" customWidth="1"/>
    <col min="5" max="6" width="21.15625" style="176" customWidth="1"/>
    <col min="7" max="7" width="19.68359375" style="176" customWidth="1"/>
    <col min="8" max="8" width="17.6835937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517" t="s">
        <v>699</v>
      </c>
      <c r="D2" s="518"/>
      <c r="E2" s="518"/>
      <c r="F2" s="518"/>
      <c r="G2" s="518"/>
    </row>
    <row r="3" spans="1:8" ht="18" customHeight="1" x14ac:dyDescent="0.55000000000000004">
      <c r="B3" s="179" t="s">
        <v>235</v>
      </c>
    </row>
    <row r="5" spans="1:8" ht="18" customHeight="1" x14ac:dyDescent="0.55000000000000004">
      <c r="B5" s="180" t="s">
        <v>236</v>
      </c>
      <c r="C5" s="522" t="s">
        <v>705</v>
      </c>
      <c r="D5" s="522"/>
      <c r="E5" s="522"/>
      <c r="F5" s="208"/>
    </row>
    <row r="6" spans="1:8" ht="18" customHeight="1" x14ac:dyDescent="0.55000000000000004">
      <c r="B6" s="180" t="s">
        <v>237</v>
      </c>
      <c r="C6" s="516">
        <v>210034</v>
      </c>
      <c r="D6" s="516"/>
      <c r="E6" s="516"/>
      <c r="F6" s="209"/>
    </row>
    <row r="7" spans="1:8" ht="18" customHeight="1" x14ac:dyDescent="0.55000000000000004">
      <c r="B7" s="180" t="s">
        <v>238</v>
      </c>
      <c r="C7" s="512">
        <v>1138</v>
      </c>
      <c r="D7" s="512"/>
      <c r="E7" s="512"/>
      <c r="F7" s="210"/>
    </row>
    <row r="8" spans="1:8" ht="18" customHeight="1" x14ac:dyDescent="0.55000000000000004">
      <c r="C8" s="523"/>
      <c r="D8" s="523"/>
      <c r="E8" s="523"/>
      <c r="F8" s="212"/>
    </row>
    <row r="9" spans="1:8" ht="18" customHeight="1" x14ac:dyDescent="0.55000000000000004">
      <c r="B9" s="180" t="s">
        <v>239</v>
      </c>
      <c r="C9" s="501" t="s">
        <v>701</v>
      </c>
      <c r="D9" s="501"/>
      <c r="E9" s="501"/>
      <c r="F9" s="208"/>
    </row>
    <row r="10" spans="1:8" ht="18" customHeight="1" x14ac:dyDescent="0.55000000000000004">
      <c r="B10" s="180" t="s">
        <v>241</v>
      </c>
      <c r="C10" s="513" t="s">
        <v>702</v>
      </c>
      <c r="D10" s="513"/>
      <c r="E10" s="513"/>
      <c r="F10" s="213"/>
    </row>
    <row r="11" spans="1:8" ht="18" customHeight="1" x14ac:dyDescent="0.55000000000000004">
      <c r="B11" s="180" t="s">
        <v>243</v>
      </c>
      <c r="C11" s="503" t="s">
        <v>706</v>
      </c>
      <c r="D11" s="501"/>
      <c r="E11" s="50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432">
        <v>3390351.8255488523</v>
      </c>
      <c r="E18" s="432"/>
      <c r="F18" s="432"/>
      <c r="G18" s="432">
        <v>2809822.4041317818</v>
      </c>
      <c r="H18" s="249">
        <f>(D18+E18)-G18</f>
        <v>580529.42141707055</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285">
        <v>15526</v>
      </c>
      <c r="E21" s="406">
        <v>597</v>
      </c>
      <c r="F21" s="406"/>
      <c r="G21" s="285">
        <v>100</v>
      </c>
      <c r="H21" s="217">
        <v>16023</v>
      </c>
    </row>
    <row r="22" spans="1:8" ht="18" customHeight="1" x14ac:dyDescent="0.55000000000000004">
      <c r="A22" s="180" t="s">
        <v>112</v>
      </c>
      <c r="B22" s="176" t="s">
        <v>113</v>
      </c>
      <c r="D22" s="285"/>
      <c r="E22" s="406"/>
      <c r="F22" s="406"/>
      <c r="G22" s="285"/>
      <c r="H22" s="217">
        <v>0</v>
      </c>
    </row>
    <row r="23" spans="1:8" ht="18" customHeight="1" x14ac:dyDescent="0.55000000000000004">
      <c r="A23" s="180" t="s">
        <v>114</v>
      </c>
      <c r="B23" s="176" t="s">
        <v>115</v>
      </c>
      <c r="D23" s="285"/>
      <c r="E23" s="406"/>
      <c r="F23" s="406"/>
      <c r="G23" s="285"/>
      <c r="H23" s="217">
        <v>0</v>
      </c>
    </row>
    <row r="24" spans="1:8" ht="18" customHeight="1" x14ac:dyDescent="0.55000000000000004">
      <c r="A24" s="180" t="s">
        <v>116</v>
      </c>
      <c r="B24" s="176" t="s">
        <v>117</v>
      </c>
      <c r="D24" s="285">
        <v>1333895</v>
      </c>
      <c r="E24" s="406">
        <v>1356130</v>
      </c>
      <c r="F24" s="406"/>
      <c r="G24" s="285">
        <v>1317391</v>
      </c>
      <c r="H24" s="217">
        <v>1372634</v>
      </c>
    </row>
    <row r="25" spans="1:8" ht="18" customHeight="1" x14ac:dyDescent="0.55000000000000004">
      <c r="A25" s="180" t="s">
        <v>118</v>
      </c>
      <c r="B25" s="176" t="s">
        <v>119</v>
      </c>
      <c r="D25" s="285">
        <v>212239</v>
      </c>
      <c r="E25" s="406">
        <v>215849</v>
      </c>
      <c r="F25" s="406"/>
      <c r="G25" s="285"/>
      <c r="H25" s="217">
        <v>428088</v>
      </c>
    </row>
    <row r="26" spans="1:8" ht="18" customHeight="1" x14ac:dyDescent="0.55000000000000004">
      <c r="A26" s="180" t="s">
        <v>120</v>
      </c>
      <c r="B26" s="176" t="s">
        <v>121</v>
      </c>
      <c r="D26" s="285"/>
      <c r="E26" s="406"/>
      <c r="F26" s="406"/>
      <c r="G26" s="285"/>
      <c r="H26" s="217">
        <v>0</v>
      </c>
    </row>
    <row r="27" spans="1:8" ht="18" customHeight="1" x14ac:dyDescent="0.55000000000000004">
      <c r="A27" s="180" t="s">
        <v>122</v>
      </c>
      <c r="B27" s="176" t="s">
        <v>246</v>
      </c>
      <c r="D27" s="285">
        <v>25000</v>
      </c>
      <c r="E27" s="406"/>
      <c r="F27" s="406"/>
      <c r="G27" s="285"/>
      <c r="H27" s="217">
        <v>25000</v>
      </c>
    </row>
    <row r="28" spans="1:8" ht="18" customHeight="1" x14ac:dyDescent="0.55000000000000004">
      <c r="A28" s="180" t="s">
        <v>124</v>
      </c>
      <c r="B28" s="176" t="s">
        <v>125</v>
      </c>
      <c r="D28" s="285"/>
      <c r="E28" s="406"/>
      <c r="F28" s="406"/>
      <c r="G28" s="285"/>
      <c r="H28" s="217">
        <v>0</v>
      </c>
    </row>
    <row r="29" spans="1:8" ht="18" customHeight="1" x14ac:dyDescent="0.55000000000000004">
      <c r="A29" s="180" t="s">
        <v>126</v>
      </c>
      <c r="B29" s="176" t="s">
        <v>127</v>
      </c>
      <c r="D29" s="285">
        <v>212339</v>
      </c>
      <c r="E29" s="406"/>
      <c r="F29" s="406"/>
      <c r="G29" s="285">
        <v>7550</v>
      </c>
      <c r="H29" s="217">
        <v>204789</v>
      </c>
    </row>
    <row r="30" spans="1:8" ht="18" customHeight="1" x14ac:dyDescent="0.55000000000000004">
      <c r="A30" s="180" t="s">
        <v>128</v>
      </c>
      <c r="B30" s="185" t="s">
        <v>129</v>
      </c>
      <c r="D30" s="285">
        <v>26984</v>
      </c>
      <c r="E30" s="406"/>
      <c r="F30" s="406"/>
      <c r="G30" s="285"/>
      <c r="H30" s="217">
        <v>26984</v>
      </c>
    </row>
    <row r="31" spans="1:8" ht="18" customHeight="1" x14ac:dyDescent="0.55000000000000004">
      <c r="A31" s="180" t="s">
        <v>130</v>
      </c>
      <c r="B31" s="185"/>
      <c r="D31" s="285"/>
      <c r="E31" s="406"/>
      <c r="F31" s="406"/>
      <c r="G31" s="285"/>
      <c r="H31" s="217">
        <v>0</v>
      </c>
    </row>
    <row r="32" spans="1:8" ht="18" customHeight="1" x14ac:dyDescent="0.55000000000000004">
      <c r="A32" s="180" t="s">
        <v>131</v>
      </c>
      <c r="B32" s="185"/>
      <c r="D32" s="285"/>
      <c r="E32" s="406"/>
      <c r="F32" s="406"/>
      <c r="G32" s="285"/>
      <c r="H32" s="217">
        <v>0</v>
      </c>
    </row>
    <row r="33" spans="1:8" ht="18" customHeight="1" x14ac:dyDescent="0.55000000000000004">
      <c r="A33" s="180" t="s">
        <v>132</v>
      </c>
      <c r="B33" s="185"/>
      <c r="D33" s="285"/>
      <c r="E33" s="406"/>
      <c r="F33" s="406"/>
      <c r="G33" s="285"/>
      <c r="H33" s="217">
        <v>0</v>
      </c>
    </row>
    <row r="34" spans="1:8" ht="18" customHeight="1" x14ac:dyDescent="0.55000000000000004">
      <c r="A34" s="180" t="s">
        <v>133</v>
      </c>
      <c r="B34" s="185"/>
      <c r="D34" s="285"/>
      <c r="E34" s="406"/>
      <c r="F34" s="406"/>
      <c r="G34" s="285"/>
      <c r="H34" s="217">
        <v>0</v>
      </c>
    </row>
    <row r="35" spans="1:8" ht="18" customHeight="1" x14ac:dyDescent="0.55000000000000004">
      <c r="H35" s="186"/>
    </row>
    <row r="36" spans="1:8" ht="18" customHeight="1" x14ac:dyDescent="0.55000000000000004">
      <c r="A36" s="183" t="s">
        <v>134</v>
      </c>
      <c r="B36" s="179" t="s">
        <v>135</v>
      </c>
      <c r="C36" s="179" t="s">
        <v>248</v>
      </c>
      <c r="D36" s="217">
        <v>1825983</v>
      </c>
      <c r="E36" s="217">
        <v>1572576</v>
      </c>
      <c r="F36" s="217">
        <v>0</v>
      </c>
      <c r="G36" s="217">
        <v>1325041</v>
      </c>
      <c r="H36" s="217">
        <v>2073518</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285">
        <v>2296546</v>
      </c>
      <c r="E40" s="406">
        <v>2335588</v>
      </c>
      <c r="F40" s="406"/>
      <c r="G40" s="285"/>
      <c r="H40" s="217">
        <v>4632134</v>
      </c>
    </row>
    <row r="41" spans="1:8" ht="18" customHeight="1" x14ac:dyDescent="0.55000000000000004">
      <c r="A41" s="180" t="s">
        <v>251</v>
      </c>
      <c r="B41" s="176" t="s">
        <v>141</v>
      </c>
      <c r="D41" s="285">
        <v>387912</v>
      </c>
      <c r="E41" s="406">
        <v>394507</v>
      </c>
      <c r="F41" s="406"/>
      <c r="G41" s="285"/>
      <c r="H41" s="217">
        <v>782419</v>
      </c>
    </row>
    <row r="42" spans="1:8" ht="18" customHeight="1" x14ac:dyDescent="0.55000000000000004">
      <c r="A42" s="180" t="s">
        <v>252</v>
      </c>
      <c r="B42" s="176" t="s">
        <v>143</v>
      </c>
      <c r="D42" s="285"/>
      <c r="E42" s="406"/>
      <c r="F42" s="406"/>
      <c r="G42" s="285"/>
      <c r="H42" s="217">
        <v>0</v>
      </c>
    </row>
    <row r="43" spans="1:8" ht="18" customHeight="1" x14ac:dyDescent="0.55000000000000004">
      <c r="A43" s="180" t="s">
        <v>253</v>
      </c>
      <c r="B43" s="176" t="s">
        <v>145</v>
      </c>
      <c r="D43" s="285"/>
      <c r="E43" s="406"/>
      <c r="F43" s="406"/>
      <c r="G43" s="285"/>
      <c r="H43" s="217">
        <v>0</v>
      </c>
    </row>
    <row r="44" spans="1:8" ht="18" customHeight="1" x14ac:dyDescent="0.55000000000000004">
      <c r="A44" s="180" t="s">
        <v>146</v>
      </c>
      <c r="B44" s="185"/>
      <c r="D44" s="433"/>
      <c r="E44" s="328"/>
      <c r="F44" s="328"/>
      <c r="G44" s="433"/>
      <c r="H44" s="217">
        <v>0</v>
      </c>
    </row>
    <row r="45" spans="1:8" ht="18" customHeight="1" x14ac:dyDescent="0.55000000000000004">
      <c r="A45" s="180" t="s">
        <v>147</v>
      </c>
      <c r="B45" s="185"/>
      <c r="D45" s="285"/>
      <c r="E45" s="406"/>
      <c r="F45" s="406"/>
      <c r="G45" s="285"/>
      <c r="H45" s="217">
        <v>0</v>
      </c>
    </row>
    <row r="46" spans="1:8" ht="18" customHeight="1" x14ac:dyDescent="0.55000000000000004">
      <c r="A46" s="180" t="s">
        <v>148</v>
      </c>
      <c r="B46" s="185"/>
      <c r="D46" s="285"/>
      <c r="E46" s="406"/>
      <c r="F46" s="406"/>
      <c r="G46" s="285"/>
      <c r="H46" s="217">
        <v>0</v>
      </c>
    </row>
    <row r="47" spans="1:8" ht="18" customHeight="1" x14ac:dyDescent="0.55000000000000004">
      <c r="A47" s="180" t="s">
        <v>149</v>
      </c>
      <c r="B47" s="185"/>
      <c r="D47" s="285"/>
      <c r="E47" s="406"/>
      <c r="F47" s="406"/>
      <c r="G47" s="285"/>
      <c r="H47" s="217">
        <v>0</v>
      </c>
    </row>
    <row r="49" spans="1:8" ht="18" customHeight="1" x14ac:dyDescent="0.55000000000000004">
      <c r="A49" s="183" t="s">
        <v>150</v>
      </c>
      <c r="B49" s="179" t="s">
        <v>254</v>
      </c>
      <c r="C49" s="179" t="s">
        <v>248</v>
      </c>
      <c r="D49" s="217">
        <v>2684458</v>
      </c>
      <c r="E49" s="217">
        <v>2730095</v>
      </c>
      <c r="F49" s="217">
        <v>0</v>
      </c>
      <c r="G49" s="217">
        <v>0</v>
      </c>
      <c r="H49" s="217">
        <v>5414553</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81">
        <v>20318099</v>
      </c>
      <c r="E53" s="281"/>
      <c r="F53" s="281"/>
      <c r="G53" s="281">
        <v>9499418</v>
      </c>
      <c r="H53" s="217">
        <v>10818681</v>
      </c>
    </row>
    <row r="54" spans="1:8" ht="18" customHeight="1" x14ac:dyDescent="0.55000000000000004">
      <c r="A54" s="180" t="s">
        <v>259</v>
      </c>
      <c r="B54" s="193"/>
      <c r="D54" s="184"/>
      <c r="E54" s="216"/>
      <c r="F54" s="216"/>
      <c r="G54" s="184"/>
      <c r="H54" s="217">
        <v>0</v>
      </c>
    </row>
    <row r="55" spans="1:8" ht="18" customHeight="1" x14ac:dyDescent="0.55000000000000004">
      <c r="A55" s="180" t="s">
        <v>260</v>
      </c>
      <c r="B55" s="194"/>
      <c r="D55" s="184"/>
      <c r="E55" s="216"/>
      <c r="F55" s="216"/>
      <c r="G55" s="184"/>
      <c r="H55" s="217">
        <v>0</v>
      </c>
    </row>
    <row r="56" spans="1:8" ht="18" customHeight="1" x14ac:dyDescent="0.55000000000000004">
      <c r="A56" s="180" t="s">
        <v>261</v>
      </c>
      <c r="B56" s="193"/>
      <c r="D56" s="184"/>
      <c r="E56" s="216"/>
      <c r="F56" s="216"/>
      <c r="G56" s="184"/>
      <c r="H56" s="217">
        <v>0</v>
      </c>
    </row>
    <row r="57" spans="1:8" ht="18" customHeight="1" x14ac:dyDescent="0.55000000000000004">
      <c r="A57" s="180" t="s">
        <v>263</v>
      </c>
      <c r="B57" s="193"/>
      <c r="D57" s="184"/>
      <c r="E57" s="216"/>
      <c r="F57" s="216"/>
      <c r="G57" s="184"/>
      <c r="H57" s="217">
        <v>0</v>
      </c>
    </row>
    <row r="58" spans="1:8" ht="18" customHeight="1" x14ac:dyDescent="0.55000000000000004">
      <c r="A58" s="180" t="s">
        <v>264</v>
      </c>
      <c r="B58" s="193"/>
      <c r="D58" s="184"/>
      <c r="E58" s="216"/>
      <c r="F58" s="216"/>
      <c r="G58" s="184"/>
      <c r="H58" s="217">
        <v>0</v>
      </c>
    </row>
    <row r="59" spans="1:8" ht="18" customHeight="1" x14ac:dyDescent="0.55000000000000004">
      <c r="A59" s="180" t="s">
        <v>265</v>
      </c>
      <c r="B59" s="223"/>
      <c r="D59" s="224"/>
      <c r="E59" s="225"/>
      <c r="F59" s="225"/>
      <c r="G59" s="224"/>
      <c r="H59" s="217">
        <v>0</v>
      </c>
    </row>
    <row r="60" spans="1:8" ht="18" customHeight="1" x14ac:dyDescent="0.55000000000000004">
      <c r="A60" s="180" t="s">
        <v>266</v>
      </c>
      <c r="B60" s="226"/>
      <c r="C60" s="212"/>
      <c r="D60" s="222"/>
      <c r="E60" s="222"/>
      <c r="F60" s="222"/>
      <c r="G60" s="222"/>
      <c r="H60" s="217">
        <v>0</v>
      </c>
    </row>
    <row r="61" spans="1:8" ht="18" customHeight="1" x14ac:dyDescent="0.55000000000000004">
      <c r="A61" s="180" t="s">
        <v>267</v>
      </c>
      <c r="B61" s="226"/>
      <c r="C61" s="212"/>
      <c r="D61" s="222"/>
      <c r="E61" s="222"/>
      <c r="F61" s="222"/>
      <c r="G61" s="222"/>
      <c r="H61" s="217">
        <v>0</v>
      </c>
    </row>
    <row r="62" spans="1:8" ht="18" customHeight="1" x14ac:dyDescent="0.55000000000000004">
      <c r="A62" s="180" t="s">
        <v>268</v>
      </c>
      <c r="B62" s="226"/>
      <c r="C62" s="212"/>
      <c r="D62" s="222"/>
      <c r="E62" s="222"/>
      <c r="F62" s="222"/>
      <c r="G62" s="222"/>
      <c r="H62" s="217">
        <v>0</v>
      </c>
    </row>
    <row r="63" spans="1:8" ht="18" customHeight="1" x14ac:dyDescent="0.55000000000000004">
      <c r="A63" s="180"/>
      <c r="E63" s="227"/>
      <c r="F63" s="192"/>
    </row>
    <row r="64" spans="1:8" ht="18" customHeight="1" x14ac:dyDescent="0.55000000000000004">
      <c r="A64" s="180" t="s">
        <v>269</v>
      </c>
      <c r="B64" s="179" t="s">
        <v>270</v>
      </c>
      <c r="C64" s="179" t="s">
        <v>248</v>
      </c>
      <c r="D64" s="217">
        <v>20318099</v>
      </c>
      <c r="E64" s="217">
        <v>0</v>
      </c>
      <c r="F64" s="217">
        <v>0</v>
      </c>
      <c r="G64" s="217">
        <v>9499418</v>
      </c>
      <c r="H64" s="217">
        <v>10818681</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v>0</v>
      </c>
      <c r="J68" s="254"/>
    </row>
    <row r="69" spans="1:10" ht="18" customHeight="1" x14ac:dyDescent="0.55000000000000004">
      <c r="A69" s="180" t="s">
        <v>273</v>
      </c>
      <c r="B69" s="176" t="s">
        <v>159</v>
      </c>
      <c r="D69" s="228"/>
      <c r="E69" s="216"/>
      <c r="F69" s="216"/>
      <c r="G69" s="228"/>
      <c r="H69" s="217">
        <v>0</v>
      </c>
    </row>
    <row r="70" spans="1:10" ht="18" customHeight="1" x14ac:dyDescent="0.55000000000000004">
      <c r="A70" s="180" t="s">
        <v>274</v>
      </c>
      <c r="B70" s="193"/>
      <c r="C70" s="179"/>
      <c r="D70" s="224"/>
      <c r="E70" s="216"/>
      <c r="F70" s="225"/>
      <c r="G70" s="224"/>
      <c r="H70" s="217">
        <v>0</v>
      </c>
    </row>
    <row r="71" spans="1:10" ht="18" customHeight="1" x14ac:dyDescent="0.55000000000000004">
      <c r="A71" s="180" t="s">
        <v>275</v>
      </c>
      <c r="B71" s="193"/>
      <c r="C71" s="179"/>
      <c r="D71" s="224"/>
      <c r="E71" s="216"/>
      <c r="F71" s="225"/>
      <c r="G71" s="224"/>
      <c r="H71" s="217">
        <v>0</v>
      </c>
    </row>
    <row r="72" spans="1:10" ht="18" customHeight="1" x14ac:dyDescent="0.55000000000000004">
      <c r="A72" s="180" t="s">
        <v>276</v>
      </c>
      <c r="B72" s="194"/>
      <c r="C72" s="179"/>
      <c r="D72" s="184"/>
      <c r="E72" s="216"/>
      <c r="F72" s="216"/>
      <c r="G72" s="184"/>
      <c r="H72" s="217">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v>0</v>
      </c>
      <c r="E74" s="229">
        <v>0</v>
      </c>
      <c r="F74" s="229">
        <v>0</v>
      </c>
      <c r="G74" s="217">
        <v>0</v>
      </c>
      <c r="H74" s="217">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15971</v>
      </c>
      <c r="E77" s="230"/>
      <c r="F77" s="220"/>
      <c r="G77" s="184"/>
      <c r="H77" s="217">
        <f>D77-G77</f>
        <v>15971</v>
      </c>
    </row>
    <row r="78" spans="1:10" ht="18" customHeight="1" x14ac:dyDescent="0.55000000000000004">
      <c r="A78" s="180" t="s">
        <v>281</v>
      </c>
      <c r="B78" s="176" t="s">
        <v>166</v>
      </c>
      <c r="D78" s="184"/>
      <c r="E78" s="230"/>
      <c r="F78" s="220"/>
      <c r="G78" s="184"/>
      <c r="H78" s="217">
        <f>D78-G78</f>
        <v>0</v>
      </c>
    </row>
    <row r="79" spans="1:10" ht="18" customHeight="1" x14ac:dyDescent="0.55000000000000004">
      <c r="A79" s="180" t="s">
        <v>282</v>
      </c>
      <c r="B79" s="176" t="s">
        <v>168</v>
      </c>
      <c r="D79" s="184">
        <v>146923</v>
      </c>
      <c r="E79" s="230">
        <v>1818</v>
      </c>
      <c r="F79" s="220"/>
      <c r="G79" s="184"/>
      <c r="H79" s="217">
        <f>D79-G79</f>
        <v>146923</v>
      </c>
    </row>
    <row r="80" spans="1:10" ht="18" customHeight="1" x14ac:dyDescent="0.55000000000000004">
      <c r="A80" s="180" t="s">
        <v>283</v>
      </c>
      <c r="B80" s="176" t="s">
        <v>170</v>
      </c>
      <c r="D80" s="184"/>
      <c r="E80" s="230"/>
      <c r="F80" s="220"/>
      <c r="G80" s="184"/>
      <c r="H80" s="217">
        <f>D80-G80</f>
        <v>0</v>
      </c>
    </row>
    <row r="81" spans="1:8" ht="18" customHeight="1" x14ac:dyDescent="0.55000000000000004">
      <c r="A81" s="180"/>
      <c r="H81" s="196"/>
    </row>
    <row r="82" spans="1:8" ht="18" customHeight="1" x14ac:dyDescent="0.55000000000000004">
      <c r="A82" s="180" t="s">
        <v>171</v>
      </c>
      <c r="B82" s="179" t="s">
        <v>284</v>
      </c>
      <c r="C82" s="179" t="s">
        <v>248</v>
      </c>
      <c r="D82" s="217">
        <v>162894</v>
      </c>
      <c r="E82" s="215">
        <v>1818</v>
      </c>
      <c r="F82" s="217">
        <v>0</v>
      </c>
      <c r="G82" s="217">
        <v>0</v>
      </c>
      <c r="H82" s="217">
        <f>D82-G82</f>
        <v>162894</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285">
        <v>26000</v>
      </c>
      <c r="E86" s="216"/>
      <c r="F86" s="216"/>
      <c r="G86" s="184"/>
      <c r="H86" s="217">
        <v>26000</v>
      </c>
    </row>
    <row r="87" spans="1:8" ht="18" customHeight="1" x14ac:dyDescent="0.55000000000000004">
      <c r="A87" s="180" t="s">
        <v>287</v>
      </c>
      <c r="B87" s="176" t="s">
        <v>177</v>
      </c>
      <c r="D87" s="285">
        <v>3050</v>
      </c>
      <c r="E87" s="216"/>
      <c r="F87" s="216"/>
      <c r="G87" s="184"/>
      <c r="H87" s="217">
        <v>3050</v>
      </c>
    </row>
    <row r="88" spans="1:8" ht="18" customHeight="1" x14ac:dyDescent="0.55000000000000004">
      <c r="A88" s="180" t="s">
        <v>288</v>
      </c>
      <c r="B88" s="176" t="s">
        <v>289</v>
      </c>
      <c r="D88" s="285">
        <v>2481</v>
      </c>
      <c r="E88" s="216"/>
      <c r="F88" s="216"/>
      <c r="G88" s="184"/>
      <c r="H88" s="217">
        <v>2481</v>
      </c>
    </row>
    <row r="89" spans="1:8" ht="18" customHeight="1" x14ac:dyDescent="0.55000000000000004">
      <c r="A89" s="180" t="s">
        <v>290</v>
      </c>
      <c r="B89" s="176" t="s">
        <v>181</v>
      </c>
      <c r="D89" s="285">
        <v>13390</v>
      </c>
      <c r="E89" s="216"/>
      <c r="F89" s="216"/>
      <c r="G89" s="184"/>
      <c r="H89" s="217">
        <v>13390</v>
      </c>
    </row>
    <row r="90" spans="1:8" ht="18" customHeight="1" x14ac:dyDescent="0.55000000000000004">
      <c r="A90" s="180" t="s">
        <v>291</v>
      </c>
      <c r="B90" s="176" t="s">
        <v>183</v>
      </c>
      <c r="D90" s="285"/>
      <c r="E90" s="216"/>
      <c r="F90" s="216"/>
      <c r="G90" s="184"/>
      <c r="H90" s="217">
        <v>0</v>
      </c>
    </row>
    <row r="91" spans="1:8" ht="18" customHeight="1" x14ac:dyDescent="0.55000000000000004">
      <c r="A91" s="180" t="s">
        <v>292</v>
      </c>
      <c r="B91" s="176" t="s">
        <v>185</v>
      </c>
      <c r="D91" s="285"/>
      <c r="E91" s="216"/>
      <c r="F91" s="216"/>
      <c r="G91" s="184"/>
      <c r="H91" s="217">
        <v>0</v>
      </c>
    </row>
    <row r="92" spans="1:8" ht="18" customHeight="1" x14ac:dyDescent="0.55000000000000004">
      <c r="A92" s="180" t="s">
        <v>293</v>
      </c>
      <c r="B92" s="176" t="s">
        <v>294</v>
      </c>
      <c r="D92" s="434">
        <v>42701</v>
      </c>
      <c r="E92" s="216"/>
      <c r="F92" s="234"/>
      <c r="G92" s="233"/>
      <c r="H92" s="217">
        <v>42701</v>
      </c>
    </row>
    <row r="93" spans="1:8" ht="18" customHeight="1" x14ac:dyDescent="0.55000000000000004">
      <c r="A93" s="180" t="s">
        <v>295</v>
      </c>
      <c r="B93" s="176" t="s">
        <v>296</v>
      </c>
      <c r="D93" s="285"/>
      <c r="E93" s="216"/>
      <c r="F93" s="216"/>
      <c r="G93" s="184"/>
      <c r="H93" s="217">
        <v>0</v>
      </c>
    </row>
    <row r="94" spans="1:8" ht="18" customHeight="1" x14ac:dyDescent="0.55000000000000004">
      <c r="A94" s="180" t="s">
        <v>297</v>
      </c>
      <c r="B94" s="193"/>
      <c r="D94" s="285"/>
      <c r="E94" s="216"/>
      <c r="F94" s="216"/>
      <c r="G94" s="184"/>
      <c r="H94" s="217">
        <v>0</v>
      </c>
    </row>
    <row r="95" spans="1:8" ht="18" customHeight="1" x14ac:dyDescent="0.55000000000000004">
      <c r="A95" s="180" t="s">
        <v>298</v>
      </c>
      <c r="B95" s="193"/>
      <c r="D95" s="285"/>
      <c r="E95" s="216"/>
      <c r="F95" s="216"/>
      <c r="G95" s="184"/>
      <c r="H95" s="217">
        <v>0</v>
      </c>
    </row>
    <row r="96" spans="1:8" ht="18" customHeight="1" x14ac:dyDescent="0.55000000000000004">
      <c r="A96" s="180" t="s">
        <v>299</v>
      </c>
      <c r="B96" s="193"/>
      <c r="D96" s="285"/>
      <c r="E96" s="216"/>
      <c r="F96" s="216"/>
      <c r="G96" s="184"/>
      <c r="H96" s="217">
        <v>0</v>
      </c>
    </row>
    <row r="97" spans="1:8" ht="18" customHeight="1" x14ac:dyDescent="0.55000000000000004">
      <c r="A97" s="180"/>
    </row>
    <row r="98" spans="1:8" ht="18" customHeight="1" x14ac:dyDescent="0.55000000000000004">
      <c r="A98" s="183" t="s">
        <v>193</v>
      </c>
      <c r="B98" s="179" t="s">
        <v>300</v>
      </c>
      <c r="C98" s="179" t="s">
        <v>248</v>
      </c>
      <c r="D98" s="217">
        <v>87622</v>
      </c>
      <c r="E98" s="217">
        <v>0</v>
      </c>
      <c r="F98" s="217">
        <v>0</v>
      </c>
      <c r="G98" s="217">
        <v>0</v>
      </c>
      <c r="H98" s="217">
        <v>87622</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285">
        <v>165947</v>
      </c>
      <c r="E102" s="406">
        <v>109690</v>
      </c>
      <c r="F102" s="406"/>
      <c r="G102" s="285"/>
      <c r="H102" s="217">
        <v>275637</v>
      </c>
    </row>
    <row r="103" spans="1:8" ht="18" customHeight="1" x14ac:dyDescent="0.55000000000000004">
      <c r="A103" s="180" t="s">
        <v>304</v>
      </c>
      <c r="B103" s="176" t="s">
        <v>199</v>
      </c>
      <c r="D103" s="285">
        <v>6852</v>
      </c>
      <c r="E103" s="406"/>
      <c r="F103" s="406"/>
      <c r="G103" s="285"/>
      <c r="H103" s="217">
        <v>6852</v>
      </c>
    </row>
    <row r="104" spans="1:8" ht="18" customHeight="1" x14ac:dyDescent="0.55000000000000004">
      <c r="A104" s="180" t="s">
        <v>305</v>
      </c>
      <c r="B104" s="193" t="s">
        <v>129</v>
      </c>
      <c r="D104" s="285">
        <v>63701</v>
      </c>
      <c r="E104" s="406"/>
      <c r="F104" s="406"/>
      <c r="G104" s="285"/>
      <c r="H104" s="217">
        <v>63701</v>
      </c>
    </row>
    <row r="105" spans="1:8" ht="18" customHeight="1" x14ac:dyDescent="0.55000000000000004">
      <c r="A105" s="180" t="s">
        <v>306</v>
      </c>
      <c r="B105" s="193"/>
      <c r="D105" s="285"/>
      <c r="E105" s="406"/>
      <c r="F105" s="406"/>
      <c r="G105" s="285"/>
      <c r="H105" s="217">
        <v>0</v>
      </c>
    </row>
    <row r="106" spans="1:8" ht="18" customHeight="1" x14ac:dyDescent="0.55000000000000004">
      <c r="A106" s="180" t="s">
        <v>307</v>
      </c>
      <c r="B106" s="193"/>
      <c r="D106" s="285"/>
      <c r="E106" s="406"/>
      <c r="F106" s="406"/>
      <c r="G106" s="285"/>
      <c r="H106" s="217">
        <v>0</v>
      </c>
    </row>
    <row r="107" spans="1:8" ht="18" customHeight="1" x14ac:dyDescent="0.55000000000000004">
      <c r="B107" s="179"/>
    </row>
    <row r="108" spans="1:8" ht="18" customHeight="1" x14ac:dyDescent="0.55000000000000004">
      <c r="A108" s="183" t="s">
        <v>204</v>
      </c>
      <c r="B108" s="179" t="s">
        <v>308</v>
      </c>
      <c r="C108" s="179" t="s">
        <v>248</v>
      </c>
      <c r="D108" s="217">
        <v>236500</v>
      </c>
      <c r="E108" s="217">
        <v>109690</v>
      </c>
      <c r="F108" s="217">
        <v>0</v>
      </c>
      <c r="G108" s="217">
        <v>0</v>
      </c>
      <c r="H108" s="217">
        <v>346190</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3598223</v>
      </c>
      <c r="G111" s="184"/>
      <c r="H111" s="217">
        <v>3598223</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1.0172000000000001</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285">
        <v>179719334</v>
      </c>
      <c r="F117" s="237"/>
    </row>
    <row r="118" spans="1:7" ht="18" customHeight="1" x14ac:dyDescent="0.55000000000000004">
      <c r="A118" s="180" t="s">
        <v>319</v>
      </c>
      <c r="B118" s="176" t="s">
        <v>320</v>
      </c>
      <c r="E118" s="285">
        <v>20249255</v>
      </c>
      <c r="F118" s="237"/>
    </row>
    <row r="119" spans="1:7" ht="18" customHeight="1" x14ac:dyDescent="0.55000000000000004">
      <c r="A119" s="180" t="s">
        <v>321</v>
      </c>
      <c r="B119" s="179" t="s">
        <v>322</v>
      </c>
      <c r="E119" s="217">
        <v>199968589</v>
      </c>
      <c r="F119" s="238"/>
    </row>
    <row r="120" spans="1:7" ht="18" customHeight="1" x14ac:dyDescent="0.55000000000000004">
      <c r="A120" s="180"/>
      <c r="B120" s="179"/>
      <c r="F120" s="212"/>
    </row>
    <row r="121" spans="1:7" ht="18" customHeight="1" x14ac:dyDescent="0.55000000000000004">
      <c r="A121" s="180" t="s">
        <v>323</v>
      </c>
      <c r="B121" s="179" t="s">
        <v>324</v>
      </c>
      <c r="E121" s="285">
        <v>207141258</v>
      </c>
      <c r="F121" s="237"/>
    </row>
    <row r="122" spans="1:7" ht="18" customHeight="1" x14ac:dyDescent="0.55000000000000004">
      <c r="A122" s="180"/>
      <c r="F122" s="212"/>
    </row>
    <row r="123" spans="1:7" ht="18" customHeight="1" x14ac:dyDescent="0.55000000000000004">
      <c r="A123" s="180" t="s">
        <v>325</v>
      </c>
      <c r="B123" s="179" t="s">
        <v>326</v>
      </c>
      <c r="E123" s="285">
        <v>-7172669</v>
      </c>
      <c r="F123" s="237"/>
    </row>
    <row r="124" spans="1:7" ht="18" customHeight="1" x14ac:dyDescent="0.55000000000000004">
      <c r="A124" s="180"/>
      <c r="F124" s="212"/>
    </row>
    <row r="125" spans="1:7" ht="18" customHeight="1" x14ac:dyDescent="0.55000000000000004">
      <c r="A125" s="180" t="s">
        <v>327</v>
      </c>
      <c r="B125" s="179" t="s">
        <v>328</v>
      </c>
      <c r="E125" s="285">
        <v>718976</v>
      </c>
      <c r="F125" s="237"/>
    </row>
    <row r="126" spans="1:7" ht="18" customHeight="1" x14ac:dyDescent="0.55000000000000004">
      <c r="A126" s="180"/>
      <c r="F126" s="212"/>
    </row>
    <row r="127" spans="1:7" ht="18" customHeight="1" x14ac:dyDescent="0.55000000000000004">
      <c r="A127" s="180" t="s">
        <v>329</v>
      </c>
      <c r="B127" s="179" t="s">
        <v>330</v>
      </c>
      <c r="E127" s="285">
        <v>-6453692</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v>0</v>
      </c>
    </row>
    <row r="132" spans="1:8" ht="18" customHeight="1" x14ac:dyDescent="0.55000000000000004">
      <c r="A132" s="180" t="s">
        <v>333</v>
      </c>
      <c r="B132" s="176" t="s">
        <v>68</v>
      </c>
      <c r="D132" s="184"/>
      <c r="E132" s="216"/>
      <c r="F132" s="216"/>
      <c r="G132" s="184"/>
      <c r="H132" s="217">
        <v>0</v>
      </c>
    </row>
    <row r="133" spans="1:8" ht="18" customHeight="1" x14ac:dyDescent="0.55000000000000004">
      <c r="A133" s="180" t="s">
        <v>334</v>
      </c>
      <c r="B133" s="185"/>
      <c r="D133" s="184"/>
      <c r="E133" s="216"/>
      <c r="F133" s="216"/>
      <c r="G133" s="184"/>
      <c r="H133" s="217">
        <v>0</v>
      </c>
    </row>
    <row r="134" spans="1:8" ht="18" customHeight="1" x14ac:dyDescent="0.55000000000000004">
      <c r="A134" s="180" t="s">
        <v>335</v>
      </c>
      <c r="B134" s="185"/>
      <c r="D134" s="184"/>
      <c r="E134" s="216"/>
      <c r="F134" s="216"/>
      <c r="G134" s="184"/>
      <c r="H134" s="217">
        <v>0</v>
      </c>
    </row>
    <row r="135" spans="1:8" ht="18" customHeight="1" x14ac:dyDescent="0.55000000000000004">
      <c r="A135" s="180" t="s">
        <v>336</v>
      </c>
      <c r="B135" s="185"/>
      <c r="D135" s="184"/>
      <c r="E135" s="216"/>
      <c r="F135" s="216"/>
      <c r="G135" s="184"/>
      <c r="H135" s="217">
        <v>0</v>
      </c>
    </row>
    <row r="136" spans="1:8" ht="18" customHeight="1" x14ac:dyDescent="0.55000000000000004">
      <c r="A136" s="183"/>
    </row>
    <row r="137" spans="1:8" ht="18" customHeight="1" x14ac:dyDescent="0.55000000000000004">
      <c r="A137" s="183" t="s">
        <v>215</v>
      </c>
      <c r="B137" s="179" t="s">
        <v>337</v>
      </c>
      <c r="D137" s="217">
        <v>0</v>
      </c>
      <c r="E137" s="217">
        <v>0</v>
      </c>
      <c r="F137" s="217">
        <v>0</v>
      </c>
      <c r="G137" s="217">
        <v>0</v>
      </c>
      <c r="H137" s="217">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v>1825983</v>
      </c>
      <c r="E141" s="239">
        <v>1572576</v>
      </c>
      <c r="F141" s="239">
        <v>0</v>
      </c>
      <c r="G141" s="239">
        <v>1325041</v>
      </c>
      <c r="H141" s="239">
        <v>2073518</v>
      </c>
    </row>
    <row r="142" spans="1:8" ht="18" customHeight="1" x14ac:dyDescent="0.55000000000000004">
      <c r="A142" s="180" t="s">
        <v>150</v>
      </c>
      <c r="B142" s="179" t="s">
        <v>220</v>
      </c>
      <c r="D142" s="239">
        <v>2684458</v>
      </c>
      <c r="E142" s="239">
        <v>2730095</v>
      </c>
      <c r="F142" s="239">
        <v>0</v>
      </c>
      <c r="G142" s="239">
        <v>0</v>
      </c>
      <c r="H142" s="239">
        <v>5414553</v>
      </c>
    </row>
    <row r="143" spans="1:8" ht="18" customHeight="1" x14ac:dyDescent="0.55000000000000004">
      <c r="A143" s="180" t="s">
        <v>269</v>
      </c>
      <c r="B143" s="179" t="s">
        <v>222</v>
      </c>
      <c r="D143" s="239">
        <v>20318099</v>
      </c>
      <c r="E143" s="239">
        <v>0</v>
      </c>
      <c r="F143" s="239">
        <v>0</v>
      </c>
      <c r="G143" s="239">
        <v>9499418</v>
      </c>
      <c r="H143" s="239">
        <v>10818681</v>
      </c>
    </row>
    <row r="144" spans="1:8" ht="18" customHeight="1" x14ac:dyDescent="0.55000000000000004">
      <c r="A144" s="180" t="s">
        <v>161</v>
      </c>
      <c r="B144" s="179" t="s">
        <v>70</v>
      </c>
      <c r="D144" s="239">
        <v>0</v>
      </c>
      <c r="E144" s="239">
        <v>0</v>
      </c>
      <c r="F144" s="239">
        <v>0</v>
      </c>
      <c r="G144" s="239">
        <v>0</v>
      </c>
      <c r="H144" s="239">
        <v>0</v>
      </c>
    </row>
    <row r="145" spans="1:8" ht="18" customHeight="1" x14ac:dyDescent="0.55000000000000004">
      <c r="A145" s="180" t="s">
        <v>171</v>
      </c>
      <c r="B145" s="179" t="s">
        <v>69</v>
      </c>
      <c r="D145" s="239">
        <v>162894</v>
      </c>
      <c r="E145" s="239">
        <v>1818</v>
      </c>
      <c r="F145" s="239">
        <v>0</v>
      </c>
      <c r="G145" s="239">
        <v>0</v>
      </c>
      <c r="H145" s="239">
        <f>H82</f>
        <v>162894</v>
      </c>
    </row>
    <row r="146" spans="1:8" ht="18" customHeight="1" x14ac:dyDescent="0.55000000000000004">
      <c r="A146" s="180" t="s">
        <v>193</v>
      </c>
      <c r="B146" s="179" t="s">
        <v>226</v>
      </c>
      <c r="D146" s="239">
        <v>87622</v>
      </c>
      <c r="E146" s="239">
        <v>0</v>
      </c>
      <c r="F146" s="239">
        <v>0</v>
      </c>
      <c r="G146" s="239">
        <v>0</v>
      </c>
      <c r="H146" s="239">
        <v>87622</v>
      </c>
    </row>
    <row r="147" spans="1:8" ht="18" customHeight="1" x14ac:dyDescent="0.55000000000000004">
      <c r="A147" s="180" t="s">
        <v>204</v>
      </c>
      <c r="B147" s="179" t="s">
        <v>71</v>
      </c>
      <c r="D147" s="217">
        <v>236500</v>
      </c>
      <c r="E147" s="217">
        <v>109690</v>
      </c>
      <c r="F147" s="217">
        <v>0</v>
      </c>
      <c r="G147" s="217">
        <v>0</v>
      </c>
      <c r="H147" s="217">
        <v>346190</v>
      </c>
    </row>
    <row r="148" spans="1:8" ht="18" customHeight="1" x14ac:dyDescent="0.55000000000000004">
      <c r="A148" s="180" t="s">
        <v>310</v>
      </c>
      <c r="B148" s="179" t="s">
        <v>58</v>
      </c>
      <c r="D148" s="240" t="s">
        <v>245</v>
      </c>
      <c r="E148" s="240" t="s">
        <v>245</v>
      </c>
      <c r="F148" s="240"/>
      <c r="G148" s="240" t="s">
        <v>245</v>
      </c>
      <c r="H148" s="239">
        <v>3598223</v>
      </c>
    </row>
    <row r="149" spans="1:8" ht="18" customHeight="1" x14ac:dyDescent="0.55000000000000004">
      <c r="A149" s="180" t="s">
        <v>215</v>
      </c>
      <c r="B149" s="179" t="s">
        <v>230</v>
      </c>
      <c r="D149" s="217">
        <v>0</v>
      </c>
      <c r="E149" s="217">
        <v>0</v>
      </c>
      <c r="F149" s="217">
        <v>0</v>
      </c>
      <c r="G149" s="217">
        <v>0</v>
      </c>
      <c r="H149" s="217">
        <v>0</v>
      </c>
    </row>
    <row r="150" spans="1:8" ht="18" customHeight="1" x14ac:dyDescent="0.55000000000000004">
      <c r="A150" s="180" t="s">
        <v>103</v>
      </c>
      <c r="B150" s="179" t="s">
        <v>104</v>
      </c>
      <c r="D150" s="217">
        <f>D18</f>
        <v>3390351.8255488523</v>
      </c>
      <c r="E150" s="217">
        <f>E18</f>
        <v>0</v>
      </c>
      <c r="F150" s="217">
        <f>F18</f>
        <v>0</v>
      </c>
      <c r="G150" s="217">
        <f>G18</f>
        <v>2809822.4041317818</v>
      </c>
      <c r="H150" s="217">
        <f>H18</f>
        <v>580529.42141707055</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v>28346134</v>
      </c>
      <c r="E152" s="241">
        <v>4414179</v>
      </c>
      <c r="F152" s="241">
        <v>0</v>
      </c>
      <c r="G152" s="241">
        <v>13274508</v>
      </c>
      <c r="H152" s="241">
        <f>SUM(H141:H150)</f>
        <v>23082210.421417072</v>
      </c>
    </row>
    <row r="154" spans="1:8" ht="18" customHeight="1" x14ac:dyDescent="0.55000000000000004">
      <c r="A154" s="183" t="s">
        <v>339</v>
      </c>
      <c r="B154" s="179" t="s">
        <v>340</v>
      </c>
      <c r="D154" s="242">
        <v>0.11144099549689902</v>
      </c>
    </row>
    <row r="155" spans="1:8" ht="18" customHeight="1" x14ac:dyDescent="0.55000000000000004">
      <c r="A155" s="183" t="s">
        <v>341</v>
      </c>
      <c r="B155" s="179" t="s">
        <v>342</v>
      </c>
      <c r="D155" s="242">
        <v>-3.5768716573397059</v>
      </c>
    </row>
    <row r="157" spans="1:8" ht="18" customHeight="1" x14ac:dyDescent="0.55000000000000004">
      <c r="D157" s="275"/>
      <c r="E157" s="275"/>
      <c r="F157" s="275"/>
      <c r="G157" s="275"/>
    </row>
    <row r="158" spans="1:8" ht="18" customHeight="1" x14ac:dyDescent="0.55000000000000004">
      <c r="D158" s="275"/>
    </row>
  </sheetData>
  <mergeCells count="9">
    <mergeCell ref="C10:E10"/>
    <mergeCell ref="C11:E11"/>
    <mergeCell ref="B13:D13"/>
    <mergeCell ref="C2:G2"/>
    <mergeCell ref="C5:E5"/>
    <mergeCell ref="C6:E6"/>
    <mergeCell ref="C7:E7"/>
    <mergeCell ref="C8:E8"/>
    <mergeCell ref="C9:E9"/>
  </mergeCells>
  <hyperlinks>
    <hyperlink ref="C11" r:id="rId1" xr:uid="{0B597E00-1249-4383-B26B-839703573B3E}"/>
  </hyperlinks>
  <pageMargins left="0.7" right="0.7" top="0.75" bottom="0.75" header="0.3" footer="0.3"/>
  <pageSetup orientation="portrait" horizontalDpi="1200" verticalDpi="1200"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7CA95-7C27-4F71-A424-32E9E3C49C96}">
  <sheetPr codeName="Sheet37"/>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01" t="s">
        <v>566</v>
      </c>
      <c r="D5" s="501"/>
      <c r="E5" s="501"/>
      <c r="F5" s="208"/>
    </row>
    <row r="6" spans="1:8" ht="18" customHeight="1" x14ac:dyDescent="0.55000000000000004">
      <c r="B6" s="180" t="s">
        <v>237</v>
      </c>
      <c r="C6" s="244"/>
      <c r="D6" s="244"/>
      <c r="E6" s="244"/>
      <c r="F6" s="209"/>
    </row>
    <row r="7" spans="1:8" ht="18" customHeight="1" x14ac:dyDescent="0.55000000000000004">
      <c r="B7" s="180" t="s">
        <v>238</v>
      </c>
      <c r="C7" s="246"/>
      <c r="D7" s="246"/>
      <c r="E7" s="246"/>
      <c r="F7" s="210"/>
    </row>
    <row r="8" spans="1:8" ht="18" customHeight="1" x14ac:dyDescent="0.55000000000000004">
      <c r="C8" s="211"/>
      <c r="D8" s="211"/>
      <c r="E8" s="211"/>
      <c r="F8" s="212"/>
    </row>
    <row r="9" spans="1:8" ht="18" customHeight="1" x14ac:dyDescent="0.55000000000000004">
      <c r="B9" s="180" t="s">
        <v>239</v>
      </c>
      <c r="C9" s="501" t="s">
        <v>567</v>
      </c>
      <c r="D9" s="501"/>
      <c r="E9" s="501"/>
      <c r="F9" s="208"/>
    </row>
    <row r="10" spans="1:8" ht="18" customHeight="1" x14ac:dyDescent="0.55000000000000004">
      <c r="B10" s="180" t="s">
        <v>241</v>
      </c>
      <c r="C10" s="505" t="s">
        <v>568</v>
      </c>
      <c r="D10" s="505"/>
      <c r="E10" s="505"/>
      <c r="F10" s="213"/>
    </row>
    <row r="11" spans="1:8" ht="18" customHeight="1" x14ac:dyDescent="0.55000000000000004">
      <c r="B11" s="180" t="s">
        <v>243</v>
      </c>
      <c r="C11" s="503" t="s">
        <v>569</v>
      </c>
      <c r="D11" s="501"/>
      <c r="E11" s="50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2896800.5812950302</v>
      </c>
      <c r="E18" s="214"/>
      <c r="F18" s="214"/>
      <c r="G18" s="214">
        <v>2400781.8634890704</v>
      </c>
      <c r="H18" s="249">
        <f>(D18+E18)-G18</f>
        <v>496018.71780595975</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60863</v>
      </c>
      <c r="E21" s="216">
        <v>47881</v>
      </c>
      <c r="F21" s="216"/>
      <c r="G21" s="184"/>
      <c r="H21" s="217">
        <f>(D21+E21)-F21-G21</f>
        <v>108744</v>
      </c>
    </row>
    <row r="22" spans="1:8" ht="18" customHeight="1" x14ac:dyDescent="0.55000000000000004">
      <c r="A22" s="180" t="s">
        <v>112</v>
      </c>
      <c r="B22" s="176" t="s">
        <v>113</v>
      </c>
      <c r="D22" s="184"/>
      <c r="E22" s="216"/>
      <c r="F22" s="216"/>
      <c r="G22" s="184"/>
      <c r="H22" s="217">
        <f t="shared" ref="H22:H34" si="0">(D22+E22)-F22-G22</f>
        <v>0</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v>590420</v>
      </c>
      <c r="E24" s="216">
        <v>472338</v>
      </c>
      <c r="F24" s="216"/>
      <c r="G24" s="184"/>
      <c r="H24" s="217">
        <f t="shared" si="0"/>
        <v>1062758</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v>473516</v>
      </c>
      <c r="E29" s="216">
        <v>343060</v>
      </c>
      <c r="F29" s="216">
        <v>233155</v>
      </c>
      <c r="G29" s="184"/>
      <c r="H29" s="217">
        <f t="shared" si="0"/>
        <v>583421</v>
      </c>
    </row>
    <row r="30" spans="1:8" ht="18" customHeight="1" x14ac:dyDescent="0.55000000000000004">
      <c r="A30" s="180" t="s">
        <v>128</v>
      </c>
      <c r="B30" s="185" t="s">
        <v>129</v>
      </c>
      <c r="D30" s="184">
        <v>23141</v>
      </c>
      <c r="E30" s="216">
        <v>18513</v>
      </c>
      <c r="F30" s="216"/>
      <c r="G30" s="184"/>
      <c r="H30" s="217">
        <f t="shared" si="0"/>
        <v>41654</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1147940</v>
      </c>
      <c r="E36" s="217">
        <f>SUM(E21:E34)</f>
        <v>881792</v>
      </c>
      <c r="F36" s="217">
        <f>SUM(F21:F34)</f>
        <v>233155</v>
      </c>
      <c r="G36" s="217">
        <f>SUM(G21:G34)</f>
        <v>0</v>
      </c>
      <c r="H36" s="217">
        <f>SUM(H21:H34)</f>
        <v>1796577</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v>48760</v>
      </c>
      <c r="E41" s="216">
        <v>39009</v>
      </c>
      <c r="F41" s="216"/>
      <c r="G41" s="184"/>
      <c r="H41" s="217">
        <f t="shared" ref="H41:H47" si="1">(D41+E41)-F41-G41</f>
        <v>87769</v>
      </c>
    </row>
    <row r="42" spans="1:8" ht="18" customHeight="1" x14ac:dyDescent="0.55000000000000004">
      <c r="A42" s="180" t="s">
        <v>252</v>
      </c>
      <c r="B42" s="176" t="s">
        <v>143</v>
      </c>
      <c r="D42" s="184">
        <v>33768</v>
      </c>
      <c r="E42" s="216">
        <v>27014</v>
      </c>
      <c r="F42" s="216"/>
      <c r="G42" s="184"/>
      <c r="H42" s="217">
        <f t="shared" si="1"/>
        <v>60782</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82528</v>
      </c>
      <c r="E49" s="217">
        <f>SUM(E40:E47)</f>
        <v>66023</v>
      </c>
      <c r="F49" s="217">
        <f>SUM(F40:F47)</f>
        <v>0</v>
      </c>
      <c r="G49" s="217">
        <f>SUM(G40:G47)</f>
        <v>0</v>
      </c>
      <c r="H49" s="217">
        <f>SUM(H40:H47)</f>
        <v>148551</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184">
        <v>16310897.809999999</v>
      </c>
      <c r="E53" s="216">
        <v>0</v>
      </c>
      <c r="F53" s="222"/>
      <c r="G53" s="216">
        <v>5612901.8599999994</v>
      </c>
      <c r="H53" s="217">
        <f>(D53+E53)-F53-G53</f>
        <v>10697995.949999999</v>
      </c>
    </row>
    <row r="54" spans="1:8" ht="18" customHeight="1" x14ac:dyDescent="0.55000000000000004">
      <c r="A54" s="180" t="s">
        <v>259</v>
      </c>
      <c r="B54" s="193" t="s">
        <v>570</v>
      </c>
      <c r="D54" s="184">
        <v>90000</v>
      </c>
      <c r="E54" s="216">
        <f>+D54*$E$114</f>
        <v>72058.996244061927</v>
      </c>
      <c r="F54" s="216"/>
      <c r="G54" s="184"/>
      <c r="H54" s="217">
        <f t="shared" ref="H54:H62" si="2">(D54+E54)-F54-G54</f>
        <v>162058.99624406191</v>
      </c>
    </row>
    <row r="55" spans="1:8" ht="18" customHeight="1" x14ac:dyDescent="0.55000000000000004">
      <c r="A55" s="180" t="s">
        <v>260</v>
      </c>
      <c r="B55" s="194"/>
      <c r="D55" s="184"/>
      <c r="E55" s="216"/>
      <c r="F55" s="216"/>
      <c r="G55" s="184"/>
      <c r="H55" s="217">
        <f t="shared" si="2"/>
        <v>0</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16400897.809999999</v>
      </c>
      <c r="E64" s="217">
        <f>SUM(E53:E62)</f>
        <v>72058.996244061927</v>
      </c>
      <c r="F64" s="217">
        <f>SUM(F53:F62)</f>
        <v>0</v>
      </c>
      <c r="G64" s="217">
        <f>SUM(G53:G62)</f>
        <v>5612901.8599999994</v>
      </c>
      <c r="H64" s="217">
        <f>SUM(H53:H62)</f>
        <v>10860054.946244061</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50000</v>
      </c>
      <c r="E77" s="230"/>
      <c r="F77" s="220"/>
      <c r="G77" s="184"/>
      <c r="H77" s="217">
        <f>(D77-F77-G77)</f>
        <v>50000</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f>3810+644</f>
        <v>4454</v>
      </c>
      <c r="E79" s="230"/>
      <c r="F79" s="220"/>
      <c r="G79" s="184"/>
      <c r="H79" s="217">
        <f>(D79-F79-G79)</f>
        <v>4454</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54454</v>
      </c>
      <c r="E82" s="231"/>
      <c r="F82" s="217">
        <f>SUM(F77:F80)</f>
        <v>0</v>
      </c>
      <c r="G82" s="217">
        <f>SUM(G77:G80)</f>
        <v>0</v>
      </c>
      <c r="H82" s="217">
        <f>SUM(H77:H80)</f>
        <v>54454</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v>7005</v>
      </c>
      <c r="E88" s="216">
        <v>5606</v>
      </c>
      <c r="F88" s="216"/>
      <c r="G88" s="184"/>
      <c r="H88" s="217">
        <f t="shared" si="3"/>
        <v>12611</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c r="E91" s="216"/>
      <c r="F91" s="216"/>
      <c r="G91" s="184"/>
      <c r="H91" s="217">
        <f t="shared" si="3"/>
        <v>0</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v>113374</v>
      </c>
      <c r="E93" s="216">
        <f>+D93*$E$114</f>
        <v>90773.51822415863</v>
      </c>
      <c r="F93" s="216"/>
      <c r="G93" s="184"/>
      <c r="H93" s="217">
        <f t="shared" si="3"/>
        <v>204147.51822415862</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120379</v>
      </c>
      <c r="E98" s="217">
        <f>SUM(E86:E96)</f>
        <v>96379.51822415863</v>
      </c>
      <c r="F98" s="217">
        <f>SUM(F86:F96)</f>
        <v>0</v>
      </c>
      <c r="G98" s="217">
        <f>SUM(G86:G96)</f>
        <v>0</v>
      </c>
      <c r="H98" s="217">
        <f>SUM(H86:H96)</f>
        <v>216758.51822415862</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84299</v>
      </c>
      <c r="E102" s="216">
        <v>67439</v>
      </c>
      <c r="F102" s="216"/>
      <c r="G102" s="184"/>
      <c r="H102" s="217">
        <f>(D102+E102)-F102-G102</f>
        <v>151738</v>
      </c>
    </row>
    <row r="103" spans="1:8" ht="18" customHeight="1" x14ac:dyDescent="0.55000000000000004">
      <c r="A103" s="180" t="s">
        <v>304</v>
      </c>
      <c r="B103" s="176" t="s">
        <v>199</v>
      </c>
      <c r="D103" s="184">
        <v>30000</v>
      </c>
      <c r="E103" s="216">
        <f>+D103*$E$114</f>
        <v>24019.665414687308</v>
      </c>
      <c r="F103" s="216"/>
      <c r="G103" s="184"/>
      <c r="H103" s="217">
        <f>(D103+E103)-F103-G103</f>
        <v>54019.665414687304</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114299</v>
      </c>
      <c r="E108" s="217">
        <f>SUM(E102:E106)</f>
        <v>91458.665414687304</v>
      </c>
      <c r="F108" s="217">
        <f>SUM(F102:F106)</f>
        <v>0</v>
      </c>
      <c r="G108" s="217">
        <f>SUM(G102:G106)</f>
        <v>0</v>
      </c>
      <c r="H108" s="217">
        <f>SUM(H102:H106)</f>
        <v>205757.6654146873</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1355033.5699999996</v>
      </c>
      <c r="G111" s="184"/>
      <c r="H111" s="217">
        <f>F111-G111</f>
        <v>1355033.5699999996</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0.80065551382291023</v>
      </c>
      <c r="F114" s="235" t="s">
        <v>429</v>
      </c>
      <c r="G114" s="236">
        <v>0.16</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145566226.53</v>
      </c>
      <c r="F117" s="237"/>
    </row>
    <row r="118" spans="1:7" ht="18" customHeight="1" x14ac:dyDescent="0.55000000000000004">
      <c r="A118" s="180" t="s">
        <v>319</v>
      </c>
      <c r="B118" s="176" t="s">
        <v>320</v>
      </c>
      <c r="E118" s="184">
        <v>7821095.1399999997</v>
      </c>
      <c r="F118" s="237"/>
    </row>
    <row r="119" spans="1:7" ht="18" customHeight="1" x14ac:dyDescent="0.55000000000000004">
      <c r="A119" s="180" t="s">
        <v>321</v>
      </c>
      <c r="B119" s="179" t="s">
        <v>322</v>
      </c>
      <c r="E119" s="217">
        <f>SUM(E117:E118)</f>
        <v>153387321.66999999</v>
      </c>
      <c r="F119" s="238"/>
    </row>
    <row r="120" spans="1:7" ht="18" customHeight="1" x14ac:dyDescent="0.55000000000000004">
      <c r="A120" s="180"/>
      <c r="B120" s="179"/>
      <c r="F120" s="212"/>
    </row>
    <row r="121" spans="1:7" ht="18" customHeight="1" x14ac:dyDescent="0.55000000000000004">
      <c r="A121" s="180" t="s">
        <v>323</v>
      </c>
      <c r="B121" s="179" t="s">
        <v>324</v>
      </c>
      <c r="E121" s="184">
        <v>138614740</v>
      </c>
      <c r="F121" s="237"/>
    </row>
    <row r="122" spans="1:7" ht="18" customHeight="1" x14ac:dyDescent="0.55000000000000004">
      <c r="A122" s="180"/>
      <c r="F122" s="212"/>
    </row>
    <row r="123" spans="1:7" ht="18" customHeight="1" x14ac:dyDescent="0.55000000000000004">
      <c r="A123" s="180" t="s">
        <v>325</v>
      </c>
      <c r="B123" s="179" t="s">
        <v>326</v>
      </c>
      <c r="E123" s="184">
        <v>14772581.669999987</v>
      </c>
      <c r="F123" s="237"/>
    </row>
    <row r="124" spans="1:7" ht="18" customHeight="1" x14ac:dyDescent="0.55000000000000004">
      <c r="A124" s="180"/>
      <c r="F124" s="212"/>
    </row>
    <row r="125" spans="1:7" ht="18" customHeight="1" x14ac:dyDescent="0.55000000000000004">
      <c r="A125" s="180" t="s">
        <v>327</v>
      </c>
      <c r="B125" s="179" t="s">
        <v>328</v>
      </c>
      <c r="E125" s="184">
        <v>4252110.28</v>
      </c>
      <c r="F125" s="237"/>
    </row>
    <row r="126" spans="1:7" ht="18" customHeight="1" x14ac:dyDescent="0.55000000000000004">
      <c r="A126" s="180"/>
      <c r="F126" s="212"/>
    </row>
    <row r="127" spans="1:7" ht="18" customHeight="1" x14ac:dyDescent="0.55000000000000004">
      <c r="A127" s="180" t="s">
        <v>329</v>
      </c>
      <c r="B127" s="179" t="s">
        <v>330</v>
      </c>
      <c r="E127" s="184">
        <v>19024691.949999988</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1147940</v>
      </c>
      <c r="E141" s="239">
        <f>E36</f>
        <v>881792</v>
      </c>
      <c r="F141" s="239">
        <f>F36</f>
        <v>233155</v>
      </c>
      <c r="G141" s="239">
        <f>G36</f>
        <v>0</v>
      </c>
      <c r="H141" s="239">
        <f>H36</f>
        <v>1796577</v>
      </c>
    </row>
    <row r="142" spans="1:8" ht="18" customHeight="1" x14ac:dyDescent="0.55000000000000004">
      <c r="A142" s="180" t="s">
        <v>150</v>
      </c>
      <c r="B142" s="179" t="s">
        <v>220</v>
      </c>
      <c r="D142" s="239">
        <f>D49</f>
        <v>82528</v>
      </c>
      <c r="E142" s="239">
        <f>E49</f>
        <v>66023</v>
      </c>
      <c r="F142" s="239">
        <f>F49</f>
        <v>0</v>
      </c>
      <c r="G142" s="239">
        <f>G49</f>
        <v>0</v>
      </c>
      <c r="H142" s="239">
        <f>H49</f>
        <v>148551</v>
      </c>
    </row>
    <row r="143" spans="1:8" ht="18" customHeight="1" x14ac:dyDescent="0.55000000000000004">
      <c r="A143" s="180" t="s">
        <v>269</v>
      </c>
      <c r="B143" s="179" t="s">
        <v>222</v>
      </c>
      <c r="D143" s="239">
        <f>D64</f>
        <v>16400897.809999999</v>
      </c>
      <c r="E143" s="239">
        <f>E64</f>
        <v>72058.996244061927</v>
      </c>
      <c r="F143" s="239">
        <f>F64</f>
        <v>0</v>
      </c>
      <c r="G143" s="239">
        <f>G64</f>
        <v>5612901.8599999994</v>
      </c>
      <c r="H143" s="239">
        <f>H64</f>
        <v>10860054.946244061</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54454</v>
      </c>
      <c r="E145" s="239">
        <f>E82</f>
        <v>0</v>
      </c>
      <c r="F145" s="239">
        <f>F82</f>
        <v>0</v>
      </c>
      <c r="G145" s="239">
        <f>G82</f>
        <v>0</v>
      </c>
      <c r="H145" s="239">
        <f>H82</f>
        <v>54454</v>
      </c>
    </row>
    <row r="146" spans="1:8" ht="18" customHeight="1" x14ac:dyDescent="0.55000000000000004">
      <c r="A146" s="180" t="s">
        <v>193</v>
      </c>
      <c r="B146" s="179" t="s">
        <v>226</v>
      </c>
      <c r="D146" s="239">
        <f>D98</f>
        <v>120379</v>
      </c>
      <c r="E146" s="239">
        <f>E98</f>
        <v>96379.51822415863</v>
      </c>
      <c r="F146" s="239">
        <f>F98</f>
        <v>0</v>
      </c>
      <c r="G146" s="239">
        <f>G98</f>
        <v>0</v>
      </c>
      <c r="H146" s="239">
        <f>H98</f>
        <v>216758.51822415862</v>
      </c>
    </row>
    <row r="147" spans="1:8" ht="18" customHeight="1" x14ac:dyDescent="0.55000000000000004">
      <c r="A147" s="180" t="s">
        <v>204</v>
      </c>
      <c r="B147" s="179" t="s">
        <v>71</v>
      </c>
      <c r="D147" s="217">
        <f>D108</f>
        <v>114299</v>
      </c>
      <c r="E147" s="217">
        <f>E108</f>
        <v>91458.665414687304</v>
      </c>
      <c r="F147" s="217">
        <f>F108</f>
        <v>0</v>
      </c>
      <c r="G147" s="217">
        <f>G108</f>
        <v>0</v>
      </c>
      <c r="H147" s="217">
        <f>H108</f>
        <v>205757.6654146873</v>
      </c>
    </row>
    <row r="148" spans="1:8" ht="18" customHeight="1" x14ac:dyDescent="0.55000000000000004">
      <c r="A148" s="180" t="s">
        <v>310</v>
      </c>
      <c r="B148" s="179" t="s">
        <v>58</v>
      </c>
      <c r="D148" s="240" t="s">
        <v>245</v>
      </c>
      <c r="E148" s="240" t="s">
        <v>245</v>
      </c>
      <c r="F148" s="240"/>
      <c r="G148" s="240" t="s">
        <v>245</v>
      </c>
      <c r="H148" s="239">
        <f>H111</f>
        <v>1355033.5699999996</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2896800.5812950302</v>
      </c>
      <c r="E150" s="217">
        <f>E18</f>
        <v>0</v>
      </c>
      <c r="F150" s="217">
        <f>F18</f>
        <v>0</v>
      </c>
      <c r="G150" s="217">
        <f>G18</f>
        <v>2400781.8634890704</v>
      </c>
      <c r="H150" s="217">
        <f>H18</f>
        <v>496018.71780595975</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20817298.391295031</v>
      </c>
      <c r="E152" s="241">
        <f>SUM(E141:E150)</f>
        <v>1207712.1798829078</v>
      </c>
      <c r="F152" s="241">
        <f>SUM(F141:F150)</f>
        <v>233155</v>
      </c>
      <c r="G152" s="241">
        <f>SUM(G141:G150)</f>
        <v>8013683.7234890703</v>
      </c>
      <c r="H152" s="241">
        <f>SUM(H141:H150)</f>
        <v>15133205.417688867</v>
      </c>
    </row>
    <row r="154" spans="1:8" ht="18" customHeight="1" x14ac:dyDescent="0.55000000000000004">
      <c r="A154" s="183" t="s">
        <v>339</v>
      </c>
      <c r="B154" s="179" t="s">
        <v>340</v>
      </c>
      <c r="D154" s="242">
        <f>H152/E121</f>
        <v>0.10917457564533806</v>
      </c>
    </row>
    <row r="155" spans="1:8" ht="18" customHeight="1" x14ac:dyDescent="0.55000000000000004">
      <c r="A155" s="183" t="s">
        <v>341</v>
      </c>
      <c r="B155" s="179" t="s">
        <v>342</v>
      </c>
      <c r="D155" s="242">
        <f>H152/E127</f>
        <v>0.79545074671702509</v>
      </c>
    </row>
  </sheetData>
  <mergeCells count="6">
    <mergeCell ref="B13:D13"/>
    <mergeCell ref="C2:D2"/>
    <mergeCell ref="C5:E5"/>
    <mergeCell ref="C9:E9"/>
    <mergeCell ref="C10:E10"/>
    <mergeCell ref="C11:E11"/>
  </mergeCells>
  <hyperlinks>
    <hyperlink ref="C11" r:id="rId1" xr:uid="{CCDD3C01-0622-4484-A606-FB342991F844}"/>
  </hyperlinks>
  <pageMargins left="0.7" right="0.7" top="0.75" bottom="0.75" header="0.3" footer="0.3"/>
  <pageSetup orientation="portrait" horizontalDpi="1200" verticalDpi="1200"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29F38-9795-41C6-BF18-1C4FDD171572}">
  <sheetPr codeName="Sheet38"/>
  <dimension ref="A1:J155"/>
  <sheetViews>
    <sheetView zoomScaleNormal="100" workbookViewId="0"/>
  </sheetViews>
  <sheetFormatPr defaultColWidth="9" defaultRowHeight="14.4" x14ac:dyDescent="0.55000000000000004"/>
  <cols>
    <col min="1" max="1" width="8.26171875" style="175" customWidth="1"/>
    <col min="2" max="2" width="55.26171875" style="176" bestFit="1" customWidth="1"/>
    <col min="3" max="3" width="12.26171875" style="176" customWidth="1"/>
    <col min="4" max="4" width="17.15625" style="176" customWidth="1"/>
    <col min="5" max="6" width="21.15625" style="176" customWidth="1"/>
    <col min="7" max="7" width="19.68359375" style="176" customWidth="1"/>
    <col min="8" max="8" width="17.6835937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01" t="s">
        <v>571</v>
      </c>
      <c r="D5" s="501"/>
      <c r="E5" s="501"/>
      <c r="F5" s="208"/>
    </row>
    <row r="6" spans="1:8" ht="18" customHeight="1" x14ac:dyDescent="0.55000000000000004">
      <c r="B6" s="180" t="s">
        <v>237</v>
      </c>
      <c r="C6" s="243">
        <v>210037</v>
      </c>
      <c r="D6" s="244"/>
      <c r="E6" s="244"/>
      <c r="F6" s="209"/>
    </row>
    <row r="7" spans="1:8" ht="18" customHeight="1" x14ac:dyDescent="0.55000000000000004">
      <c r="B7" s="180" t="s">
        <v>238</v>
      </c>
      <c r="C7" s="246"/>
      <c r="D7" s="246"/>
      <c r="E7" s="246"/>
      <c r="F7" s="210"/>
    </row>
    <row r="8" spans="1:8" ht="18" customHeight="1" x14ac:dyDescent="0.55000000000000004">
      <c r="C8" s="211"/>
      <c r="D8" s="211"/>
      <c r="E8" s="211"/>
      <c r="F8" s="212"/>
    </row>
    <row r="9" spans="1:8" ht="18" customHeight="1" x14ac:dyDescent="0.55000000000000004">
      <c r="B9" s="180" t="s">
        <v>239</v>
      </c>
      <c r="C9" s="501" t="s">
        <v>376</v>
      </c>
      <c r="D9" s="501"/>
      <c r="E9" s="501"/>
      <c r="F9" s="208"/>
    </row>
    <row r="10" spans="1:8" ht="18" customHeight="1" x14ac:dyDescent="0.55000000000000004">
      <c r="B10" s="180" t="s">
        <v>241</v>
      </c>
      <c r="C10" s="513" t="s">
        <v>377</v>
      </c>
      <c r="D10" s="513"/>
      <c r="E10" s="513"/>
      <c r="F10" s="213"/>
    </row>
    <row r="11" spans="1:8" ht="18" customHeight="1" x14ac:dyDescent="0.55000000000000004">
      <c r="B11" s="180" t="s">
        <v>243</v>
      </c>
      <c r="C11" s="501" t="s">
        <v>378</v>
      </c>
      <c r="D11" s="501"/>
      <c r="E11" s="50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4275043.106466691</v>
      </c>
      <c r="E18" s="214"/>
      <c r="F18" s="214"/>
      <c r="G18" s="214">
        <v>3543028.1331450436</v>
      </c>
      <c r="H18" s="249">
        <f>(D18+E18)-G18</f>
        <v>732014.97332164738</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161765.87</v>
      </c>
      <c r="E21" s="216">
        <v>17385.03</v>
      </c>
      <c r="F21" s="216"/>
      <c r="G21" s="184"/>
      <c r="H21" s="217">
        <f>(D21+E21)-F21-G21</f>
        <v>179150.9</v>
      </c>
    </row>
    <row r="22" spans="1:8" ht="18" customHeight="1" x14ac:dyDescent="0.55000000000000004">
      <c r="A22" s="180" t="s">
        <v>112</v>
      </c>
      <c r="B22" s="176" t="s">
        <v>113</v>
      </c>
      <c r="D22" s="184">
        <v>59746.59</v>
      </c>
      <c r="E22" s="216">
        <v>6420.98</v>
      </c>
      <c r="F22" s="216"/>
      <c r="G22" s="184"/>
      <c r="H22" s="217">
        <f t="shared" ref="H22:H34" si="0">(D22+E22)-F22-G22</f>
        <v>66167.569999999992</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c r="E24" s="216"/>
      <c r="F24" s="216"/>
      <c r="G24" s="184"/>
      <c r="H24" s="217">
        <f t="shared" si="0"/>
        <v>0</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v>485605.84</v>
      </c>
      <c r="E29" s="216">
        <v>52188.21</v>
      </c>
      <c r="F29" s="216"/>
      <c r="G29" s="184"/>
      <c r="H29" s="217">
        <f t="shared" si="0"/>
        <v>537794.05000000005</v>
      </c>
    </row>
    <row r="30" spans="1:8" ht="18" customHeight="1" x14ac:dyDescent="0.55000000000000004">
      <c r="A30" s="180" t="s">
        <v>128</v>
      </c>
      <c r="B30" s="185"/>
      <c r="D30" s="184"/>
      <c r="E30" s="216"/>
      <c r="F30" s="216"/>
      <c r="G30" s="184"/>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707118.3</v>
      </c>
      <c r="E36" s="217">
        <f>SUM(E21:E34)</f>
        <v>75994.22</v>
      </c>
      <c r="F36" s="217">
        <f>SUM(F21:F34)</f>
        <v>0</v>
      </c>
      <c r="G36" s="217">
        <f>SUM(G21:G34)</f>
        <v>0</v>
      </c>
      <c r="H36" s="217">
        <f>SUM(H21:H34)</f>
        <v>783112.52</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c r="E41" s="216"/>
      <c r="F41" s="216"/>
      <c r="G41" s="184"/>
      <c r="H41" s="217">
        <f t="shared" ref="H41:H47" si="1">(D41+E41)-F41-G41</f>
        <v>0</v>
      </c>
    </row>
    <row r="42" spans="1:8" ht="18" customHeight="1" x14ac:dyDescent="0.55000000000000004">
      <c r="A42" s="180" t="s">
        <v>252</v>
      </c>
      <c r="B42" s="176" t="s">
        <v>143</v>
      </c>
      <c r="D42" s="184">
        <v>49685.31</v>
      </c>
      <c r="E42" s="216">
        <v>43151.9</v>
      </c>
      <c r="F42" s="216"/>
      <c r="G42" s="184"/>
      <c r="H42" s="217">
        <f t="shared" si="1"/>
        <v>92837.209999999992</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49685.31</v>
      </c>
      <c r="E49" s="217">
        <f>SUM(E40:E47)</f>
        <v>43151.9</v>
      </c>
      <c r="F49" s="217">
        <f>SUM(F40:F47)</f>
        <v>0</v>
      </c>
      <c r="G49" s="217">
        <f>SUM(G40:G47)</f>
        <v>0</v>
      </c>
      <c r="H49" s="217">
        <f>SUM(H40:H47)</f>
        <v>92837.209999999992</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184">
        <v>20937678.123333339</v>
      </c>
      <c r="E53" s="216">
        <v>2834699.89333332</v>
      </c>
      <c r="F53" s="222"/>
      <c r="G53" s="222"/>
      <c r="H53" s="217">
        <f>(D53+E53)-F53-G53</f>
        <v>23772378.016666658</v>
      </c>
    </row>
    <row r="54" spans="1:8" ht="18" customHeight="1" x14ac:dyDescent="0.55000000000000004">
      <c r="A54" s="180" t="s">
        <v>259</v>
      </c>
      <c r="B54" s="193"/>
      <c r="D54" s="184"/>
      <c r="E54" s="216"/>
      <c r="F54" s="216"/>
      <c r="G54" s="184"/>
      <c r="H54" s="217">
        <f t="shared" ref="H54:H62" si="2">(D54+E54)-F54-G54</f>
        <v>0</v>
      </c>
    </row>
    <row r="55" spans="1:8" ht="18" customHeight="1" x14ac:dyDescent="0.55000000000000004">
      <c r="A55" s="180" t="s">
        <v>260</v>
      </c>
      <c r="B55" s="194" t="s">
        <v>551</v>
      </c>
      <c r="D55" s="184">
        <v>245953</v>
      </c>
      <c r="E55" s="216">
        <v>216311.21</v>
      </c>
      <c r="F55" s="216"/>
      <c r="G55" s="184"/>
      <c r="H55" s="217">
        <f t="shared" si="2"/>
        <v>462264.20999999996</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4"/>
      <c r="E60" s="225"/>
      <c r="F60" s="222"/>
      <c r="G60" s="222"/>
      <c r="H60" s="217">
        <f t="shared" si="2"/>
        <v>0</v>
      </c>
    </row>
    <row r="61" spans="1:8" ht="18" customHeight="1" x14ac:dyDescent="0.55000000000000004">
      <c r="A61" s="180" t="s">
        <v>267</v>
      </c>
      <c r="B61" s="226"/>
      <c r="C61" s="212"/>
      <c r="D61" s="224"/>
      <c r="E61" s="225"/>
      <c r="F61" s="222"/>
      <c r="G61" s="222"/>
      <c r="H61" s="217">
        <f t="shared" si="2"/>
        <v>0</v>
      </c>
    </row>
    <row r="62" spans="1:8" ht="57" customHeight="1" x14ac:dyDescent="0.55000000000000004">
      <c r="A62" s="180" t="s">
        <v>268</v>
      </c>
      <c r="B62" s="270"/>
      <c r="C62" s="212"/>
      <c r="D62" s="224"/>
      <c r="E62" s="225"/>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21183631.123333339</v>
      </c>
      <c r="E64" s="217">
        <f>SUM(E53:E62)</f>
        <v>3051011.10333332</v>
      </c>
      <c r="F64" s="217">
        <f>SUM(F53:F62)</f>
        <v>0</v>
      </c>
      <c r="G64" s="217">
        <f>SUM(G53:G62)</f>
        <v>0</v>
      </c>
      <c r="H64" s="217">
        <f>SUM(H53:H62)</f>
        <v>24234642.226666659</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1235</v>
      </c>
      <c r="E77" s="230">
        <v>107.47</v>
      </c>
      <c r="F77" s="220"/>
      <c r="G77" s="184"/>
      <c r="H77" s="217">
        <f>(D77-F77-G77)</f>
        <v>1235</v>
      </c>
    </row>
    <row r="78" spans="1:10" ht="18" customHeight="1" x14ac:dyDescent="0.55000000000000004">
      <c r="A78" s="180" t="s">
        <v>281</v>
      </c>
      <c r="B78" s="176" t="s">
        <v>166</v>
      </c>
      <c r="D78" s="184">
        <v>50000</v>
      </c>
      <c r="E78" s="230">
        <v>5373.52</v>
      </c>
      <c r="F78" s="220"/>
      <c r="G78" s="184"/>
      <c r="H78" s="217">
        <f>(D78-F78-G78)</f>
        <v>50000</v>
      </c>
    </row>
    <row r="79" spans="1:10" ht="18" customHeight="1" x14ac:dyDescent="0.55000000000000004">
      <c r="A79" s="180" t="s">
        <v>282</v>
      </c>
      <c r="B79" s="176" t="s">
        <v>168</v>
      </c>
      <c r="D79" s="184"/>
      <c r="E79" s="230"/>
      <c r="F79" s="220"/>
      <c r="G79" s="184"/>
      <c r="H79" s="217">
        <f>(D79-F79-G79)</f>
        <v>0</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51235</v>
      </c>
      <c r="E82" s="231"/>
      <c r="F82" s="217">
        <f>SUM(F77:F80)</f>
        <v>0</v>
      </c>
      <c r="G82" s="217">
        <f>SUM(G77:G80)</f>
        <v>0</v>
      </c>
      <c r="H82" s="217">
        <f>SUM(H77:H80)</f>
        <v>51235</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v>3700</v>
      </c>
      <c r="E87" s="216">
        <v>397.64</v>
      </c>
      <c r="F87" s="216"/>
      <c r="G87" s="184"/>
      <c r="H87" s="217">
        <f t="shared" ref="H87:H96" si="3">(D87+E87)-F87-G87</f>
        <v>4097.6400000000003</v>
      </c>
    </row>
    <row r="88" spans="1:8" ht="18" customHeight="1" x14ac:dyDescent="0.55000000000000004">
      <c r="A88" s="180" t="s">
        <v>288</v>
      </c>
      <c r="B88" s="176" t="s">
        <v>289</v>
      </c>
      <c r="D88" s="184">
        <v>6384.27</v>
      </c>
      <c r="E88" s="216">
        <v>686.12</v>
      </c>
      <c r="F88" s="216"/>
      <c r="G88" s="184"/>
      <c r="H88" s="217">
        <f t="shared" si="3"/>
        <v>7070.39</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v>28651.86</v>
      </c>
      <c r="E91" s="216">
        <v>3079.22</v>
      </c>
      <c r="F91" s="216"/>
      <c r="G91" s="184"/>
      <c r="H91" s="217">
        <f t="shared" si="3"/>
        <v>31731.08</v>
      </c>
    </row>
    <row r="92" spans="1:8" ht="18" customHeight="1" x14ac:dyDescent="0.55000000000000004">
      <c r="A92" s="180" t="s">
        <v>293</v>
      </c>
      <c r="B92" s="176" t="s">
        <v>294</v>
      </c>
      <c r="D92" s="233">
        <v>2608.48</v>
      </c>
      <c r="E92" s="216">
        <v>280.33</v>
      </c>
      <c r="F92" s="234"/>
      <c r="G92" s="233"/>
      <c r="H92" s="217">
        <f t="shared" si="3"/>
        <v>2888.81</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41344.610000000008</v>
      </c>
      <c r="E98" s="217">
        <f>SUM(E86:E96)</f>
        <v>4443.3099999999995</v>
      </c>
      <c r="F98" s="217">
        <f>SUM(F86:F96)</f>
        <v>0</v>
      </c>
      <c r="G98" s="217">
        <f>SUM(G86:G96)</f>
        <v>0</v>
      </c>
      <c r="H98" s="217">
        <f>SUM(H86:H96)</f>
        <v>45787.92</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20702.21</v>
      </c>
      <c r="E102" s="216">
        <v>11979.96</v>
      </c>
      <c r="F102" s="216"/>
      <c r="G102" s="184"/>
      <c r="H102" s="217">
        <f>(D102+E102)-F102-G102</f>
        <v>32682.17</v>
      </c>
    </row>
    <row r="103" spans="1:8" ht="18" customHeight="1" x14ac:dyDescent="0.55000000000000004">
      <c r="A103" s="180" t="s">
        <v>304</v>
      </c>
      <c r="B103" s="176" t="s">
        <v>199</v>
      </c>
      <c r="D103" s="184">
        <v>62106.64</v>
      </c>
      <c r="E103" s="216">
        <v>53939.98</v>
      </c>
      <c r="F103" s="216"/>
      <c r="G103" s="184"/>
      <c r="H103" s="217">
        <f>(D103+E103)-F103-G103</f>
        <v>116046.62</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82808.850000000006</v>
      </c>
      <c r="E108" s="217">
        <f>SUM(E102:E106)</f>
        <v>65919.94</v>
      </c>
      <c r="F108" s="217">
        <f>SUM(F102:F106)</f>
        <v>0</v>
      </c>
      <c r="G108" s="217">
        <f>SUM(G102:G106)</f>
        <v>0</v>
      </c>
      <c r="H108" s="217">
        <f>SUM(H102:H106)</f>
        <v>148728.78999999998</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3380000</v>
      </c>
      <c r="G111" s="184"/>
      <c r="H111" s="217">
        <f>F111-G111</f>
        <v>3380000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0.87</v>
      </c>
      <c r="F114" s="235" t="s">
        <v>429</v>
      </c>
      <c r="G114" s="236">
        <v>0.11</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231634000</v>
      </c>
      <c r="F117" s="237"/>
    </row>
    <row r="118" spans="1:7" ht="18" customHeight="1" x14ac:dyDescent="0.55000000000000004">
      <c r="A118" s="180" t="s">
        <v>319</v>
      </c>
      <c r="B118" s="176" t="s">
        <v>320</v>
      </c>
      <c r="E118" s="184">
        <v>11375000</v>
      </c>
      <c r="F118" s="237"/>
    </row>
    <row r="119" spans="1:7" ht="18" customHeight="1" x14ac:dyDescent="0.55000000000000004">
      <c r="A119" s="180" t="s">
        <v>321</v>
      </c>
      <c r="B119" s="179" t="s">
        <v>322</v>
      </c>
      <c r="E119" s="217">
        <f>SUM(E117:E118)</f>
        <v>243009000</v>
      </c>
      <c r="F119" s="238"/>
    </row>
    <row r="120" spans="1:7" ht="18" customHeight="1" x14ac:dyDescent="0.55000000000000004">
      <c r="A120" s="180"/>
      <c r="B120" s="179"/>
      <c r="F120" s="212"/>
    </row>
    <row r="121" spans="1:7" ht="18" customHeight="1" x14ac:dyDescent="0.55000000000000004">
      <c r="A121" s="180" t="s">
        <v>323</v>
      </c>
      <c r="B121" s="179" t="s">
        <v>324</v>
      </c>
      <c r="E121" s="184">
        <v>219817000</v>
      </c>
      <c r="F121" s="237"/>
    </row>
    <row r="122" spans="1:7" ht="18" customHeight="1" x14ac:dyDescent="0.55000000000000004">
      <c r="A122" s="180"/>
      <c r="F122" s="212"/>
    </row>
    <row r="123" spans="1:7" ht="18" customHeight="1" x14ac:dyDescent="0.55000000000000004">
      <c r="A123" s="180" t="s">
        <v>325</v>
      </c>
      <c r="B123" s="179" t="s">
        <v>326</v>
      </c>
      <c r="E123" s="184">
        <v>23195000</v>
      </c>
      <c r="F123" s="237"/>
    </row>
    <row r="124" spans="1:7" ht="18" customHeight="1" x14ac:dyDescent="0.55000000000000004">
      <c r="A124" s="180"/>
      <c r="F124" s="212"/>
    </row>
    <row r="125" spans="1:7" ht="18" customHeight="1" x14ac:dyDescent="0.55000000000000004">
      <c r="A125" s="180" t="s">
        <v>327</v>
      </c>
      <c r="B125" s="179" t="s">
        <v>328</v>
      </c>
      <c r="E125" s="184">
        <v>28052000</v>
      </c>
      <c r="F125" s="237"/>
    </row>
    <row r="126" spans="1:7" ht="18" customHeight="1" x14ac:dyDescent="0.55000000000000004">
      <c r="A126" s="180"/>
      <c r="F126" s="212"/>
    </row>
    <row r="127" spans="1:7" ht="18" customHeight="1" x14ac:dyDescent="0.55000000000000004">
      <c r="A127" s="180" t="s">
        <v>329</v>
      </c>
      <c r="B127" s="179" t="s">
        <v>330</v>
      </c>
      <c r="E127" s="184">
        <v>51247000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707118.3</v>
      </c>
      <c r="E141" s="239">
        <f>E36</f>
        <v>75994.22</v>
      </c>
      <c r="F141" s="239">
        <f>F36</f>
        <v>0</v>
      </c>
      <c r="G141" s="239">
        <f>G36</f>
        <v>0</v>
      </c>
      <c r="H141" s="239">
        <f>H36</f>
        <v>783112.52</v>
      </c>
    </row>
    <row r="142" spans="1:8" ht="18" customHeight="1" x14ac:dyDescent="0.55000000000000004">
      <c r="A142" s="180" t="s">
        <v>150</v>
      </c>
      <c r="B142" s="179" t="s">
        <v>220</v>
      </c>
      <c r="D142" s="239">
        <f>D49</f>
        <v>49685.31</v>
      </c>
      <c r="E142" s="239">
        <f>E49</f>
        <v>43151.9</v>
      </c>
      <c r="F142" s="239">
        <f>F49</f>
        <v>0</v>
      </c>
      <c r="G142" s="239">
        <f>G49</f>
        <v>0</v>
      </c>
      <c r="H142" s="239">
        <f>H49</f>
        <v>92837.209999999992</v>
      </c>
    </row>
    <row r="143" spans="1:8" ht="18" customHeight="1" x14ac:dyDescent="0.55000000000000004">
      <c r="A143" s="180" t="s">
        <v>269</v>
      </c>
      <c r="B143" s="179" t="s">
        <v>222</v>
      </c>
      <c r="D143" s="239">
        <f>D64</f>
        <v>21183631.123333339</v>
      </c>
      <c r="E143" s="239">
        <f>E64</f>
        <v>3051011.10333332</v>
      </c>
      <c r="F143" s="239">
        <f>F64</f>
        <v>0</v>
      </c>
      <c r="G143" s="239">
        <f>G64</f>
        <v>0</v>
      </c>
      <c r="H143" s="239">
        <f>H64</f>
        <v>24234642.226666659</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51235</v>
      </c>
      <c r="E145" s="239">
        <f>E82</f>
        <v>0</v>
      </c>
      <c r="F145" s="239">
        <f>F82</f>
        <v>0</v>
      </c>
      <c r="G145" s="239">
        <f>G82</f>
        <v>0</v>
      </c>
      <c r="H145" s="239">
        <f>H82</f>
        <v>51235</v>
      </c>
    </row>
    <row r="146" spans="1:8" ht="18" customHeight="1" x14ac:dyDescent="0.55000000000000004">
      <c r="A146" s="180" t="s">
        <v>193</v>
      </c>
      <c r="B146" s="179" t="s">
        <v>226</v>
      </c>
      <c r="D146" s="239">
        <f>D98</f>
        <v>41344.610000000008</v>
      </c>
      <c r="E146" s="239">
        <f>E98</f>
        <v>4443.3099999999995</v>
      </c>
      <c r="F146" s="239">
        <f>F98</f>
        <v>0</v>
      </c>
      <c r="G146" s="239">
        <f>G98</f>
        <v>0</v>
      </c>
      <c r="H146" s="239">
        <f>H98</f>
        <v>45787.92</v>
      </c>
    </row>
    <row r="147" spans="1:8" ht="18" customHeight="1" x14ac:dyDescent="0.55000000000000004">
      <c r="A147" s="180" t="s">
        <v>204</v>
      </c>
      <c r="B147" s="179" t="s">
        <v>71</v>
      </c>
      <c r="D147" s="217">
        <f>D108</f>
        <v>82808.850000000006</v>
      </c>
      <c r="E147" s="217">
        <f>E108</f>
        <v>65919.94</v>
      </c>
      <c r="F147" s="217">
        <f>F108</f>
        <v>0</v>
      </c>
      <c r="G147" s="217">
        <f>G108</f>
        <v>0</v>
      </c>
      <c r="H147" s="217">
        <f>H108</f>
        <v>148728.78999999998</v>
      </c>
    </row>
    <row r="148" spans="1:8" ht="18" customHeight="1" x14ac:dyDescent="0.55000000000000004">
      <c r="A148" s="180" t="s">
        <v>310</v>
      </c>
      <c r="B148" s="179" t="s">
        <v>58</v>
      </c>
      <c r="D148" s="240" t="s">
        <v>245</v>
      </c>
      <c r="E148" s="240" t="s">
        <v>245</v>
      </c>
      <c r="F148" s="240"/>
      <c r="G148" s="240" t="s">
        <v>245</v>
      </c>
      <c r="H148" s="239">
        <f>H111</f>
        <v>3380000</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4275043.106466691</v>
      </c>
      <c r="E150" s="217">
        <f>E18</f>
        <v>0</v>
      </c>
      <c r="F150" s="217">
        <f>F18</f>
        <v>0</v>
      </c>
      <c r="G150" s="217">
        <f>G18</f>
        <v>3543028.1331450436</v>
      </c>
      <c r="H150" s="217">
        <f>H18</f>
        <v>732014.97332164738</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26390866.299800031</v>
      </c>
      <c r="E152" s="241">
        <f>SUM(E141:E150)</f>
        <v>3240520.4733333201</v>
      </c>
      <c r="F152" s="241">
        <f>SUM(F141:F150)</f>
        <v>0</v>
      </c>
      <c r="G152" s="241">
        <f>SUM(G141:G150)</f>
        <v>3543028.1331450436</v>
      </c>
      <c r="H152" s="241">
        <f>SUM(H141:H150)</f>
        <v>29468358.639988307</v>
      </c>
    </row>
    <row r="154" spans="1:8" ht="18" customHeight="1" x14ac:dyDescent="0.55000000000000004">
      <c r="A154" s="183" t="s">
        <v>339</v>
      </c>
      <c r="B154" s="179" t="s">
        <v>340</v>
      </c>
      <c r="D154" s="242">
        <f>H152/E121</f>
        <v>0.13405859710572116</v>
      </c>
    </row>
    <row r="155" spans="1:8" ht="18" customHeight="1" x14ac:dyDescent="0.55000000000000004">
      <c r="A155" s="183" t="s">
        <v>341</v>
      </c>
      <c r="B155" s="179" t="s">
        <v>342</v>
      </c>
      <c r="D155" s="242">
        <f>H152/E127</f>
        <v>0.57502602376701673</v>
      </c>
    </row>
  </sheetData>
  <mergeCells count="6">
    <mergeCell ref="B13:D13"/>
    <mergeCell ref="C2:D2"/>
    <mergeCell ref="C5:E5"/>
    <mergeCell ref="C9:E9"/>
    <mergeCell ref="C10:E10"/>
    <mergeCell ref="C11:E11"/>
  </mergeCells>
  <pageMargins left="0.7" right="0.7" top="0.75" bottom="0.75" header="0.3" footer="0.3"/>
  <pageSetup orientation="portrait" horizontalDpi="1200" verticalDpi="1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4614D-3F11-482A-B0E2-06F3FEA3D877}">
  <sheetPr codeName="Sheet39"/>
  <dimension ref="A1:J155"/>
  <sheetViews>
    <sheetView zoomScaleNormal="100" workbookViewId="0"/>
  </sheetViews>
  <sheetFormatPr defaultColWidth="9" defaultRowHeight="14.4" x14ac:dyDescent="0.55000000000000004"/>
  <cols>
    <col min="1" max="1" width="8.26171875" style="175" customWidth="1"/>
    <col min="2" max="2" width="55.26171875" style="176" bestFit="1" customWidth="1"/>
    <col min="3" max="3" width="12.26171875" style="176" customWidth="1"/>
    <col min="4" max="4" width="17.15625" style="176" customWidth="1"/>
    <col min="5" max="6" width="21.15625" style="176" customWidth="1"/>
    <col min="7" max="7" width="19.68359375" style="176" customWidth="1"/>
    <col min="8" max="8" width="17.6835937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498" t="s">
        <v>572</v>
      </c>
      <c r="D5" s="498"/>
      <c r="E5" s="498"/>
      <c r="F5" s="208"/>
    </row>
    <row r="6" spans="1:8" ht="18" customHeight="1" x14ac:dyDescent="0.55000000000000004">
      <c r="B6" s="180" t="s">
        <v>237</v>
      </c>
      <c r="C6" s="358" t="s">
        <v>573</v>
      </c>
      <c r="D6" s="244"/>
      <c r="E6" s="244"/>
      <c r="F6" s="209"/>
    </row>
    <row r="7" spans="1:8" ht="18" customHeight="1" x14ac:dyDescent="0.55000000000000004">
      <c r="B7" s="180" t="s">
        <v>238</v>
      </c>
      <c r="C7" s="359">
        <v>1706</v>
      </c>
      <c r="D7" s="246"/>
      <c r="E7" s="246"/>
      <c r="F7" s="210"/>
    </row>
    <row r="8" spans="1:8" ht="18" customHeight="1" x14ac:dyDescent="0.55000000000000004">
      <c r="C8" s="211"/>
      <c r="D8" s="211"/>
      <c r="E8" s="211"/>
      <c r="F8" s="212"/>
    </row>
    <row r="9" spans="1:8" ht="18" customHeight="1" x14ac:dyDescent="0.55000000000000004">
      <c r="B9" s="180" t="s">
        <v>239</v>
      </c>
      <c r="C9" s="247" t="s">
        <v>574</v>
      </c>
      <c r="D9" s="247"/>
      <c r="E9" s="247"/>
      <c r="F9" s="208"/>
    </row>
    <row r="10" spans="1:8" ht="18" customHeight="1" x14ac:dyDescent="0.55000000000000004">
      <c r="B10" s="180" t="s">
        <v>241</v>
      </c>
      <c r="C10" s="248"/>
      <c r="D10" s="248"/>
      <c r="E10" s="248"/>
      <c r="F10" s="213"/>
    </row>
    <row r="11" spans="1:8" ht="18" customHeight="1" x14ac:dyDescent="0.55000000000000004">
      <c r="B11" s="180" t="s">
        <v>243</v>
      </c>
      <c r="C11" s="258" t="s">
        <v>575</v>
      </c>
      <c r="D11" s="247"/>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4122514.9353764234</v>
      </c>
      <c r="E18" s="214"/>
      <c r="F18" s="214"/>
      <c r="G18" s="214">
        <v>3416617.3373211324</v>
      </c>
      <c r="H18" s="249">
        <f>(D18+E18)-G18</f>
        <v>705897.59805529099</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154465.2672</v>
      </c>
      <c r="E21" s="216">
        <f>+D21*$G$114</f>
        <v>21625.137408000002</v>
      </c>
      <c r="F21" s="216"/>
      <c r="G21" s="184"/>
      <c r="H21" s="217">
        <f>(D21+E21)-F21-G21</f>
        <v>176090.40460800001</v>
      </c>
    </row>
    <row r="22" spans="1:8" ht="18" customHeight="1" x14ac:dyDescent="0.55000000000000004">
      <c r="A22" s="180" t="s">
        <v>112</v>
      </c>
      <c r="B22" s="176" t="s">
        <v>113</v>
      </c>
      <c r="D22" s="184"/>
      <c r="E22" s="216">
        <f t="shared" ref="E22:E34" si="0">+D22*$E$114</f>
        <v>0</v>
      </c>
      <c r="F22" s="216"/>
      <c r="G22" s="184"/>
      <c r="H22" s="217">
        <f t="shared" ref="H22:H34" si="1">(D22+E22)-F22-G22</f>
        <v>0</v>
      </c>
    </row>
    <row r="23" spans="1:8" ht="18" customHeight="1" x14ac:dyDescent="0.55000000000000004">
      <c r="A23" s="180" t="s">
        <v>114</v>
      </c>
      <c r="B23" s="176" t="s">
        <v>115</v>
      </c>
      <c r="D23" s="184"/>
      <c r="E23" s="216">
        <f t="shared" si="0"/>
        <v>0</v>
      </c>
      <c r="F23" s="216"/>
      <c r="G23" s="184"/>
      <c r="H23" s="217">
        <f t="shared" si="1"/>
        <v>0</v>
      </c>
    </row>
    <row r="24" spans="1:8" ht="18" customHeight="1" x14ac:dyDescent="0.55000000000000004">
      <c r="A24" s="180" t="s">
        <v>116</v>
      </c>
      <c r="B24" s="176" t="s">
        <v>117</v>
      </c>
      <c r="D24" s="184"/>
      <c r="E24" s="216">
        <f t="shared" si="0"/>
        <v>0</v>
      </c>
      <c r="F24" s="216"/>
      <c r="G24" s="184"/>
      <c r="H24" s="217">
        <f t="shared" si="1"/>
        <v>0</v>
      </c>
    </row>
    <row r="25" spans="1:8" ht="18" customHeight="1" x14ac:dyDescent="0.55000000000000004">
      <c r="A25" s="180" t="s">
        <v>118</v>
      </c>
      <c r="B25" s="176" t="s">
        <v>119</v>
      </c>
      <c r="D25" s="184">
        <v>45245.407999999996</v>
      </c>
      <c r="E25" s="216">
        <f>+D25*$E$114</f>
        <v>34839.801608066104</v>
      </c>
      <c r="F25" s="216"/>
      <c r="G25" s="184"/>
      <c r="H25" s="217">
        <f t="shared" si="1"/>
        <v>80085.209608066099</v>
      </c>
    </row>
    <row r="26" spans="1:8" ht="18" customHeight="1" x14ac:dyDescent="0.55000000000000004">
      <c r="A26" s="180" t="s">
        <v>120</v>
      </c>
      <c r="B26" s="176" t="s">
        <v>121</v>
      </c>
      <c r="D26" s="184"/>
      <c r="E26" s="216">
        <f>+D26*$E$114</f>
        <v>0</v>
      </c>
      <c r="F26" s="216"/>
      <c r="G26" s="184"/>
      <c r="H26" s="217">
        <f t="shared" si="1"/>
        <v>0</v>
      </c>
    </row>
    <row r="27" spans="1:8" ht="18" customHeight="1" x14ac:dyDescent="0.55000000000000004">
      <c r="A27" s="180" t="s">
        <v>122</v>
      </c>
      <c r="B27" s="176" t="s">
        <v>246</v>
      </c>
      <c r="D27" s="184"/>
      <c r="E27" s="216">
        <f t="shared" si="0"/>
        <v>0</v>
      </c>
      <c r="F27" s="216"/>
      <c r="G27" s="184"/>
      <c r="H27" s="217">
        <f t="shared" si="1"/>
        <v>0</v>
      </c>
    </row>
    <row r="28" spans="1:8" ht="18" customHeight="1" x14ac:dyDescent="0.55000000000000004">
      <c r="A28" s="180" t="s">
        <v>124</v>
      </c>
      <c r="B28" s="176" t="s">
        <v>125</v>
      </c>
      <c r="D28" s="184"/>
      <c r="E28" s="216">
        <f t="shared" si="0"/>
        <v>0</v>
      </c>
      <c r="F28" s="216"/>
      <c r="G28" s="184"/>
      <c r="H28" s="217">
        <f t="shared" si="1"/>
        <v>0</v>
      </c>
    </row>
    <row r="29" spans="1:8" ht="18" customHeight="1" x14ac:dyDescent="0.55000000000000004">
      <c r="A29" s="180" t="s">
        <v>126</v>
      </c>
      <c r="B29" s="176" t="s">
        <v>127</v>
      </c>
      <c r="D29" s="184">
        <v>972146.35419999994</v>
      </c>
      <c r="E29" s="216">
        <f>+D29*$G$114</f>
        <v>136100.489588</v>
      </c>
      <c r="F29" s="216"/>
      <c r="G29" s="184"/>
      <c r="H29" s="217">
        <f t="shared" si="1"/>
        <v>1108246.8437879998</v>
      </c>
    </row>
    <row r="30" spans="1:8" ht="18" customHeight="1" x14ac:dyDescent="0.55000000000000004">
      <c r="A30" s="180" t="s">
        <v>128</v>
      </c>
      <c r="B30" s="185"/>
      <c r="D30" s="184"/>
      <c r="E30" s="216">
        <f t="shared" si="0"/>
        <v>0</v>
      </c>
      <c r="F30" s="216"/>
      <c r="G30" s="184"/>
      <c r="H30" s="217">
        <f t="shared" si="1"/>
        <v>0</v>
      </c>
    </row>
    <row r="31" spans="1:8" ht="18" customHeight="1" x14ac:dyDescent="0.55000000000000004">
      <c r="A31" s="180" t="s">
        <v>130</v>
      </c>
      <c r="B31" s="185"/>
      <c r="D31" s="184"/>
      <c r="E31" s="216">
        <f t="shared" si="0"/>
        <v>0</v>
      </c>
      <c r="F31" s="216"/>
      <c r="G31" s="184"/>
      <c r="H31" s="217">
        <f t="shared" si="1"/>
        <v>0</v>
      </c>
    </row>
    <row r="32" spans="1:8" ht="18" customHeight="1" x14ac:dyDescent="0.55000000000000004">
      <c r="A32" s="180" t="s">
        <v>131</v>
      </c>
      <c r="B32" s="185"/>
      <c r="D32" s="184"/>
      <c r="E32" s="216">
        <f t="shared" si="0"/>
        <v>0</v>
      </c>
      <c r="F32" s="216"/>
      <c r="G32" s="184"/>
      <c r="H32" s="217">
        <f t="shared" si="1"/>
        <v>0</v>
      </c>
    </row>
    <row r="33" spans="1:8" ht="18" customHeight="1" x14ac:dyDescent="0.55000000000000004">
      <c r="A33" s="180" t="s">
        <v>132</v>
      </c>
      <c r="B33" s="185"/>
      <c r="D33" s="184"/>
      <c r="E33" s="216">
        <f t="shared" si="0"/>
        <v>0</v>
      </c>
      <c r="F33" s="216"/>
      <c r="G33" s="184"/>
      <c r="H33" s="217">
        <f t="shared" si="1"/>
        <v>0</v>
      </c>
    </row>
    <row r="34" spans="1:8" ht="18" customHeight="1" x14ac:dyDescent="0.55000000000000004">
      <c r="A34" s="180" t="s">
        <v>133</v>
      </c>
      <c r="B34" s="185"/>
      <c r="D34" s="184"/>
      <c r="E34" s="216">
        <f t="shared" si="0"/>
        <v>0</v>
      </c>
      <c r="F34" s="216"/>
      <c r="G34" s="184"/>
      <c r="H34" s="217">
        <f t="shared" si="1"/>
        <v>0</v>
      </c>
    </row>
    <row r="35" spans="1:8" ht="18" customHeight="1" x14ac:dyDescent="0.55000000000000004">
      <c r="H35" s="186"/>
    </row>
    <row r="36" spans="1:8" ht="18" customHeight="1" x14ac:dyDescent="0.55000000000000004">
      <c r="A36" s="183" t="s">
        <v>134</v>
      </c>
      <c r="B36" s="179" t="s">
        <v>135</v>
      </c>
      <c r="C36" s="179" t="s">
        <v>248</v>
      </c>
      <c r="D36" s="217">
        <f>SUM(D21:D34)</f>
        <v>1171857.0293999999</v>
      </c>
      <c r="E36" s="217">
        <f>SUM(E21:E34)</f>
        <v>192565.42860406611</v>
      </c>
      <c r="F36" s="217">
        <f>SUM(F21:F34)</f>
        <v>0</v>
      </c>
      <c r="G36" s="217">
        <f>SUM(G21:G34)</f>
        <v>0</v>
      </c>
      <c r="H36" s="217">
        <f>SUM(H21:H34)</f>
        <v>1364422.458004066</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5726278.2184999986</v>
      </c>
      <c r="E40" s="216">
        <v>0</v>
      </c>
      <c r="F40" s="216">
        <v>0</v>
      </c>
      <c r="G40" s="184">
        <v>0</v>
      </c>
      <c r="H40" s="217">
        <f>(D40+E40)-F40-G40</f>
        <v>5726278.2184999986</v>
      </c>
    </row>
    <row r="41" spans="1:8" ht="18" customHeight="1" x14ac:dyDescent="0.55000000000000004">
      <c r="A41" s="180" t="s">
        <v>251</v>
      </c>
      <c r="B41" s="176" t="s">
        <v>141</v>
      </c>
      <c r="D41" s="184"/>
      <c r="E41" s="216"/>
      <c r="F41" s="216"/>
      <c r="G41" s="184"/>
      <c r="H41" s="217">
        <f t="shared" ref="H41:H47" si="2">(D41+E41)-F41-G41</f>
        <v>0</v>
      </c>
    </row>
    <row r="42" spans="1:8" ht="18" customHeight="1" x14ac:dyDescent="0.55000000000000004">
      <c r="A42" s="180" t="s">
        <v>252</v>
      </c>
      <c r="B42" s="176" t="s">
        <v>143</v>
      </c>
      <c r="D42" s="184"/>
      <c r="E42" s="216"/>
      <c r="F42" s="216"/>
      <c r="G42" s="184"/>
      <c r="H42" s="217">
        <f t="shared" si="2"/>
        <v>0</v>
      </c>
    </row>
    <row r="43" spans="1:8" ht="18" customHeight="1" x14ac:dyDescent="0.55000000000000004">
      <c r="A43" s="180" t="s">
        <v>253</v>
      </c>
      <c r="B43" s="176" t="s">
        <v>145</v>
      </c>
      <c r="D43" s="184"/>
      <c r="E43" s="216"/>
      <c r="F43" s="216"/>
      <c r="G43" s="184"/>
      <c r="H43" s="217">
        <f t="shared" si="2"/>
        <v>0</v>
      </c>
    </row>
    <row r="44" spans="1:8" ht="18" customHeight="1" x14ac:dyDescent="0.55000000000000004">
      <c r="A44" s="180" t="s">
        <v>146</v>
      </c>
      <c r="B44" s="185"/>
      <c r="D44" s="219"/>
      <c r="E44" s="220"/>
      <c r="F44" s="220"/>
      <c r="G44" s="219"/>
      <c r="H44" s="217">
        <f t="shared" si="2"/>
        <v>0</v>
      </c>
    </row>
    <row r="45" spans="1:8" ht="18" customHeight="1" x14ac:dyDescent="0.55000000000000004">
      <c r="A45" s="180" t="s">
        <v>147</v>
      </c>
      <c r="B45" s="185"/>
      <c r="D45" s="184"/>
      <c r="E45" s="216"/>
      <c r="F45" s="216"/>
      <c r="G45" s="184"/>
      <c r="H45" s="217">
        <f t="shared" si="2"/>
        <v>0</v>
      </c>
    </row>
    <row r="46" spans="1:8" ht="18" customHeight="1" x14ac:dyDescent="0.55000000000000004">
      <c r="A46" s="180" t="s">
        <v>148</v>
      </c>
      <c r="B46" s="185"/>
      <c r="D46" s="184"/>
      <c r="E46" s="216"/>
      <c r="F46" s="216"/>
      <c r="G46" s="184"/>
      <c r="H46" s="217">
        <f t="shared" si="2"/>
        <v>0</v>
      </c>
    </row>
    <row r="47" spans="1:8" ht="18" customHeight="1" x14ac:dyDescent="0.55000000000000004">
      <c r="A47" s="180" t="s">
        <v>149</v>
      </c>
      <c r="B47" s="185"/>
      <c r="D47" s="184"/>
      <c r="E47" s="216"/>
      <c r="F47" s="216"/>
      <c r="G47" s="184"/>
      <c r="H47" s="217">
        <f t="shared" si="2"/>
        <v>0</v>
      </c>
    </row>
    <row r="49" spans="1:8" ht="18" customHeight="1" x14ac:dyDescent="0.55000000000000004">
      <c r="A49" s="183" t="s">
        <v>150</v>
      </c>
      <c r="B49" s="179" t="s">
        <v>254</v>
      </c>
      <c r="C49" s="179" t="s">
        <v>248</v>
      </c>
      <c r="D49" s="217">
        <f>SUM(D40:D47)</f>
        <v>5726278.2184999986</v>
      </c>
      <c r="E49" s="217">
        <f>SUM(E40:E47)</f>
        <v>0</v>
      </c>
      <c r="F49" s="217">
        <f>SUM(F40:F47)</f>
        <v>0</v>
      </c>
      <c r="G49" s="217">
        <f>SUM(G40:G47)</f>
        <v>0</v>
      </c>
      <c r="H49" s="217">
        <f>SUM(H40:H47)</f>
        <v>5726278.2184999986</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3.15" customHeight="1" x14ac:dyDescent="0.55000000000000004">
      <c r="A52" s="183" t="s">
        <v>255</v>
      </c>
      <c r="B52" s="221" t="s">
        <v>256</v>
      </c>
    </row>
    <row r="53" spans="1:8" ht="18" customHeight="1" x14ac:dyDescent="0.55000000000000004">
      <c r="A53" s="180" t="s">
        <v>257</v>
      </c>
      <c r="B53" s="176" t="s">
        <v>433</v>
      </c>
      <c r="D53" s="273">
        <v>22593449.370240603</v>
      </c>
      <c r="E53" s="222"/>
      <c r="F53" s="222"/>
      <c r="G53" s="360">
        <v>3367952</v>
      </c>
      <c r="H53" s="217">
        <f>(D53+E53)-F53-G53</f>
        <v>19225497.370240603</v>
      </c>
    </row>
    <row r="54" spans="1:8" ht="18" customHeight="1" x14ac:dyDescent="0.55000000000000004">
      <c r="A54" s="180" t="s">
        <v>259</v>
      </c>
      <c r="B54" s="193"/>
      <c r="D54" s="184"/>
      <c r="E54" s="216"/>
      <c r="F54" s="216"/>
      <c r="G54" s="184"/>
      <c r="H54" s="217">
        <f t="shared" ref="H54:H62" si="3">(D54+E54)-F54-G54</f>
        <v>0</v>
      </c>
    </row>
    <row r="55" spans="1:8" ht="18" customHeight="1" x14ac:dyDescent="0.55000000000000004">
      <c r="A55" s="180" t="s">
        <v>260</v>
      </c>
      <c r="B55" s="194"/>
      <c r="D55" s="184"/>
      <c r="E55" s="216"/>
      <c r="F55" s="216"/>
      <c r="G55" s="184"/>
      <c r="H55" s="217">
        <f t="shared" si="3"/>
        <v>0</v>
      </c>
    </row>
    <row r="56" spans="1:8" ht="18" customHeight="1" x14ac:dyDescent="0.55000000000000004">
      <c r="A56" s="180" t="s">
        <v>261</v>
      </c>
      <c r="B56" s="193"/>
      <c r="D56" s="184"/>
      <c r="E56" s="216"/>
      <c r="F56" s="216"/>
      <c r="G56" s="184"/>
      <c r="H56" s="217">
        <f t="shared" si="3"/>
        <v>0</v>
      </c>
    </row>
    <row r="57" spans="1:8" ht="18" customHeight="1" x14ac:dyDescent="0.55000000000000004">
      <c r="A57" s="180" t="s">
        <v>263</v>
      </c>
      <c r="B57" s="193"/>
      <c r="D57" s="184"/>
      <c r="E57" s="216"/>
      <c r="F57" s="216"/>
      <c r="G57" s="184"/>
      <c r="H57" s="217">
        <f t="shared" si="3"/>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3"/>
        <v>0</v>
      </c>
    </row>
    <row r="60" spans="1:8" ht="18" customHeight="1" x14ac:dyDescent="0.55000000000000004">
      <c r="A60" s="180" t="s">
        <v>266</v>
      </c>
      <c r="B60" s="226"/>
      <c r="C60" s="212"/>
      <c r="D60" s="222"/>
      <c r="E60" s="222"/>
      <c r="F60" s="222"/>
      <c r="G60" s="222"/>
      <c r="H60" s="217">
        <f t="shared" si="3"/>
        <v>0</v>
      </c>
    </row>
    <row r="61" spans="1:8" ht="18" customHeight="1" x14ac:dyDescent="0.55000000000000004">
      <c r="A61" s="180" t="s">
        <v>267</v>
      </c>
      <c r="B61" s="226"/>
      <c r="C61" s="212"/>
      <c r="D61" s="222"/>
      <c r="E61" s="222"/>
      <c r="F61" s="222"/>
      <c r="G61" s="222"/>
      <c r="H61" s="217">
        <f t="shared" si="3"/>
        <v>0</v>
      </c>
    </row>
    <row r="62" spans="1:8" ht="18" customHeight="1" x14ac:dyDescent="0.55000000000000004">
      <c r="A62" s="180" t="s">
        <v>268</v>
      </c>
      <c r="B62" s="226"/>
      <c r="C62" s="212"/>
      <c r="D62" s="222"/>
      <c r="E62" s="222"/>
      <c r="F62" s="222"/>
      <c r="G62" s="222"/>
      <c r="H62" s="217">
        <f t="shared" si="3"/>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22593449.370240603</v>
      </c>
      <c r="E64" s="217">
        <f>SUM(E53:E62)</f>
        <v>0</v>
      </c>
      <c r="F64" s="217">
        <f>SUM(F53:F62)</f>
        <v>0</v>
      </c>
      <c r="G64" s="217">
        <f>SUM(G53:G62)</f>
        <v>3367952</v>
      </c>
      <c r="H64" s="217">
        <f>SUM(H53:H62)</f>
        <v>19225497.370240603</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27000</v>
      </c>
      <c r="E77" s="230"/>
      <c r="F77" s="220"/>
      <c r="G77" s="184"/>
      <c r="H77" s="217">
        <f>(D77-F77-G77)</f>
        <v>27000</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v>15000</v>
      </c>
      <c r="E79" s="230"/>
      <c r="F79" s="220"/>
      <c r="G79" s="184"/>
      <c r="H79" s="217">
        <f>(D79-F79-G79)</f>
        <v>15000</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42000</v>
      </c>
      <c r="E82" s="231"/>
      <c r="F82" s="217">
        <f>SUM(F77:F80)</f>
        <v>0</v>
      </c>
      <c r="G82" s="217">
        <f>SUM(G77:G80)</f>
        <v>0</v>
      </c>
      <c r="H82" s="217">
        <f>SUM(H77:H80)</f>
        <v>42000</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f>+D86*$E$114</f>
        <v>0</v>
      </c>
      <c r="F86" s="216"/>
      <c r="G86" s="184"/>
      <c r="H86" s="217">
        <f>(D86+E86)-F86-G86</f>
        <v>0</v>
      </c>
    </row>
    <row r="87" spans="1:8" ht="18" customHeight="1" x14ac:dyDescent="0.55000000000000004">
      <c r="A87" s="180" t="s">
        <v>287</v>
      </c>
      <c r="B87" s="176" t="s">
        <v>177</v>
      </c>
      <c r="D87" s="184"/>
      <c r="E87" s="216">
        <f t="shared" ref="E87:E96" si="4">+D87*$E$114</f>
        <v>0</v>
      </c>
      <c r="F87" s="216"/>
      <c r="G87" s="184"/>
      <c r="H87" s="217">
        <f t="shared" ref="H87:H96" si="5">(D87+E87)-F87-G87</f>
        <v>0</v>
      </c>
    </row>
    <row r="88" spans="1:8" ht="18" customHeight="1" x14ac:dyDescent="0.55000000000000004">
      <c r="A88" s="180" t="s">
        <v>288</v>
      </c>
      <c r="B88" s="176" t="s">
        <v>289</v>
      </c>
      <c r="D88" s="184">
        <v>5078</v>
      </c>
      <c r="E88" s="216">
        <f>+D88*$G$114</f>
        <v>710.92000000000007</v>
      </c>
      <c r="F88" s="216"/>
      <c r="G88" s="184"/>
      <c r="H88" s="217">
        <f>(D88+E88)-F88-G88</f>
        <v>5788.92</v>
      </c>
    </row>
    <row r="89" spans="1:8" ht="18" customHeight="1" x14ac:dyDescent="0.55000000000000004">
      <c r="A89" s="180" t="s">
        <v>290</v>
      </c>
      <c r="B89" s="176" t="s">
        <v>181</v>
      </c>
      <c r="D89" s="184">
        <v>17383.828799999999</v>
      </c>
      <c r="E89" s="216">
        <f>+D89*$G$114</f>
        <v>2433.7360320000003</v>
      </c>
      <c r="F89" s="216"/>
      <c r="G89" s="184"/>
      <c r="H89" s="217">
        <f>(D89+E89)-F89-G89</f>
        <v>19817.564832</v>
      </c>
    </row>
    <row r="90" spans="1:8" ht="18" customHeight="1" x14ac:dyDescent="0.55000000000000004">
      <c r="A90" s="180" t="s">
        <v>291</v>
      </c>
      <c r="B90" s="176" t="s">
        <v>183</v>
      </c>
      <c r="D90" s="184">
        <v>0</v>
      </c>
      <c r="E90" s="216">
        <f t="shared" si="4"/>
        <v>0</v>
      </c>
      <c r="F90" s="216"/>
      <c r="G90" s="184"/>
      <c r="H90" s="217">
        <f t="shared" si="5"/>
        <v>0</v>
      </c>
    </row>
    <row r="91" spans="1:8" ht="18" customHeight="1" x14ac:dyDescent="0.55000000000000004">
      <c r="A91" s="180" t="s">
        <v>292</v>
      </c>
      <c r="B91" s="176" t="s">
        <v>185</v>
      </c>
      <c r="D91" s="184">
        <v>0</v>
      </c>
      <c r="E91" s="216">
        <f t="shared" si="4"/>
        <v>0</v>
      </c>
      <c r="F91" s="216"/>
      <c r="G91" s="184"/>
      <c r="H91" s="217">
        <f t="shared" si="5"/>
        <v>0</v>
      </c>
    </row>
    <row r="92" spans="1:8" ht="18" customHeight="1" x14ac:dyDescent="0.55000000000000004">
      <c r="A92" s="180" t="s">
        <v>293</v>
      </c>
      <c r="B92" s="176" t="s">
        <v>294</v>
      </c>
      <c r="D92" s="233"/>
      <c r="E92" s="216">
        <f t="shared" si="4"/>
        <v>0</v>
      </c>
      <c r="F92" s="234"/>
      <c r="G92" s="233"/>
      <c r="H92" s="217">
        <f t="shared" si="5"/>
        <v>0</v>
      </c>
    </row>
    <row r="93" spans="1:8" ht="18" customHeight="1" x14ac:dyDescent="0.55000000000000004">
      <c r="A93" s="180" t="s">
        <v>295</v>
      </c>
      <c r="B93" s="176" t="s">
        <v>296</v>
      </c>
      <c r="D93" s="184">
        <v>378673.36</v>
      </c>
      <c r="E93" s="216">
        <f t="shared" si="4"/>
        <v>291585.49607199465</v>
      </c>
      <c r="F93" s="216"/>
      <c r="G93" s="184"/>
      <c r="H93" s="217">
        <f t="shared" si="5"/>
        <v>670258.85607199464</v>
      </c>
    </row>
    <row r="94" spans="1:8" ht="18" customHeight="1" x14ac:dyDescent="0.55000000000000004">
      <c r="A94" s="180" t="s">
        <v>297</v>
      </c>
      <c r="B94" s="193"/>
      <c r="D94" s="184"/>
      <c r="E94" s="216">
        <f t="shared" si="4"/>
        <v>0</v>
      </c>
      <c r="F94" s="216"/>
      <c r="G94" s="184"/>
      <c r="H94" s="217">
        <f t="shared" si="5"/>
        <v>0</v>
      </c>
    </row>
    <row r="95" spans="1:8" ht="18" customHeight="1" x14ac:dyDescent="0.55000000000000004">
      <c r="A95" s="180" t="s">
        <v>298</v>
      </c>
      <c r="B95" s="193"/>
      <c r="D95" s="184"/>
      <c r="E95" s="216">
        <f t="shared" si="4"/>
        <v>0</v>
      </c>
      <c r="F95" s="216"/>
      <c r="G95" s="184"/>
      <c r="H95" s="217">
        <f t="shared" si="5"/>
        <v>0</v>
      </c>
    </row>
    <row r="96" spans="1:8" ht="18" customHeight="1" x14ac:dyDescent="0.55000000000000004">
      <c r="A96" s="180" t="s">
        <v>299</v>
      </c>
      <c r="B96" s="193"/>
      <c r="D96" s="184"/>
      <c r="E96" s="216">
        <f t="shared" si="4"/>
        <v>0</v>
      </c>
      <c r="F96" s="216"/>
      <c r="G96" s="184"/>
      <c r="H96" s="217">
        <f t="shared" si="5"/>
        <v>0</v>
      </c>
    </row>
    <row r="97" spans="1:8" ht="18" customHeight="1" x14ac:dyDescent="0.55000000000000004">
      <c r="A97" s="180"/>
    </row>
    <row r="98" spans="1:8" ht="18" customHeight="1" x14ac:dyDescent="0.55000000000000004">
      <c r="A98" s="183" t="s">
        <v>193</v>
      </c>
      <c r="B98" s="179" t="s">
        <v>300</v>
      </c>
      <c r="C98" s="179" t="s">
        <v>248</v>
      </c>
      <c r="D98" s="217">
        <f>SUM(D86:D96)</f>
        <v>401135.1888</v>
      </c>
      <c r="E98" s="217">
        <f>SUM(E86:E96)</f>
        <v>294730.15210399468</v>
      </c>
      <c r="F98" s="217">
        <f>SUM(F86:F96)</f>
        <v>0</v>
      </c>
      <c r="G98" s="217">
        <f>SUM(G86:G96)</f>
        <v>0</v>
      </c>
      <c r="H98" s="217">
        <f>SUM(H86:H96)</f>
        <v>695865.34090399463</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57678.045360000004</v>
      </c>
      <c r="E102" s="216">
        <f>+D102*$E$114</f>
        <v>44413.162491173425</v>
      </c>
      <c r="F102" s="216"/>
      <c r="G102" s="184"/>
      <c r="H102" s="217">
        <f>(D102+E102)-F102-G102</f>
        <v>102091.20785117343</v>
      </c>
    </row>
    <row r="103" spans="1:8" ht="18" customHeight="1" x14ac:dyDescent="0.55000000000000004">
      <c r="A103" s="180" t="s">
        <v>304</v>
      </c>
      <c r="B103" s="176" t="s">
        <v>199</v>
      </c>
      <c r="D103" s="184">
        <v>15623.74944</v>
      </c>
      <c r="E103" s="216">
        <f>+D103*$E$114</f>
        <v>12030.576249057893</v>
      </c>
      <c r="F103" s="216"/>
      <c r="G103" s="184"/>
      <c r="H103" s="217">
        <f>(D103+E103)-F103-G103</f>
        <v>27654.325689057892</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73301.794800000003</v>
      </c>
      <c r="E108" s="217">
        <f>SUM(E102:E106)</f>
        <v>56443.738740231318</v>
      </c>
      <c r="F108" s="217">
        <f>SUM(F102:F106)</f>
        <v>0</v>
      </c>
      <c r="G108" s="217">
        <f>SUM(G102:G106)</f>
        <v>0</v>
      </c>
      <c r="H108" s="217">
        <f>SUM(H102:H106)</f>
        <v>129745.53354023132</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3929000</v>
      </c>
      <c r="G111" s="184"/>
      <c r="H111" s="217">
        <f>F111-G111</f>
        <v>3929000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0.77001850901788993</v>
      </c>
      <c r="F114" s="235" t="s">
        <v>429</v>
      </c>
      <c r="G114" s="236">
        <v>0.14000000000000001</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198271000</v>
      </c>
      <c r="F117" s="237"/>
    </row>
    <row r="118" spans="1:7" ht="18" customHeight="1" x14ac:dyDescent="0.55000000000000004">
      <c r="A118" s="180" t="s">
        <v>319</v>
      </c>
      <c r="B118" s="176" t="s">
        <v>320</v>
      </c>
      <c r="E118" s="184">
        <v>24714000</v>
      </c>
      <c r="F118" s="237"/>
    </row>
    <row r="119" spans="1:7" ht="18" customHeight="1" x14ac:dyDescent="0.55000000000000004">
      <c r="A119" s="180" t="s">
        <v>321</v>
      </c>
      <c r="B119" s="179" t="s">
        <v>322</v>
      </c>
      <c r="E119" s="217">
        <f>SUM(E117:E118)</f>
        <v>222985000</v>
      </c>
      <c r="F119" s="238"/>
    </row>
    <row r="120" spans="1:7" ht="18" customHeight="1" x14ac:dyDescent="0.55000000000000004">
      <c r="A120" s="180"/>
      <c r="B120" s="179"/>
      <c r="F120" s="212"/>
    </row>
    <row r="121" spans="1:7" ht="18" customHeight="1" x14ac:dyDescent="0.55000000000000004">
      <c r="A121" s="180" t="s">
        <v>323</v>
      </c>
      <c r="B121" s="179" t="s">
        <v>324</v>
      </c>
      <c r="E121" s="184">
        <v>245964000</v>
      </c>
      <c r="F121" s="237"/>
    </row>
    <row r="122" spans="1:7" ht="18" customHeight="1" x14ac:dyDescent="0.55000000000000004">
      <c r="A122" s="180"/>
      <c r="F122" s="212"/>
    </row>
    <row r="123" spans="1:7" ht="18" customHeight="1" x14ac:dyDescent="0.55000000000000004">
      <c r="A123" s="180" t="s">
        <v>325</v>
      </c>
      <c r="B123" s="179" t="s">
        <v>326</v>
      </c>
      <c r="E123" s="184">
        <v>-22979000</v>
      </c>
      <c r="F123" s="237"/>
    </row>
    <row r="124" spans="1:7" ht="18" customHeight="1" x14ac:dyDescent="0.55000000000000004">
      <c r="A124" s="180"/>
      <c r="F124" s="212"/>
    </row>
    <row r="125" spans="1:7" ht="18" customHeight="1" x14ac:dyDescent="0.55000000000000004">
      <c r="A125" s="180" t="s">
        <v>327</v>
      </c>
      <c r="B125" s="179" t="s">
        <v>328</v>
      </c>
      <c r="E125" s="184">
        <v>-1286000</v>
      </c>
      <c r="F125" s="237"/>
    </row>
    <row r="126" spans="1:7" ht="18" customHeight="1" x14ac:dyDescent="0.55000000000000004">
      <c r="A126" s="180"/>
      <c r="F126" s="212"/>
    </row>
    <row r="127" spans="1:7" ht="18" customHeight="1" x14ac:dyDescent="0.55000000000000004">
      <c r="A127" s="180" t="s">
        <v>329</v>
      </c>
      <c r="B127" s="179" t="s">
        <v>330</v>
      </c>
      <c r="E127" s="184">
        <v>-24265000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1171857.0293999999</v>
      </c>
      <c r="E141" s="239">
        <f>E36</f>
        <v>192565.42860406611</v>
      </c>
      <c r="F141" s="239">
        <f>F36</f>
        <v>0</v>
      </c>
      <c r="G141" s="239">
        <f>G36</f>
        <v>0</v>
      </c>
      <c r="H141" s="239">
        <f>H36</f>
        <v>1364422.458004066</v>
      </c>
    </row>
    <row r="142" spans="1:8" ht="18" customHeight="1" x14ac:dyDescent="0.55000000000000004">
      <c r="A142" s="180" t="s">
        <v>150</v>
      </c>
      <c r="B142" s="179" t="s">
        <v>220</v>
      </c>
      <c r="D142" s="239">
        <f>D49</f>
        <v>5726278.2184999986</v>
      </c>
      <c r="E142" s="239">
        <f>E49</f>
        <v>0</v>
      </c>
      <c r="F142" s="239">
        <f>F49</f>
        <v>0</v>
      </c>
      <c r="G142" s="239">
        <f>G49</f>
        <v>0</v>
      </c>
      <c r="H142" s="239">
        <f>H49</f>
        <v>5726278.2184999986</v>
      </c>
    </row>
    <row r="143" spans="1:8" ht="18" customHeight="1" x14ac:dyDescent="0.55000000000000004">
      <c r="A143" s="180" t="s">
        <v>269</v>
      </c>
      <c r="B143" s="179" t="s">
        <v>222</v>
      </c>
      <c r="D143" s="239">
        <f>D64</f>
        <v>22593449.370240603</v>
      </c>
      <c r="E143" s="239">
        <f>E64</f>
        <v>0</v>
      </c>
      <c r="F143" s="239">
        <f>F64</f>
        <v>0</v>
      </c>
      <c r="G143" s="239">
        <f>G64</f>
        <v>3367952</v>
      </c>
      <c r="H143" s="239">
        <f>H64</f>
        <v>19225497.370240603</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42000</v>
      </c>
      <c r="E145" s="239">
        <f>E82</f>
        <v>0</v>
      </c>
      <c r="F145" s="239">
        <f>F82</f>
        <v>0</v>
      </c>
      <c r="G145" s="239">
        <f>G82</f>
        <v>0</v>
      </c>
      <c r="H145" s="239">
        <f>H82</f>
        <v>42000</v>
      </c>
    </row>
    <row r="146" spans="1:8" ht="18" customHeight="1" x14ac:dyDescent="0.55000000000000004">
      <c r="A146" s="180" t="s">
        <v>193</v>
      </c>
      <c r="B146" s="179" t="s">
        <v>226</v>
      </c>
      <c r="D146" s="239">
        <f>D98</f>
        <v>401135.1888</v>
      </c>
      <c r="E146" s="239">
        <f>E98</f>
        <v>294730.15210399468</v>
      </c>
      <c r="F146" s="239">
        <f>F98</f>
        <v>0</v>
      </c>
      <c r="G146" s="239">
        <f>G98</f>
        <v>0</v>
      </c>
      <c r="H146" s="239">
        <f>H98</f>
        <v>695865.34090399463</v>
      </c>
    </row>
    <row r="147" spans="1:8" ht="18" customHeight="1" x14ac:dyDescent="0.55000000000000004">
      <c r="A147" s="180" t="s">
        <v>204</v>
      </c>
      <c r="B147" s="179" t="s">
        <v>71</v>
      </c>
      <c r="D147" s="217">
        <f>D108</f>
        <v>73301.794800000003</v>
      </c>
      <c r="E147" s="217">
        <f>E108</f>
        <v>56443.738740231318</v>
      </c>
      <c r="F147" s="217">
        <f>F108</f>
        <v>0</v>
      </c>
      <c r="G147" s="217">
        <f>G108</f>
        <v>0</v>
      </c>
      <c r="H147" s="217">
        <f>H108</f>
        <v>129745.53354023132</v>
      </c>
    </row>
    <row r="148" spans="1:8" ht="18" customHeight="1" x14ac:dyDescent="0.55000000000000004">
      <c r="A148" s="180" t="s">
        <v>310</v>
      </c>
      <c r="B148" s="179" t="s">
        <v>58</v>
      </c>
      <c r="D148" s="240" t="s">
        <v>245</v>
      </c>
      <c r="E148" s="240" t="s">
        <v>245</v>
      </c>
      <c r="F148" s="240"/>
      <c r="G148" s="240" t="s">
        <v>245</v>
      </c>
      <c r="H148" s="239">
        <f>H111</f>
        <v>3929000</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4122514.9353764234</v>
      </c>
      <c r="E150" s="217">
        <f>E18</f>
        <v>0</v>
      </c>
      <c r="F150" s="217">
        <f>F18</f>
        <v>0</v>
      </c>
      <c r="G150" s="217">
        <f>G18</f>
        <v>3416617.3373211324</v>
      </c>
      <c r="H150" s="217">
        <f>H18</f>
        <v>705897.59805529099</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34130536.537117019</v>
      </c>
      <c r="E152" s="241">
        <f>SUM(E141:E150)</f>
        <v>543739.31944829202</v>
      </c>
      <c r="F152" s="241">
        <f>SUM(F141:F150)</f>
        <v>0</v>
      </c>
      <c r="G152" s="241">
        <f>SUM(G141:G150)</f>
        <v>6784569.3373211324</v>
      </c>
      <c r="H152" s="241">
        <f>SUM(H141:H150)</f>
        <v>31818706.519244183</v>
      </c>
    </row>
    <row r="154" spans="1:8" ht="18" customHeight="1" x14ac:dyDescent="0.55000000000000004">
      <c r="A154" s="183" t="s">
        <v>339</v>
      </c>
      <c r="B154" s="179" t="s">
        <v>340</v>
      </c>
      <c r="D154" s="242">
        <f>H152/E121</f>
        <v>0.12936326665383627</v>
      </c>
    </row>
    <row r="155" spans="1:8" ht="18" customHeight="1" x14ac:dyDescent="0.55000000000000004">
      <c r="A155" s="183" t="s">
        <v>341</v>
      </c>
      <c r="B155" s="179" t="s">
        <v>342</v>
      </c>
      <c r="D155" s="242">
        <f>H152/E127</f>
        <v>-1.311300495332544</v>
      </c>
    </row>
  </sheetData>
  <mergeCells count="3">
    <mergeCell ref="C2:D2"/>
    <mergeCell ref="C5:E5"/>
    <mergeCell ref="B13:D13"/>
  </mergeCells>
  <pageMargins left="0.7" right="0.7" top="0.75" bottom="0.75" header="0.3" footer="0.3"/>
  <pageSetup orientation="portrait" horizontalDpi="1200" verticalDpi="12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1B6C2-231E-4DE0-BE35-678F4CF26475}">
  <sheetPr codeName="Sheet40"/>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4.68359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01" t="s">
        <v>576</v>
      </c>
      <c r="D5" s="501"/>
      <c r="E5" s="361"/>
      <c r="F5" s="208"/>
    </row>
    <row r="6" spans="1:8" ht="18" customHeight="1" x14ac:dyDescent="0.55000000000000004">
      <c r="B6" s="180" t="s">
        <v>237</v>
      </c>
      <c r="C6" s="243">
        <v>210039</v>
      </c>
      <c r="D6" s="243"/>
      <c r="E6" s="243"/>
      <c r="F6" s="209"/>
    </row>
    <row r="7" spans="1:8" ht="18" customHeight="1" x14ac:dyDescent="0.55000000000000004">
      <c r="B7" s="180" t="s">
        <v>238</v>
      </c>
      <c r="C7" s="245">
        <v>1150</v>
      </c>
      <c r="D7" s="245"/>
      <c r="E7" s="245"/>
      <c r="F7" s="210"/>
    </row>
    <row r="8" spans="1:8" ht="18" customHeight="1" x14ac:dyDescent="0.55000000000000004">
      <c r="C8" s="255"/>
      <c r="D8" s="255"/>
      <c r="E8" s="255"/>
      <c r="F8" s="212"/>
    </row>
    <row r="9" spans="1:8" ht="18" customHeight="1" x14ac:dyDescent="0.55000000000000004">
      <c r="B9" s="180" t="s">
        <v>239</v>
      </c>
      <c r="C9" s="501" t="s">
        <v>577</v>
      </c>
      <c r="D9" s="501"/>
      <c r="E9" s="361"/>
      <c r="F9" s="208"/>
    </row>
    <row r="10" spans="1:8" ht="18" customHeight="1" x14ac:dyDescent="0.55000000000000004">
      <c r="B10" s="180" t="s">
        <v>241</v>
      </c>
      <c r="C10" s="513" t="s">
        <v>578</v>
      </c>
      <c r="D10" s="513"/>
      <c r="E10" s="256"/>
      <c r="F10" s="213"/>
    </row>
    <row r="11" spans="1:8" ht="18" customHeight="1" x14ac:dyDescent="0.55000000000000004">
      <c r="B11" s="180" t="s">
        <v>243</v>
      </c>
      <c r="C11" s="501" t="s">
        <v>579</v>
      </c>
      <c r="D11" s="501"/>
      <c r="E11" s="50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9" ht="18" customHeight="1" x14ac:dyDescent="0.55000000000000004">
      <c r="A17" s="183" t="s">
        <v>101</v>
      </c>
      <c r="B17" s="179" t="s">
        <v>102</v>
      </c>
    </row>
    <row r="18" spans="1:9" ht="18" customHeight="1" x14ac:dyDescent="0.55000000000000004">
      <c r="A18" s="180" t="s">
        <v>103</v>
      </c>
      <c r="B18" s="176" t="s">
        <v>104</v>
      </c>
      <c r="D18" s="249">
        <v>2852345.8787458646</v>
      </c>
      <c r="E18" s="249"/>
      <c r="F18" s="249"/>
      <c r="G18" s="249">
        <v>2363939.1328171766</v>
      </c>
      <c r="H18" s="249">
        <f>(D18+E18)-G18</f>
        <v>488406.74592868797</v>
      </c>
    </row>
    <row r="19" spans="1:9" ht="45" customHeight="1" x14ac:dyDescent="0.55000000000000004">
      <c r="A19" s="178" t="s">
        <v>105</v>
      </c>
      <c r="B19" s="177"/>
      <c r="C19" s="177"/>
      <c r="D19" s="182" t="s">
        <v>99</v>
      </c>
      <c r="E19" s="182" t="s">
        <v>100</v>
      </c>
      <c r="F19" s="182" t="s">
        <v>431</v>
      </c>
      <c r="G19" s="182" t="s">
        <v>432</v>
      </c>
      <c r="H19" s="182" t="s">
        <v>244</v>
      </c>
    </row>
    <row r="20" spans="1:9" ht="18" customHeight="1" x14ac:dyDescent="0.55000000000000004">
      <c r="A20" s="183" t="s">
        <v>108</v>
      </c>
      <c r="B20" s="179" t="s">
        <v>109</v>
      </c>
    </row>
    <row r="21" spans="1:9" ht="18" customHeight="1" x14ac:dyDescent="0.55000000000000004">
      <c r="A21" s="180" t="s">
        <v>110</v>
      </c>
      <c r="B21" s="176" t="s">
        <v>111</v>
      </c>
      <c r="D21" s="307">
        <v>360473</v>
      </c>
      <c r="E21" s="307">
        <f>D21*$G$114</f>
        <v>120037.50900000001</v>
      </c>
      <c r="F21" s="362"/>
      <c r="G21" s="309">
        <v>17421</v>
      </c>
      <c r="H21" s="312">
        <f>(D21+E21)-F21-G21</f>
        <v>463089.50900000002</v>
      </c>
      <c r="I21" s="363"/>
    </row>
    <row r="22" spans="1:9" ht="18" customHeight="1" x14ac:dyDescent="0.55000000000000004">
      <c r="A22" s="180" t="s">
        <v>112</v>
      </c>
      <c r="B22" s="176" t="s">
        <v>113</v>
      </c>
      <c r="D22" s="307">
        <v>2219</v>
      </c>
      <c r="E22" s="307">
        <f>D22*E114</f>
        <v>1824.0179999999998</v>
      </c>
      <c r="F22" s="362"/>
      <c r="G22" s="309">
        <v>0</v>
      </c>
      <c r="H22" s="312">
        <f>(D22+E22)-F22-G22</f>
        <v>4043.018</v>
      </c>
      <c r="I22" s="363"/>
    </row>
    <row r="23" spans="1:9" ht="18" customHeight="1" x14ac:dyDescent="0.55000000000000004">
      <c r="A23" s="180" t="s">
        <v>114</v>
      </c>
      <c r="B23" s="176" t="s">
        <v>115</v>
      </c>
      <c r="D23" s="273"/>
      <c r="E23" s="307"/>
      <c r="F23" s="362"/>
      <c r="G23" s="309"/>
      <c r="H23" s="312"/>
      <c r="I23" s="363"/>
    </row>
    <row r="24" spans="1:9" ht="18" customHeight="1" x14ac:dyDescent="0.55000000000000004">
      <c r="A24" s="180" t="s">
        <v>116</v>
      </c>
      <c r="B24" s="176" t="s">
        <v>117</v>
      </c>
      <c r="D24" s="307">
        <v>528595</v>
      </c>
      <c r="E24" s="307">
        <f>D24*$G$114</f>
        <v>176022.13500000001</v>
      </c>
      <c r="F24" s="362"/>
      <c r="G24" s="309">
        <v>0</v>
      </c>
      <c r="H24" s="312">
        <f>(D24+E24)-F24-G24</f>
        <v>704617.13500000001</v>
      </c>
      <c r="I24" s="363"/>
    </row>
    <row r="25" spans="1:9" ht="18" customHeight="1" x14ac:dyDescent="0.55000000000000004">
      <c r="A25" s="180" t="s">
        <v>118</v>
      </c>
      <c r="B25" s="176" t="s">
        <v>119</v>
      </c>
      <c r="D25" s="307">
        <v>460</v>
      </c>
      <c r="E25" s="307">
        <f>D25*$G$114</f>
        <v>153.18</v>
      </c>
      <c r="F25" s="362"/>
      <c r="G25" s="309">
        <v>0</v>
      </c>
      <c r="H25" s="312">
        <f>(D25+E25)-F25-G25</f>
        <v>613.18000000000006</v>
      </c>
      <c r="I25" s="363"/>
    </row>
    <row r="26" spans="1:9" ht="18" customHeight="1" x14ac:dyDescent="0.55000000000000004">
      <c r="A26" s="180" t="s">
        <v>120</v>
      </c>
      <c r="B26" s="176" t="s">
        <v>121</v>
      </c>
      <c r="D26" s="307"/>
      <c r="E26" s="307"/>
      <c r="F26" s="362"/>
      <c r="G26" s="309"/>
      <c r="H26" s="312">
        <f t="shared" ref="H26:H34" si="0">(D26+E26)-F26-G26</f>
        <v>0</v>
      </c>
      <c r="I26" s="363"/>
    </row>
    <row r="27" spans="1:9" ht="18" customHeight="1" x14ac:dyDescent="0.55000000000000004">
      <c r="A27" s="180" t="s">
        <v>122</v>
      </c>
      <c r="B27" s="176" t="s">
        <v>246</v>
      </c>
      <c r="D27" s="307"/>
      <c r="E27" s="307"/>
      <c r="F27" s="362"/>
      <c r="G27" s="309"/>
      <c r="H27" s="312">
        <f t="shared" si="0"/>
        <v>0</v>
      </c>
      <c r="I27" s="363"/>
    </row>
    <row r="28" spans="1:9" ht="18" customHeight="1" x14ac:dyDescent="0.55000000000000004">
      <c r="A28" s="180" t="s">
        <v>124</v>
      </c>
      <c r="B28" s="176" t="s">
        <v>125</v>
      </c>
      <c r="D28" s="307">
        <v>16474</v>
      </c>
      <c r="E28" s="307">
        <f>D28*$G$114</f>
        <v>5485.8420000000006</v>
      </c>
      <c r="F28" s="362"/>
      <c r="G28" s="309">
        <v>0</v>
      </c>
      <c r="H28" s="312">
        <f t="shared" si="0"/>
        <v>21959.842000000001</v>
      </c>
      <c r="I28" s="363"/>
    </row>
    <row r="29" spans="1:9" ht="18" customHeight="1" x14ac:dyDescent="0.55000000000000004">
      <c r="A29" s="180" t="s">
        <v>126</v>
      </c>
      <c r="B29" s="176" t="s">
        <v>127</v>
      </c>
      <c r="D29" s="364">
        <v>153827</v>
      </c>
      <c r="E29" s="307">
        <v>126444</v>
      </c>
      <c r="F29" s="362"/>
      <c r="G29" s="309">
        <v>0</v>
      </c>
      <c r="H29" s="312">
        <f t="shared" si="0"/>
        <v>280271</v>
      </c>
      <c r="I29" s="363"/>
    </row>
    <row r="30" spans="1:9" ht="18" customHeight="1" x14ac:dyDescent="0.55000000000000004">
      <c r="A30" s="180" t="s">
        <v>128</v>
      </c>
      <c r="B30" s="185"/>
      <c r="D30" s="307"/>
      <c r="E30" s="307"/>
      <c r="F30" s="362"/>
      <c r="G30" s="309"/>
      <c r="H30" s="312">
        <f t="shared" si="0"/>
        <v>0</v>
      </c>
    </row>
    <row r="31" spans="1:9" ht="18" customHeight="1" x14ac:dyDescent="0.55000000000000004">
      <c r="A31" s="180" t="s">
        <v>130</v>
      </c>
      <c r="B31" s="185"/>
      <c r="D31" s="309"/>
      <c r="E31" s="308"/>
      <c r="F31" s="308"/>
      <c r="G31" s="309"/>
      <c r="H31" s="312">
        <f t="shared" si="0"/>
        <v>0</v>
      </c>
    </row>
    <row r="32" spans="1:9" ht="18" customHeight="1" x14ac:dyDescent="0.55000000000000004">
      <c r="A32" s="180" t="s">
        <v>131</v>
      </c>
      <c r="B32" s="185"/>
      <c r="D32" s="309"/>
      <c r="E32" s="308"/>
      <c r="F32" s="308"/>
      <c r="G32" s="309"/>
      <c r="H32" s="312">
        <f t="shared" si="0"/>
        <v>0</v>
      </c>
    </row>
    <row r="33" spans="1:9" ht="18" customHeight="1" x14ac:dyDescent="0.55000000000000004">
      <c r="A33" s="180" t="s">
        <v>132</v>
      </c>
      <c r="B33" s="185"/>
      <c r="D33" s="309"/>
      <c r="E33" s="308"/>
      <c r="F33" s="308"/>
      <c r="G33" s="309"/>
      <c r="H33" s="312">
        <f t="shared" si="0"/>
        <v>0</v>
      </c>
    </row>
    <row r="34" spans="1:9" ht="18" customHeight="1" x14ac:dyDescent="0.55000000000000004">
      <c r="A34" s="180" t="s">
        <v>133</v>
      </c>
      <c r="B34" s="185"/>
      <c r="D34" s="309"/>
      <c r="E34" s="308"/>
      <c r="F34" s="308"/>
      <c r="G34" s="309"/>
      <c r="H34" s="312">
        <f t="shared" si="0"/>
        <v>0</v>
      </c>
    </row>
    <row r="35" spans="1:9" ht="18" customHeight="1" x14ac:dyDescent="0.55000000000000004">
      <c r="D35" s="262"/>
      <c r="E35" s="262"/>
      <c r="F35" s="262"/>
      <c r="G35" s="262"/>
      <c r="H35" s="365"/>
    </row>
    <row r="36" spans="1:9" ht="18" customHeight="1" x14ac:dyDescent="0.55000000000000004">
      <c r="A36" s="183" t="s">
        <v>134</v>
      </c>
      <c r="B36" s="179" t="s">
        <v>135</v>
      </c>
      <c r="C36" s="179" t="s">
        <v>248</v>
      </c>
      <c r="D36" s="312">
        <f>SUM(D21:D34)</f>
        <v>1062048</v>
      </c>
      <c r="E36" s="312">
        <f>SUM(E21:E34)</f>
        <v>429966.68400000001</v>
      </c>
      <c r="F36" s="312">
        <f>SUM(F21:F34)</f>
        <v>0</v>
      </c>
      <c r="G36" s="312">
        <f>SUM(G21:G34)</f>
        <v>17421</v>
      </c>
      <c r="H36" s="312">
        <f>SUM(H21:H34)</f>
        <v>1474593.6839999999</v>
      </c>
    </row>
    <row r="37" spans="1:9" ht="18" customHeight="1" thickBot="1" x14ac:dyDescent="0.6">
      <c r="B37" s="179"/>
      <c r="D37" s="187"/>
      <c r="E37" s="187"/>
      <c r="F37" s="187"/>
      <c r="G37" s="187"/>
      <c r="H37" s="188"/>
    </row>
    <row r="38" spans="1:9" ht="42.75" customHeight="1" x14ac:dyDescent="0.55000000000000004">
      <c r="D38" s="182" t="s">
        <v>99</v>
      </c>
      <c r="E38" s="182" t="s">
        <v>100</v>
      </c>
      <c r="F38" s="182" t="s">
        <v>431</v>
      </c>
      <c r="G38" s="182" t="s">
        <v>432</v>
      </c>
      <c r="H38" s="182" t="s">
        <v>244</v>
      </c>
    </row>
    <row r="39" spans="1:9" ht="18.75" customHeight="1" x14ac:dyDescent="0.55000000000000004">
      <c r="A39" s="183" t="s">
        <v>249</v>
      </c>
      <c r="B39" s="179" t="s">
        <v>137</v>
      </c>
    </row>
    <row r="40" spans="1:9" ht="18" customHeight="1" x14ac:dyDescent="0.55000000000000004">
      <c r="A40" s="180" t="s">
        <v>250</v>
      </c>
      <c r="B40" s="176" t="s">
        <v>139</v>
      </c>
      <c r="D40" s="184"/>
      <c r="E40" s="216"/>
      <c r="F40" s="216"/>
      <c r="G40" s="184"/>
      <c r="H40" s="217">
        <f>(D40+E40)-F40-G40</f>
        <v>0</v>
      </c>
    </row>
    <row r="41" spans="1:9" ht="18" customHeight="1" x14ac:dyDescent="0.55000000000000004">
      <c r="A41" s="180" t="s">
        <v>251</v>
      </c>
      <c r="B41" s="176" t="s">
        <v>141</v>
      </c>
      <c r="D41" s="184"/>
      <c r="E41" s="216"/>
      <c r="F41" s="216"/>
      <c r="G41" s="184"/>
      <c r="H41" s="217">
        <f t="shared" ref="H41:H47" si="1">(D41+E41)-F41-G41</f>
        <v>0</v>
      </c>
    </row>
    <row r="42" spans="1:9" ht="18" customHeight="1" x14ac:dyDescent="0.55000000000000004">
      <c r="A42" s="180" t="s">
        <v>252</v>
      </c>
      <c r="B42" s="176" t="s">
        <v>143</v>
      </c>
      <c r="D42" s="200">
        <v>50195</v>
      </c>
      <c r="E42" s="216">
        <f>D42*$E$114</f>
        <v>41260.29</v>
      </c>
      <c r="F42" s="216"/>
      <c r="G42" s="184">
        <v>0</v>
      </c>
      <c r="H42" s="217">
        <f t="shared" si="1"/>
        <v>91455.290000000008</v>
      </c>
      <c r="I42" s="363"/>
    </row>
    <row r="43" spans="1:9" ht="18" customHeight="1" x14ac:dyDescent="0.55000000000000004">
      <c r="A43" s="180" t="s">
        <v>253</v>
      </c>
      <c r="B43" s="176" t="s">
        <v>145</v>
      </c>
      <c r="D43" s="184"/>
      <c r="E43" s="216"/>
      <c r="F43" s="216"/>
      <c r="G43" s="184"/>
      <c r="H43" s="217">
        <f t="shared" si="1"/>
        <v>0</v>
      </c>
    </row>
    <row r="44" spans="1:9" ht="18" customHeight="1" x14ac:dyDescent="0.55000000000000004">
      <c r="A44" s="180" t="s">
        <v>146</v>
      </c>
      <c r="B44" s="185"/>
      <c r="D44" s="219"/>
      <c r="E44" s="220"/>
      <c r="F44" s="220"/>
      <c r="G44" s="219"/>
      <c r="H44" s="217">
        <f t="shared" si="1"/>
        <v>0</v>
      </c>
    </row>
    <row r="45" spans="1:9" ht="18" customHeight="1" x14ac:dyDescent="0.55000000000000004">
      <c r="A45" s="180" t="s">
        <v>147</v>
      </c>
      <c r="B45" s="185"/>
      <c r="D45" s="184"/>
      <c r="E45" s="216"/>
      <c r="F45" s="216"/>
      <c r="G45" s="184"/>
      <c r="H45" s="217">
        <f t="shared" si="1"/>
        <v>0</v>
      </c>
    </row>
    <row r="46" spans="1:9" ht="18" customHeight="1" x14ac:dyDescent="0.55000000000000004">
      <c r="A46" s="180" t="s">
        <v>148</v>
      </c>
      <c r="B46" s="185"/>
      <c r="D46" s="184"/>
      <c r="E46" s="216"/>
      <c r="F46" s="216"/>
      <c r="G46" s="184"/>
      <c r="H46" s="217">
        <f t="shared" si="1"/>
        <v>0</v>
      </c>
    </row>
    <row r="47" spans="1:9" ht="18" customHeight="1" x14ac:dyDescent="0.55000000000000004">
      <c r="A47" s="180" t="s">
        <v>149</v>
      </c>
      <c r="B47" s="185"/>
      <c r="D47" s="184"/>
      <c r="E47" s="216"/>
      <c r="F47" s="216"/>
      <c r="G47" s="184"/>
      <c r="H47" s="217">
        <f t="shared" si="1"/>
        <v>0</v>
      </c>
    </row>
    <row r="48" spans="1:9" ht="18" customHeight="1" x14ac:dyDescent="0.55000000000000004"/>
    <row r="49" spans="1:9" ht="18" customHeight="1" x14ac:dyDescent="0.55000000000000004">
      <c r="A49" s="183" t="s">
        <v>150</v>
      </c>
      <c r="B49" s="179" t="s">
        <v>254</v>
      </c>
      <c r="C49" s="179" t="s">
        <v>248</v>
      </c>
      <c r="D49" s="217">
        <f>SUM(D40:D47)</f>
        <v>50195</v>
      </c>
      <c r="E49" s="217">
        <f>SUM(E40:E47)</f>
        <v>41260.29</v>
      </c>
      <c r="F49" s="217">
        <f>SUM(F40:F47)</f>
        <v>0</v>
      </c>
      <c r="G49" s="217">
        <f>SUM(G40:G47)</f>
        <v>0</v>
      </c>
      <c r="H49" s="217">
        <f>SUM(H40:H47)</f>
        <v>91455.290000000008</v>
      </c>
    </row>
    <row r="50" spans="1:9" ht="18" customHeight="1" thickBot="1" x14ac:dyDescent="0.6">
      <c r="D50" s="189"/>
      <c r="E50" s="189"/>
      <c r="F50" s="189"/>
      <c r="G50" s="189"/>
      <c r="H50" s="189"/>
    </row>
    <row r="51" spans="1:9" ht="42.75" customHeight="1" x14ac:dyDescent="0.55000000000000004">
      <c r="D51" s="182" t="s">
        <v>99</v>
      </c>
      <c r="E51" s="182" t="s">
        <v>100</v>
      </c>
      <c r="F51" s="182" t="s">
        <v>431</v>
      </c>
      <c r="G51" s="182" t="s">
        <v>432</v>
      </c>
      <c r="H51" s="182" t="s">
        <v>244</v>
      </c>
    </row>
    <row r="52" spans="1:9" ht="18" customHeight="1" x14ac:dyDescent="0.55000000000000004">
      <c r="A52" s="183" t="s">
        <v>255</v>
      </c>
      <c r="B52" s="221" t="s">
        <v>256</v>
      </c>
    </row>
    <row r="53" spans="1:9" ht="18" customHeight="1" x14ac:dyDescent="0.55000000000000004">
      <c r="A53" s="180" t="s">
        <v>257</v>
      </c>
      <c r="B53" s="176" t="s">
        <v>433</v>
      </c>
      <c r="D53" s="273">
        <v>6552584.2133333338</v>
      </c>
      <c r="E53" s="273">
        <f>+D53*$E$114</f>
        <v>5386224.2233600002</v>
      </c>
      <c r="F53" s="273">
        <v>0</v>
      </c>
      <c r="G53" s="273">
        <v>147920.06</v>
      </c>
      <c r="H53" s="366">
        <f>(D53+E53)-F53-G53</f>
        <v>11790888.376693333</v>
      </c>
      <c r="I53" s="363"/>
    </row>
    <row r="54" spans="1:9" ht="18" customHeight="1" x14ac:dyDescent="0.55000000000000004">
      <c r="A54" s="180" t="s">
        <v>259</v>
      </c>
      <c r="B54" s="193" t="s">
        <v>580</v>
      </c>
      <c r="D54" s="309">
        <v>2654745.669336</v>
      </c>
      <c r="E54" s="308">
        <f>+D54*$E$114</f>
        <v>2182200.9401941919</v>
      </c>
      <c r="F54" s="308">
        <v>0</v>
      </c>
      <c r="G54" s="309">
        <v>1976782.79</v>
      </c>
      <c r="H54" s="366">
        <f t="shared" ref="H54:H62" si="2">(D54+E54)-F54-G54</f>
        <v>2860163.8195301918</v>
      </c>
      <c r="I54" s="363"/>
    </row>
    <row r="55" spans="1:9" ht="18" customHeight="1" x14ac:dyDescent="0.55000000000000004">
      <c r="A55" s="180" t="s">
        <v>260</v>
      </c>
      <c r="B55" s="194" t="s">
        <v>581</v>
      </c>
      <c r="D55" s="309">
        <v>507772.636184</v>
      </c>
      <c r="E55" s="308">
        <f>+D55*$E$114</f>
        <v>417389.10694324796</v>
      </c>
      <c r="F55" s="308">
        <v>0</v>
      </c>
      <c r="G55" s="309">
        <v>26319.32</v>
      </c>
      <c r="H55" s="366">
        <f t="shared" si="2"/>
        <v>898842.42312724807</v>
      </c>
      <c r="I55" s="363"/>
    </row>
    <row r="56" spans="1:9" ht="18" customHeight="1" x14ac:dyDescent="0.55000000000000004">
      <c r="A56" s="180" t="s">
        <v>261</v>
      </c>
      <c r="B56" s="193"/>
      <c r="D56" s="184"/>
      <c r="E56" s="216"/>
      <c r="F56" s="216"/>
      <c r="G56" s="184"/>
      <c r="H56" s="217">
        <f t="shared" si="2"/>
        <v>0</v>
      </c>
    </row>
    <row r="57" spans="1:9" ht="18" customHeight="1" x14ac:dyDescent="0.55000000000000004">
      <c r="A57" s="180" t="s">
        <v>263</v>
      </c>
      <c r="B57" s="193"/>
      <c r="D57" s="184"/>
      <c r="E57" s="216"/>
      <c r="F57" s="216"/>
      <c r="G57" s="184"/>
      <c r="H57" s="217">
        <f t="shared" si="2"/>
        <v>0</v>
      </c>
    </row>
    <row r="58" spans="1:9" ht="18" customHeight="1" x14ac:dyDescent="0.55000000000000004">
      <c r="A58" s="180" t="s">
        <v>264</v>
      </c>
      <c r="B58" s="193"/>
      <c r="D58" s="184"/>
      <c r="E58" s="216"/>
      <c r="F58" s="216"/>
      <c r="G58" s="184"/>
      <c r="H58" s="217">
        <f>(D58+E58)-F58-G58</f>
        <v>0</v>
      </c>
    </row>
    <row r="59" spans="1:9" ht="18" customHeight="1" x14ac:dyDescent="0.55000000000000004">
      <c r="A59" s="180" t="s">
        <v>265</v>
      </c>
      <c r="B59" s="223"/>
      <c r="D59" s="224"/>
      <c r="E59" s="225"/>
      <c r="F59" s="225"/>
      <c r="G59" s="224"/>
      <c r="H59" s="217">
        <f t="shared" si="2"/>
        <v>0</v>
      </c>
    </row>
    <row r="60" spans="1:9" ht="18" customHeight="1" x14ac:dyDescent="0.55000000000000004">
      <c r="A60" s="180" t="s">
        <v>266</v>
      </c>
      <c r="B60" s="226"/>
      <c r="C60" s="212"/>
      <c r="D60" s="222"/>
      <c r="E60" s="222"/>
      <c r="F60" s="222"/>
      <c r="G60" s="222"/>
      <c r="H60" s="217">
        <f t="shared" si="2"/>
        <v>0</v>
      </c>
    </row>
    <row r="61" spans="1:9" ht="18" customHeight="1" x14ac:dyDescent="0.55000000000000004">
      <c r="A61" s="180" t="s">
        <v>267</v>
      </c>
      <c r="B61" s="226"/>
      <c r="C61" s="212"/>
      <c r="D61" s="222"/>
      <c r="E61" s="222"/>
      <c r="F61" s="222"/>
      <c r="G61" s="222"/>
      <c r="H61" s="217">
        <f t="shared" si="2"/>
        <v>0</v>
      </c>
    </row>
    <row r="62" spans="1:9" ht="18" customHeight="1" x14ac:dyDescent="0.55000000000000004">
      <c r="A62" s="180" t="s">
        <v>268</v>
      </c>
      <c r="B62" s="226"/>
      <c r="C62" s="212"/>
      <c r="D62" s="222"/>
      <c r="E62" s="222"/>
      <c r="F62" s="222"/>
      <c r="G62" s="222"/>
      <c r="H62" s="217">
        <f t="shared" si="2"/>
        <v>0</v>
      </c>
    </row>
    <row r="63" spans="1:9" ht="18" customHeight="1" x14ac:dyDescent="0.55000000000000004">
      <c r="A63" s="180"/>
      <c r="E63" s="227"/>
      <c r="F63" s="192"/>
    </row>
    <row r="64" spans="1:9" ht="18" customHeight="1" x14ac:dyDescent="0.55000000000000004">
      <c r="A64" s="180" t="s">
        <v>269</v>
      </c>
      <c r="B64" s="179" t="s">
        <v>270</v>
      </c>
      <c r="C64" s="179" t="s">
        <v>248</v>
      </c>
      <c r="D64" s="217">
        <f>SUM(D53:D62)</f>
        <v>9715102.5188533328</v>
      </c>
      <c r="E64" s="217">
        <f>SUM(E53:E62)</f>
        <v>7985814.2704974394</v>
      </c>
      <c r="F64" s="217">
        <f>SUM(F53:F62)</f>
        <v>0</v>
      </c>
      <c r="G64" s="217">
        <f>SUM(G53:G62)</f>
        <v>2151022.17</v>
      </c>
      <c r="H64" s="217">
        <f>SUM(H53:H62)</f>
        <v>15549894.619350772</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308"/>
      <c r="F68" s="216"/>
      <c r="G68" s="228"/>
      <c r="H68" s="217">
        <f>(D68+E68)-F68-G68</f>
        <v>0</v>
      </c>
      <c r="J68" s="254"/>
    </row>
    <row r="69" spans="1:10" ht="18" customHeight="1" x14ac:dyDescent="0.55000000000000004">
      <c r="A69" s="180" t="s">
        <v>273</v>
      </c>
      <c r="B69" s="176" t="s">
        <v>159</v>
      </c>
      <c r="D69" s="228"/>
      <c r="E69" s="308"/>
      <c r="F69" s="216"/>
      <c r="G69" s="228"/>
      <c r="H69" s="217">
        <f>(D69+E69)-F69-G69</f>
        <v>0</v>
      </c>
    </row>
    <row r="70" spans="1:10" ht="18" customHeight="1" x14ac:dyDescent="0.55000000000000004">
      <c r="A70" s="180" t="s">
        <v>274</v>
      </c>
      <c r="B70" s="193"/>
      <c r="C70" s="179"/>
      <c r="D70" s="224"/>
      <c r="E70" s="308"/>
      <c r="F70" s="225"/>
      <c r="G70" s="224"/>
      <c r="H70" s="217">
        <f>(D70+E70)-F70-G70</f>
        <v>0</v>
      </c>
    </row>
    <row r="71" spans="1:10" ht="18" customHeight="1" x14ac:dyDescent="0.55000000000000004">
      <c r="A71" s="180" t="s">
        <v>275</v>
      </c>
      <c r="B71" s="193"/>
      <c r="C71" s="179"/>
      <c r="D71" s="224"/>
      <c r="E71" s="308"/>
      <c r="F71" s="225"/>
      <c r="G71" s="224"/>
      <c r="H71" s="217">
        <f>(D71+E71)-F71-G71</f>
        <v>0</v>
      </c>
    </row>
    <row r="72" spans="1:10" ht="18" customHeight="1" x14ac:dyDescent="0.55000000000000004">
      <c r="A72" s="180" t="s">
        <v>276</v>
      </c>
      <c r="B72" s="194"/>
      <c r="C72" s="179"/>
      <c r="D72" s="184"/>
      <c r="E72" s="308"/>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25504</v>
      </c>
      <c r="E77" s="230"/>
      <c r="F77" s="220"/>
      <c r="G77" s="184">
        <v>0</v>
      </c>
      <c r="H77" s="217">
        <f>(D77-F77-G77)</f>
        <v>25504</v>
      </c>
      <c r="I77" s="363"/>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v>3391</v>
      </c>
      <c r="E79" s="230"/>
      <c r="F79" s="220"/>
      <c r="G79" s="184">
        <v>0</v>
      </c>
      <c r="H79" s="217">
        <f>(D79-F79-G79)</f>
        <v>3391</v>
      </c>
      <c r="I79" s="363"/>
    </row>
    <row r="80" spans="1:10" ht="18" customHeight="1" x14ac:dyDescent="0.55000000000000004">
      <c r="A80" s="180" t="s">
        <v>283</v>
      </c>
      <c r="B80" s="176" t="s">
        <v>170</v>
      </c>
      <c r="D80" s="184"/>
      <c r="E80" s="230"/>
      <c r="F80" s="220"/>
      <c r="G80" s="184"/>
      <c r="H80" s="217">
        <f>(D80-F80-G80)</f>
        <v>0</v>
      </c>
    </row>
    <row r="81" spans="1:9" ht="18" customHeight="1" x14ac:dyDescent="0.55000000000000004">
      <c r="A81" s="180"/>
      <c r="H81" s="196"/>
    </row>
    <row r="82" spans="1:9" ht="18" customHeight="1" x14ac:dyDescent="0.55000000000000004">
      <c r="A82" s="180" t="s">
        <v>171</v>
      </c>
      <c r="B82" s="179" t="s">
        <v>284</v>
      </c>
      <c r="C82" s="179" t="s">
        <v>248</v>
      </c>
      <c r="D82" s="217">
        <f>SUM(D77:D80)</f>
        <v>28895</v>
      </c>
      <c r="E82" s="231"/>
      <c r="F82" s="217">
        <f>SUM(F77:F80)</f>
        <v>0</v>
      </c>
      <c r="G82" s="217">
        <f>SUM(G77:G80)</f>
        <v>0</v>
      </c>
      <c r="H82" s="217">
        <f>SUM(H77:H80)</f>
        <v>28895</v>
      </c>
    </row>
    <row r="83" spans="1:9" ht="18" customHeight="1" thickBot="1" x14ac:dyDescent="0.6">
      <c r="A83" s="180"/>
      <c r="D83" s="189"/>
      <c r="E83" s="189"/>
      <c r="F83" s="189"/>
      <c r="G83" s="189"/>
      <c r="H83" s="189"/>
    </row>
    <row r="84" spans="1:9" ht="42.75" customHeight="1" x14ac:dyDescent="0.55000000000000004">
      <c r="D84" s="182" t="s">
        <v>99</v>
      </c>
      <c r="E84" s="182" t="s">
        <v>100</v>
      </c>
      <c r="F84" s="182" t="s">
        <v>431</v>
      </c>
      <c r="G84" s="182" t="s">
        <v>432</v>
      </c>
      <c r="H84" s="182" t="s">
        <v>244</v>
      </c>
    </row>
    <row r="85" spans="1:9" ht="18" customHeight="1" x14ac:dyDescent="0.55000000000000004">
      <c r="A85" s="183" t="s">
        <v>285</v>
      </c>
      <c r="B85" s="179" t="s">
        <v>173</v>
      </c>
    </row>
    <row r="86" spans="1:9" ht="18" customHeight="1" x14ac:dyDescent="0.55000000000000004">
      <c r="A86" s="180" t="s">
        <v>191</v>
      </c>
      <c r="B86" s="176" t="s">
        <v>286</v>
      </c>
      <c r="D86" s="184"/>
      <c r="E86" s="308"/>
      <c r="F86" s="216"/>
      <c r="G86" s="184"/>
      <c r="H86" s="217">
        <f>(D86+E86)-F86-G86</f>
        <v>0</v>
      </c>
    </row>
    <row r="87" spans="1:9" ht="18" customHeight="1" x14ac:dyDescent="0.55000000000000004">
      <c r="A87" s="180" t="s">
        <v>287</v>
      </c>
      <c r="B87" s="176" t="s">
        <v>177</v>
      </c>
      <c r="D87" s="184"/>
      <c r="E87" s="308"/>
      <c r="F87" s="216"/>
      <c r="G87" s="184"/>
      <c r="H87" s="217">
        <f t="shared" ref="H87:H96" si="3">(D87+E87)-F87-G87</f>
        <v>0</v>
      </c>
    </row>
    <row r="88" spans="1:9" ht="18" customHeight="1" x14ac:dyDescent="0.55000000000000004">
      <c r="A88" s="180" t="s">
        <v>288</v>
      </c>
      <c r="B88" s="176" t="s">
        <v>289</v>
      </c>
      <c r="D88" s="184">
        <v>32866</v>
      </c>
      <c r="E88" s="308">
        <f>D88*$G$114</f>
        <v>10944.378000000001</v>
      </c>
      <c r="F88" s="216"/>
      <c r="G88" s="184">
        <v>0</v>
      </c>
      <c r="H88" s="217">
        <f t="shared" si="3"/>
        <v>43810.377999999997</v>
      </c>
    </row>
    <row r="89" spans="1:9" ht="18" customHeight="1" x14ac:dyDescent="0.55000000000000004">
      <c r="A89" s="180" t="s">
        <v>290</v>
      </c>
      <c r="B89" s="176" t="s">
        <v>181</v>
      </c>
      <c r="D89" s="184"/>
      <c r="E89" s="308"/>
      <c r="F89" s="216"/>
      <c r="G89" s="184"/>
      <c r="H89" s="217">
        <f>(D89+E89)-F89-G89</f>
        <v>0</v>
      </c>
    </row>
    <row r="90" spans="1:9" ht="18" customHeight="1" x14ac:dyDescent="0.55000000000000004">
      <c r="A90" s="180" t="s">
        <v>291</v>
      </c>
      <c r="B90" s="176" t="s">
        <v>183</v>
      </c>
      <c r="D90" s="184">
        <v>2640</v>
      </c>
      <c r="E90" s="308">
        <f>D90*$G$114</f>
        <v>879.12</v>
      </c>
      <c r="F90" s="308"/>
      <c r="G90" s="184">
        <v>0</v>
      </c>
      <c r="H90" s="217">
        <f>(D90+E90)-F90-G90</f>
        <v>3519.12</v>
      </c>
      <c r="I90" s="363"/>
    </row>
    <row r="91" spans="1:9" ht="18" customHeight="1" x14ac:dyDescent="0.55000000000000004">
      <c r="A91" s="180" t="s">
        <v>292</v>
      </c>
      <c r="B91" s="176" t="s">
        <v>185</v>
      </c>
      <c r="D91" s="184">
        <v>6430</v>
      </c>
      <c r="E91" s="308">
        <f>D91*$G$114</f>
        <v>2141.19</v>
      </c>
      <c r="F91" s="308"/>
      <c r="G91" s="184">
        <v>0</v>
      </c>
      <c r="H91" s="217">
        <f>(D91+E91)-F91-G91</f>
        <v>8571.19</v>
      </c>
      <c r="I91" s="363"/>
    </row>
    <row r="92" spans="1:9" ht="18" customHeight="1" x14ac:dyDescent="0.55000000000000004">
      <c r="A92" s="180" t="s">
        <v>293</v>
      </c>
      <c r="B92" s="176" t="s">
        <v>294</v>
      </c>
      <c r="D92" s="233">
        <v>98318</v>
      </c>
      <c r="E92" s="308">
        <f>D92*$G$114</f>
        <v>32739.894</v>
      </c>
      <c r="F92" s="308"/>
      <c r="G92" s="233">
        <v>0</v>
      </c>
      <c r="H92" s="217">
        <f>(D92+E92)-F92-G92</f>
        <v>131057.894</v>
      </c>
      <c r="I92" s="363"/>
    </row>
    <row r="93" spans="1:9" ht="18" customHeight="1" x14ac:dyDescent="0.55000000000000004">
      <c r="A93" s="180" t="s">
        <v>295</v>
      </c>
      <c r="B93" s="176" t="s">
        <v>296</v>
      </c>
      <c r="D93" s="184">
        <v>211</v>
      </c>
      <c r="E93" s="308">
        <f>D93*$G$114</f>
        <v>70.263000000000005</v>
      </c>
      <c r="F93" s="308"/>
      <c r="G93" s="184">
        <v>0</v>
      </c>
      <c r="H93" s="217">
        <f>(D93+E93)-F93-G93</f>
        <v>281.26300000000003</v>
      </c>
      <c r="I93" s="363"/>
    </row>
    <row r="94" spans="1:9" ht="18" customHeight="1" x14ac:dyDescent="0.55000000000000004">
      <c r="A94" s="180" t="s">
        <v>297</v>
      </c>
      <c r="B94" s="193"/>
      <c r="D94" s="184"/>
      <c r="E94" s="308"/>
      <c r="F94" s="216"/>
      <c r="G94" s="184"/>
      <c r="H94" s="217">
        <f t="shared" si="3"/>
        <v>0</v>
      </c>
    </row>
    <row r="95" spans="1:9" ht="18" customHeight="1" x14ac:dyDescent="0.55000000000000004">
      <c r="A95" s="180" t="s">
        <v>298</v>
      </c>
      <c r="B95" s="193"/>
      <c r="D95" s="184"/>
      <c r="E95" s="308"/>
      <c r="F95" s="216"/>
      <c r="G95" s="184"/>
      <c r="H95" s="217">
        <f t="shared" si="3"/>
        <v>0</v>
      </c>
    </row>
    <row r="96" spans="1:9" ht="18" customHeight="1" x14ac:dyDescent="0.55000000000000004">
      <c r="A96" s="180" t="s">
        <v>299</v>
      </c>
      <c r="B96" s="193"/>
      <c r="D96" s="184"/>
      <c r="E96" s="308"/>
      <c r="F96" s="216"/>
      <c r="G96" s="184"/>
      <c r="H96" s="217">
        <f t="shared" si="3"/>
        <v>0</v>
      </c>
    </row>
    <row r="97" spans="1:9" ht="18" customHeight="1" x14ac:dyDescent="0.55000000000000004">
      <c r="A97" s="180"/>
    </row>
    <row r="98" spans="1:9" ht="18" customHeight="1" x14ac:dyDescent="0.55000000000000004">
      <c r="A98" s="183" t="s">
        <v>193</v>
      </c>
      <c r="B98" s="179" t="s">
        <v>300</v>
      </c>
      <c r="C98" s="179" t="s">
        <v>248</v>
      </c>
      <c r="D98" s="217">
        <f>SUM(D86:D96)</f>
        <v>140465</v>
      </c>
      <c r="E98" s="217">
        <f>SUM(E86:E96)</f>
        <v>46774.845000000001</v>
      </c>
      <c r="F98" s="217">
        <f>SUM(F86:F96)</f>
        <v>0</v>
      </c>
      <c r="G98" s="217">
        <f>SUM(G86:G96)</f>
        <v>0</v>
      </c>
      <c r="H98" s="217">
        <f>SUM(H86:H96)</f>
        <v>187239.845</v>
      </c>
    </row>
    <row r="99" spans="1:9" ht="18" customHeight="1" thickBot="1" x14ac:dyDescent="0.6">
      <c r="B99" s="179"/>
      <c r="D99" s="189"/>
      <c r="E99" s="189"/>
      <c r="F99" s="189"/>
      <c r="G99" s="189"/>
      <c r="H99" s="189"/>
    </row>
    <row r="100" spans="1:9" ht="42.75" customHeight="1" x14ac:dyDescent="0.55000000000000004">
      <c r="D100" s="182" t="s">
        <v>99</v>
      </c>
      <c r="E100" s="182" t="s">
        <v>100</v>
      </c>
      <c r="F100" s="182" t="s">
        <v>431</v>
      </c>
      <c r="G100" s="182" t="s">
        <v>432</v>
      </c>
      <c r="H100" s="182" t="s">
        <v>244</v>
      </c>
    </row>
    <row r="101" spans="1:9" ht="18" customHeight="1" x14ac:dyDescent="0.55000000000000004">
      <c r="A101" s="183" t="s">
        <v>301</v>
      </c>
      <c r="B101" s="179" t="s">
        <v>195</v>
      </c>
    </row>
    <row r="102" spans="1:9" ht="18" customHeight="1" x14ac:dyDescent="0.55000000000000004">
      <c r="A102" s="180" t="s">
        <v>302</v>
      </c>
      <c r="B102" s="176" t="s">
        <v>303</v>
      </c>
      <c r="D102" s="184">
        <v>10938</v>
      </c>
      <c r="E102" s="308">
        <f>D102*$E$114</f>
        <v>8991.0360000000001</v>
      </c>
      <c r="F102" s="216"/>
      <c r="G102" s="184">
        <v>0</v>
      </c>
      <c r="H102" s="217">
        <f>(D102+E102)-F102-G102</f>
        <v>19929.036</v>
      </c>
      <c r="I102" s="363"/>
    </row>
    <row r="103" spans="1:9" ht="18" customHeight="1" x14ac:dyDescent="0.55000000000000004">
      <c r="A103" s="180" t="s">
        <v>304</v>
      </c>
      <c r="B103" s="176" t="s">
        <v>199</v>
      </c>
      <c r="D103" s="184">
        <v>151140</v>
      </c>
      <c r="E103" s="308">
        <f>D103*$E$114</f>
        <v>124237.07999999999</v>
      </c>
      <c r="F103" s="216"/>
      <c r="G103" s="184">
        <v>0</v>
      </c>
      <c r="H103" s="217">
        <f>(D103+E103)-F103-G103</f>
        <v>275377.07999999996</v>
      </c>
      <c r="I103" s="363"/>
    </row>
    <row r="104" spans="1:9" ht="18" customHeight="1" x14ac:dyDescent="0.55000000000000004">
      <c r="A104" s="180" t="s">
        <v>305</v>
      </c>
      <c r="B104" s="193"/>
      <c r="D104" s="184"/>
      <c r="E104" s="308"/>
      <c r="F104" s="216"/>
      <c r="G104" s="184"/>
      <c r="H104" s="217">
        <f>(D104+E104)-F104-G104</f>
        <v>0</v>
      </c>
    </row>
    <row r="105" spans="1:9" ht="18" customHeight="1" x14ac:dyDescent="0.55000000000000004">
      <c r="A105" s="180" t="s">
        <v>306</v>
      </c>
      <c r="B105" s="193"/>
      <c r="D105" s="184"/>
      <c r="E105" s="308"/>
      <c r="F105" s="216"/>
      <c r="G105" s="184"/>
      <c r="H105" s="217">
        <f>(D105+E105)-F105-G105</f>
        <v>0</v>
      </c>
    </row>
    <row r="106" spans="1:9" ht="18" customHeight="1" x14ac:dyDescent="0.55000000000000004">
      <c r="A106" s="180" t="s">
        <v>307</v>
      </c>
      <c r="B106" s="193"/>
      <c r="D106" s="184"/>
      <c r="E106" s="308"/>
      <c r="F106" s="216"/>
      <c r="G106" s="184"/>
      <c r="H106" s="217">
        <f>(D106+E106)-F106-G106</f>
        <v>0</v>
      </c>
    </row>
    <row r="107" spans="1:9" ht="18" customHeight="1" x14ac:dyDescent="0.55000000000000004">
      <c r="B107" s="179"/>
    </row>
    <row r="108" spans="1:9" ht="18" customHeight="1" x14ac:dyDescent="0.55000000000000004">
      <c r="A108" s="183" t="s">
        <v>204</v>
      </c>
      <c r="B108" s="179" t="s">
        <v>308</v>
      </c>
      <c r="C108" s="179" t="s">
        <v>248</v>
      </c>
      <c r="D108" s="217">
        <f>SUM(D102:D106)</f>
        <v>162078</v>
      </c>
      <c r="E108" s="217">
        <f>SUM(E102:E106)</f>
        <v>133228.11599999998</v>
      </c>
      <c r="F108" s="217">
        <f>SUM(F102:F106)</f>
        <v>0</v>
      </c>
      <c r="G108" s="217">
        <f>SUM(G102:G106)</f>
        <v>0</v>
      </c>
      <c r="H108" s="217">
        <f>SUM(H102:H106)</f>
        <v>295306.11599999998</v>
      </c>
    </row>
    <row r="109" spans="1:9" ht="18" customHeight="1" thickBot="1" x14ac:dyDescent="0.6">
      <c r="A109" s="197"/>
      <c r="B109" s="198"/>
      <c r="C109" s="199"/>
      <c r="D109" s="189"/>
      <c r="E109" s="189"/>
      <c r="F109" s="189"/>
      <c r="G109" s="189"/>
      <c r="H109" s="189"/>
    </row>
    <row r="110" spans="1:9" ht="25.5" x14ac:dyDescent="0.55000000000000004">
      <c r="A110" s="183" t="s">
        <v>309</v>
      </c>
      <c r="B110" s="179" t="s">
        <v>434</v>
      </c>
      <c r="F110" s="182"/>
      <c r="G110" s="182" t="s">
        <v>435</v>
      </c>
      <c r="H110" s="182" t="s">
        <v>244</v>
      </c>
    </row>
    <row r="111" spans="1:9" ht="18" customHeight="1" x14ac:dyDescent="0.55000000000000004">
      <c r="A111" s="183" t="s">
        <v>310</v>
      </c>
      <c r="B111" s="179" t="s">
        <v>311</v>
      </c>
      <c r="E111" s="179" t="s">
        <v>436</v>
      </c>
      <c r="F111" s="251">
        <v>3510458.27</v>
      </c>
      <c r="G111" s="184">
        <v>0</v>
      </c>
      <c r="H111" s="217">
        <f>F111-G111</f>
        <v>3510458.27</v>
      </c>
    </row>
    <row r="112" spans="1:9"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352">
        <v>0.82199999999999995</v>
      </c>
      <c r="F114" s="367" t="s">
        <v>429</v>
      </c>
      <c r="G114" s="352">
        <v>0.33300000000000002</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251">
        <v>144074500.07999998</v>
      </c>
      <c r="F117" s="237"/>
    </row>
    <row r="118" spans="1:7" ht="18" customHeight="1" x14ac:dyDescent="0.55000000000000004">
      <c r="A118" s="180" t="s">
        <v>319</v>
      </c>
      <c r="B118" s="176" t="s">
        <v>320</v>
      </c>
      <c r="E118" s="251">
        <v>3667618.48</v>
      </c>
      <c r="F118" s="237"/>
    </row>
    <row r="119" spans="1:7" ht="18" customHeight="1" x14ac:dyDescent="0.55000000000000004">
      <c r="A119" s="180" t="s">
        <v>321</v>
      </c>
      <c r="B119" s="179" t="s">
        <v>322</v>
      </c>
      <c r="E119" s="217">
        <f>SUM(E117:E118)</f>
        <v>147742118.55999997</v>
      </c>
      <c r="F119" s="238"/>
    </row>
    <row r="120" spans="1:7" ht="18" customHeight="1" x14ac:dyDescent="0.55000000000000004">
      <c r="A120" s="180"/>
      <c r="B120" s="179"/>
      <c r="F120" s="212"/>
    </row>
    <row r="121" spans="1:7" ht="18" customHeight="1" x14ac:dyDescent="0.55000000000000004">
      <c r="A121" s="180" t="s">
        <v>323</v>
      </c>
      <c r="B121" s="179" t="s">
        <v>324</v>
      </c>
      <c r="E121" s="251">
        <v>143031019.86000001</v>
      </c>
      <c r="F121" s="237"/>
    </row>
    <row r="122" spans="1:7" ht="18" customHeight="1" x14ac:dyDescent="0.55000000000000004">
      <c r="A122" s="180"/>
      <c r="F122" s="212"/>
    </row>
    <row r="123" spans="1:7" ht="18" customHeight="1" x14ac:dyDescent="0.55000000000000004">
      <c r="A123" s="180" t="s">
        <v>325</v>
      </c>
      <c r="B123" s="179" t="s">
        <v>326</v>
      </c>
      <c r="E123" s="251">
        <f>+E119-E121</f>
        <v>4711098.6999999583</v>
      </c>
      <c r="F123" s="237"/>
    </row>
    <row r="124" spans="1:7" ht="18" customHeight="1" x14ac:dyDescent="0.55000000000000004">
      <c r="A124" s="180"/>
      <c r="F124" s="212"/>
    </row>
    <row r="125" spans="1:7" ht="18" customHeight="1" x14ac:dyDescent="0.55000000000000004">
      <c r="A125" s="180" t="s">
        <v>327</v>
      </c>
      <c r="B125" s="179" t="s">
        <v>328</v>
      </c>
      <c r="E125" s="251">
        <v>-3822891.05</v>
      </c>
      <c r="F125" s="237"/>
    </row>
    <row r="126" spans="1:7" ht="18" customHeight="1" x14ac:dyDescent="0.55000000000000004">
      <c r="A126" s="180"/>
      <c r="F126" s="212"/>
    </row>
    <row r="127" spans="1:7" ht="18" customHeight="1" x14ac:dyDescent="0.55000000000000004">
      <c r="A127" s="180" t="s">
        <v>329</v>
      </c>
      <c r="B127" s="179" t="s">
        <v>330</v>
      </c>
      <c r="E127" s="251">
        <f>+E123+E125</f>
        <v>888207.64999995846</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1062048</v>
      </c>
      <c r="E141" s="239">
        <f>E36</f>
        <v>429966.68400000001</v>
      </c>
      <c r="F141" s="239">
        <f>F36</f>
        <v>0</v>
      </c>
      <c r="G141" s="239">
        <f>G36</f>
        <v>17421</v>
      </c>
      <c r="H141" s="239">
        <f>H36</f>
        <v>1474593.6839999999</v>
      </c>
    </row>
    <row r="142" spans="1:8" ht="18" customHeight="1" x14ac:dyDescent="0.55000000000000004">
      <c r="A142" s="180" t="s">
        <v>150</v>
      </c>
      <c r="B142" s="179" t="s">
        <v>220</v>
      </c>
      <c r="D142" s="239">
        <f>D49</f>
        <v>50195</v>
      </c>
      <c r="E142" s="239">
        <f>E49</f>
        <v>41260.29</v>
      </c>
      <c r="F142" s="239">
        <f>F49</f>
        <v>0</v>
      </c>
      <c r="G142" s="239">
        <f>G49</f>
        <v>0</v>
      </c>
      <c r="H142" s="239">
        <f>H49</f>
        <v>91455.290000000008</v>
      </c>
    </row>
    <row r="143" spans="1:8" ht="18" customHeight="1" x14ac:dyDescent="0.55000000000000004">
      <c r="A143" s="180" t="s">
        <v>269</v>
      </c>
      <c r="B143" s="179" t="s">
        <v>222</v>
      </c>
      <c r="D143" s="239">
        <f>D64</f>
        <v>9715102.5188533328</v>
      </c>
      <c r="E143" s="239">
        <f>E64</f>
        <v>7985814.2704974394</v>
      </c>
      <c r="F143" s="239">
        <f>F64</f>
        <v>0</v>
      </c>
      <c r="G143" s="239">
        <f>G64</f>
        <v>2151022.17</v>
      </c>
      <c r="H143" s="239">
        <f>H64</f>
        <v>15549894.619350772</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28895</v>
      </c>
      <c r="E145" s="239">
        <f>E82</f>
        <v>0</v>
      </c>
      <c r="F145" s="239">
        <f>F82</f>
        <v>0</v>
      </c>
      <c r="G145" s="239">
        <f>G82</f>
        <v>0</v>
      </c>
      <c r="H145" s="239">
        <f>H82</f>
        <v>28895</v>
      </c>
    </row>
    <row r="146" spans="1:8" ht="18" customHeight="1" x14ac:dyDescent="0.55000000000000004">
      <c r="A146" s="180" t="s">
        <v>193</v>
      </c>
      <c r="B146" s="179" t="s">
        <v>226</v>
      </c>
      <c r="D146" s="239">
        <f>D98</f>
        <v>140465</v>
      </c>
      <c r="E146" s="239">
        <f>E98</f>
        <v>46774.845000000001</v>
      </c>
      <c r="F146" s="239">
        <f>F98</f>
        <v>0</v>
      </c>
      <c r="G146" s="239">
        <f>G98</f>
        <v>0</v>
      </c>
      <c r="H146" s="239">
        <f>H98</f>
        <v>187239.845</v>
      </c>
    </row>
    <row r="147" spans="1:8" ht="18" customHeight="1" x14ac:dyDescent="0.55000000000000004">
      <c r="A147" s="180" t="s">
        <v>204</v>
      </c>
      <c r="B147" s="179" t="s">
        <v>71</v>
      </c>
      <c r="D147" s="217">
        <f>D108</f>
        <v>162078</v>
      </c>
      <c r="E147" s="217">
        <f>E108</f>
        <v>133228.11599999998</v>
      </c>
      <c r="F147" s="217">
        <f>F108</f>
        <v>0</v>
      </c>
      <c r="G147" s="217">
        <f>G108</f>
        <v>0</v>
      </c>
      <c r="H147" s="217">
        <f>H108</f>
        <v>295306.11599999998</v>
      </c>
    </row>
    <row r="148" spans="1:8" ht="18" customHeight="1" x14ac:dyDescent="0.55000000000000004">
      <c r="A148" s="180" t="s">
        <v>310</v>
      </c>
      <c r="B148" s="179" t="s">
        <v>58</v>
      </c>
      <c r="D148" s="240" t="s">
        <v>245</v>
      </c>
      <c r="E148" s="240" t="s">
        <v>245</v>
      </c>
      <c r="F148" s="240"/>
      <c r="G148" s="240" t="s">
        <v>245</v>
      </c>
      <c r="H148" s="239">
        <f>H111</f>
        <v>3510458.27</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2852345.8787458646</v>
      </c>
      <c r="E150" s="217">
        <f>E18</f>
        <v>0</v>
      </c>
      <c r="F150" s="217">
        <f>F18</f>
        <v>0</v>
      </c>
      <c r="G150" s="217">
        <f>G18</f>
        <v>2363939.1328171766</v>
      </c>
      <c r="H150" s="217">
        <f>H18</f>
        <v>488406.74592868797</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17">
        <f>SUM(D141:D150)</f>
        <v>14011129.397599198</v>
      </c>
      <c r="E152" s="217">
        <f>SUM(E141:E150)</f>
        <v>8637044.20549744</v>
      </c>
      <c r="F152" s="217">
        <f>SUM(F141:F150)</f>
        <v>0</v>
      </c>
      <c r="G152" s="217">
        <f>SUM(G141:G150)</f>
        <v>4532382.302817177</v>
      </c>
      <c r="H152" s="217">
        <f>SUM(H141:H150)</f>
        <v>21626249.570279457</v>
      </c>
    </row>
    <row r="153" spans="1:8" ht="18" customHeight="1" x14ac:dyDescent="0.55000000000000004"/>
    <row r="154" spans="1:8" ht="18" customHeight="1" x14ac:dyDescent="0.55000000000000004">
      <c r="A154" s="183" t="s">
        <v>339</v>
      </c>
      <c r="B154" s="179" t="s">
        <v>340</v>
      </c>
      <c r="D154" s="242">
        <f>H152/E121</f>
        <v>0.1511997159178996</v>
      </c>
    </row>
    <row r="155" spans="1:8" ht="18" customHeight="1" x14ac:dyDescent="0.55000000000000004">
      <c r="A155" s="183" t="s">
        <v>341</v>
      </c>
      <c r="B155" s="179" t="s">
        <v>342</v>
      </c>
      <c r="D155" s="242">
        <f>H152/E127</f>
        <v>24.348191068023866</v>
      </c>
    </row>
  </sheetData>
  <mergeCells count="6">
    <mergeCell ref="B13:D13"/>
    <mergeCell ref="C2:D2"/>
    <mergeCell ref="C5:D5"/>
    <mergeCell ref="C9:D9"/>
    <mergeCell ref="C10:D10"/>
    <mergeCell ref="C11:E11"/>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03F73-6E11-4CB5-832D-7BA991D36A1F}">
  <sheetPr codeName="Sheet5">
    <tabColor theme="3" tint="0.59999389629810485"/>
  </sheetPr>
  <dimension ref="A1:I16"/>
  <sheetViews>
    <sheetView workbookViewId="0">
      <selection activeCell="G6" sqref="G6"/>
    </sheetView>
  </sheetViews>
  <sheetFormatPr defaultColWidth="9.26171875" defaultRowHeight="14.4" x14ac:dyDescent="0.55000000000000004"/>
  <cols>
    <col min="1" max="1" width="15.68359375" style="3" bestFit="1" customWidth="1"/>
    <col min="2" max="2" width="14.578125" style="3" bestFit="1" customWidth="1"/>
    <col min="3" max="3" width="12.41796875" style="3" customWidth="1"/>
    <col min="4" max="4" width="17.83984375" style="3" bestFit="1" customWidth="1"/>
    <col min="5" max="5" width="12.41796875" style="3" customWidth="1"/>
    <col min="6" max="6" width="16.15625" style="3" bestFit="1" customWidth="1"/>
    <col min="7" max="7" width="13" style="3" customWidth="1"/>
    <col min="8" max="8" width="9.26171875" style="3"/>
    <col min="9" max="9" width="14.578125" style="3" bestFit="1" customWidth="1"/>
    <col min="10" max="16384" width="9.26171875" style="3"/>
  </cols>
  <sheetData>
    <row r="1" spans="1:9" ht="18" customHeight="1" x14ac:dyDescent="0.55000000000000004">
      <c r="A1" s="481" t="s">
        <v>743</v>
      </c>
      <c r="B1" s="481"/>
      <c r="C1" s="481"/>
      <c r="D1" s="481"/>
      <c r="E1" s="481"/>
      <c r="F1" s="482"/>
    </row>
    <row r="2" spans="1:9" ht="75" customHeight="1" x14ac:dyDescent="0.55000000000000004">
      <c r="A2" s="4" t="s">
        <v>86</v>
      </c>
      <c r="B2" s="4" t="s">
        <v>87</v>
      </c>
      <c r="C2" s="4" t="s">
        <v>62</v>
      </c>
      <c r="D2" s="4" t="s">
        <v>716</v>
      </c>
      <c r="E2" s="4" t="s">
        <v>63</v>
      </c>
      <c r="F2" s="440"/>
    </row>
    <row r="3" spans="1:9" ht="28.8" x14ac:dyDescent="0.55000000000000004">
      <c r="A3" s="79" t="s">
        <v>67</v>
      </c>
      <c r="B3" s="80">
        <f>'Attachment III-All'!I118+'Attachment III-All'!G118</f>
        <v>55638247.732275188</v>
      </c>
      <c r="C3" s="81">
        <f>B3/B13</f>
        <v>2.8494791828598452E-2</v>
      </c>
      <c r="D3" s="82">
        <f>B3</f>
        <v>55638247.732275188</v>
      </c>
      <c r="E3" s="81">
        <f>D3/D13</f>
        <v>4.6246556757481974E-2</v>
      </c>
    </row>
    <row r="4" spans="1:9" ht="28.8" x14ac:dyDescent="0.55000000000000004">
      <c r="A4" s="79" t="s">
        <v>66</v>
      </c>
      <c r="B4" s="80">
        <f>'Attachment III-All'!I109+'Attachment III-All'!G109</f>
        <v>147560516.63501671</v>
      </c>
      <c r="C4" s="81">
        <f>B4/B13</f>
        <v>7.5572225492574821E-2</v>
      </c>
      <c r="D4" s="82">
        <f>B4-'Rate Support-Attachment I'!F54</f>
        <v>136149801.08731672</v>
      </c>
      <c r="E4" s="81">
        <f>D4/D13</f>
        <v>0.11316782537441346</v>
      </c>
    </row>
    <row r="5" spans="1:9" ht="28.8" x14ac:dyDescent="0.55000000000000004">
      <c r="A5" s="79" t="s">
        <v>65</v>
      </c>
      <c r="B5" s="80">
        <f>'Attachment III-All'!I110+'Attachment III-All'!G110</f>
        <v>644376489.09992754</v>
      </c>
      <c r="C5" s="81">
        <f>B5/B13</f>
        <v>0.3300135188386662</v>
      </c>
      <c r="D5" s="83">
        <f>B5-'DME_NSPI-all'!F54</f>
        <v>235701244.89583814</v>
      </c>
      <c r="E5" s="81">
        <f>D5/D13</f>
        <v>0.19591506641862377</v>
      </c>
      <c r="H5" s="20"/>
    </row>
    <row r="6" spans="1:9" ht="36" customHeight="1" x14ac:dyDescent="0.55000000000000004">
      <c r="A6" s="79" t="s">
        <v>64</v>
      </c>
      <c r="B6" s="80">
        <f>'Attachment III-All'!I111+'Attachment III-All'!G111</f>
        <v>703102307.71409488</v>
      </c>
      <c r="C6" s="81">
        <f>B6/B13</f>
        <v>0.36008959140706992</v>
      </c>
      <c r="D6" s="83">
        <f t="shared" ref="D6:D11" si="0">B6</f>
        <v>703102307.71409488</v>
      </c>
      <c r="E6" s="81">
        <f>D6/D13</f>
        <v>0.58441920990179219</v>
      </c>
    </row>
    <row r="7" spans="1:9" x14ac:dyDescent="0.55000000000000004">
      <c r="A7" s="79" t="s">
        <v>70</v>
      </c>
      <c r="B7" s="80">
        <f>'Attachment III-All'!I112+'Attachment III-All'!G112</f>
        <v>13834648.339862354</v>
      </c>
      <c r="C7" s="81">
        <f>B7/B13</f>
        <v>7.0853314137994065E-3</v>
      </c>
      <c r="D7" s="83">
        <f t="shared" si="0"/>
        <v>13834648.339862354</v>
      </c>
      <c r="E7" s="81">
        <f>D7/D13</f>
        <v>1.1499370949781077E-2</v>
      </c>
    </row>
    <row r="8" spans="1:9" ht="28.8" x14ac:dyDescent="0.55000000000000004">
      <c r="A8" s="79" t="s">
        <v>69</v>
      </c>
      <c r="B8" s="80">
        <f>'Attachment III-All'!I113+'Attachment III-All'!G113</f>
        <v>16296497.171798555</v>
      </c>
      <c r="C8" s="81">
        <f>B8/B13</f>
        <v>8.346152392868577E-3</v>
      </c>
      <c r="D8" s="83">
        <f t="shared" si="0"/>
        <v>16296497.171798555</v>
      </c>
      <c r="E8" s="81">
        <f>D8/D13</f>
        <v>1.354566170074651E-2</v>
      </c>
    </row>
    <row r="9" spans="1:9" ht="36" customHeight="1" x14ac:dyDescent="0.55000000000000004">
      <c r="A9" s="79" t="s">
        <v>68</v>
      </c>
      <c r="B9" s="80">
        <f>'Attachment III-All'!I114+'Attachment III-All'!G114</f>
        <v>25945729.303163275</v>
      </c>
      <c r="C9" s="81">
        <f>B9/B13</f>
        <v>1.3287948227491235E-2</v>
      </c>
      <c r="D9" s="83">
        <f t="shared" si="0"/>
        <v>25945729.303163275</v>
      </c>
      <c r="E9" s="81">
        <f>D9/D13</f>
        <v>2.1566111294640096E-2</v>
      </c>
    </row>
    <row r="10" spans="1:9" ht="28.8" x14ac:dyDescent="0.55000000000000004">
      <c r="A10" s="79" t="s">
        <v>71</v>
      </c>
      <c r="B10" s="80">
        <f>'Attachment III-All'!I115+'Attachment III-All'!G115</f>
        <v>14494733.291353855</v>
      </c>
      <c r="C10" s="81">
        <f>B10/B13</f>
        <v>7.4233899265772974E-3</v>
      </c>
      <c r="D10" s="83">
        <f t="shared" si="0"/>
        <v>14494733.291353855</v>
      </c>
      <c r="E10" s="81">
        <f>D10/D13</f>
        <v>1.2048034098210952E-2</v>
      </c>
    </row>
    <row r="11" spans="1:9" x14ac:dyDescent="0.55000000000000004">
      <c r="A11" s="79" t="s">
        <v>88</v>
      </c>
      <c r="B11" s="80">
        <f>'Attachment III-All'!I117+'Attachment III-All'!G117</f>
        <v>1334192.4205866901</v>
      </c>
      <c r="C11" s="81">
        <f>B11/B13</f>
        <v>6.8329857307598168E-4</v>
      </c>
      <c r="D11" s="83">
        <f t="shared" si="0"/>
        <v>1334192.4205866901</v>
      </c>
      <c r="E11" s="81">
        <f>D11/D13</f>
        <v>1.1089818248943889E-3</v>
      </c>
    </row>
    <row r="12" spans="1:9" x14ac:dyDescent="0.55000000000000004">
      <c r="A12" s="79" t="s">
        <v>89</v>
      </c>
      <c r="B12" s="80">
        <f>'Attachment III-All'!I116+'Attachment III-All'!G116</f>
        <v>329992676.29036427</v>
      </c>
      <c r="C12" s="81">
        <f>B12/B13</f>
        <v>0.16900375189927808</v>
      </c>
      <c r="D12" s="83">
        <f>B12-'Rate Support-Attachment I'!G54</f>
        <v>581305.59038162231</v>
      </c>
      <c r="E12" s="81">
        <f>D12/D13</f>
        <v>4.8318167941566008E-4</v>
      </c>
    </row>
    <row r="13" spans="1:9" x14ac:dyDescent="0.55000000000000004">
      <c r="A13" s="84" t="s">
        <v>57</v>
      </c>
      <c r="B13" s="85">
        <f>SUM(B3:B12)</f>
        <v>1952576037.9984434</v>
      </c>
      <c r="C13" s="86">
        <f>SUM(C3:C12)</f>
        <v>1</v>
      </c>
      <c r="D13" s="87">
        <f>SUM(D3:D12)</f>
        <v>1203078707.5466712</v>
      </c>
      <c r="E13" s="86">
        <f>SUM(E3:E12)</f>
        <v>1.0000000000000002</v>
      </c>
    </row>
    <row r="14" spans="1:9" x14ac:dyDescent="0.55000000000000004">
      <c r="C14" s="49"/>
    </row>
    <row r="15" spans="1:9" x14ac:dyDescent="0.55000000000000004">
      <c r="F15" s="88"/>
    </row>
    <row r="16" spans="1:9" x14ac:dyDescent="0.55000000000000004">
      <c r="D16" s="19"/>
      <c r="F16" s="89"/>
      <c r="I16" s="90"/>
    </row>
  </sheetData>
  <mergeCells count="1">
    <mergeCell ref="A1:F1"/>
  </mergeCells>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1479B-4EF4-4E02-90FB-974783E3ABBF}">
  <sheetPr codeName="Sheet41"/>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247"/>
      <c r="D5" s="368" t="s">
        <v>582</v>
      </c>
      <c r="E5" s="247"/>
      <c r="F5" s="208"/>
    </row>
    <row r="6" spans="1:8" ht="18" customHeight="1" x14ac:dyDescent="0.55000000000000004">
      <c r="B6" s="180" t="s">
        <v>237</v>
      </c>
      <c r="C6" s="244"/>
      <c r="D6" s="369">
        <v>40</v>
      </c>
      <c r="E6" s="244"/>
      <c r="F6" s="209"/>
    </row>
    <row r="7" spans="1:8" ht="18" customHeight="1" x14ac:dyDescent="0.55000000000000004">
      <c r="B7" s="180" t="s">
        <v>238</v>
      </c>
      <c r="C7" s="246"/>
      <c r="D7" s="370">
        <v>1541</v>
      </c>
      <c r="E7" s="246"/>
      <c r="F7" s="210"/>
    </row>
    <row r="8" spans="1:8" ht="18" customHeight="1" x14ac:dyDescent="0.55000000000000004">
      <c r="C8" s="211"/>
      <c r="D8" s="371"/>
      <c r="E8" s="211"/>
      <c r="F8" s="212"/>
    </row>
    <row r="9" spans="1:8" ht="18" customHeight="1" x14ac:dyDescent="0.55000000000000004">
      <c r="B9" s="180" t="s">
        <v>239</v>
      </c>
      <c r="C9" s="247"/>
      <c r="D9" s="368" t="s">
        <v>388</v>
      </c>
      <c r="E9" s="247"/>
      <c r="F9" s="208"/>
    </row>
    <row r="10" spans="1:8" ht="18" customHeight="1" x14ac:dyDescent="0.55000000000000004">
      <c r="B10" s="180" t="s">
        <v>241</v>
      </c>
      <c r="C10" s="247"/>
      <c r="D10" s="368" t="s">
        <v>389</v>
      </c>
      <c r="E10" s="247"/>
      <c r="F10" s="208"/>
    </row>
    <row r="11" spans="1:8" ht="18" customHeight="1" x14ac:dyDescent="0.55000000000000004">
      <c r="B11" s="180" t="s">
        <v>243</v>
      </c>
      <c r="C11" s="372"/>
      <c r="D11" s="373" t="s">
        <v>390</v>
      </c>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5061153.8303569686</v>
      </c>
      <c r="E18" s="374"/>
      <c r="F18" s="214"/>
      <c r="G18" s="374">
        <v>4194533.238742034</v>
      </c>
      <c r="H18" s="249">
        <f>(D18+E18)-G18</f>
        <v>866620.59161493462</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45120</v>
      </c>
      <c r="E21" s="216">
        <v>5414</v>
      </c>
      <c r="F21" s="216"/>
      <c r="G21" s="184"/>
      <c r="H21" s="217">
        <f>(D21+E21)-F21-G21</f>
        <v>50534</v>
      </c>
    </row>
    <row r="22" spans="1:8" ht="18" customHeight="1" x14ac:dyDescent="0.55000000000000004">
      <c r="A22" s="180" t="s">
        <v>112</v>
      </c>
      <c r="B22" s="176" t="s">
        <v>113</v>
      </c>
      <c r="D22" s="184"/>
      <c r="E22" s="216"/>
      <c r="F22" s="216"/>
      <c r="G22" s="184"/>
      <c r="H22" s="217">
        <f t="shared" ref="H22:H34" si="0">(D22+E22)-F22-G22</f>
        <v>0</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v>151</v>
      </c>
      <c r="E24" s="216">
        <v>18</v>
      </c>
      <c r="F24" s="216"/>
      <c r="G24" s="184"/>
      <c r="H24" s="217">
        <f t="shared" si="0"/>
        <v>169</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v>1390435</v>
      </c>
      <c r="E29" s="216">
        <v>770617</v>
      </c>
      <c r="F29" s="216"/>
      <c r="G29" s="184">
        <v>782290</v>
      </c>
      <c r="H29" s="217">
        <f t="shared" si="0"/>
        <v>1378762</v>
      </c>
    </row>
    <row r="30" spans="1:8" ht="18" customHeight="1" x14ac:dyDescent="0.55000000000000004">
      <c r="A30" s="180" t="s">
        <v>128</v>
      </c>
      <c r="B30" s="185"/>
      <c r="D30" s="184"/>
      <c r="E30" s="216"/>
      <c r="F30" s="216"/>
      <c r="G30" s="184"/>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1435706</v>
      </c>
      <c r="E36" s="217">
        <f>SUM(E21:E34)</f>
        <v>776049</v>
      </c>
      <c r="F36" s="217">
        <f>SUM(F21:F34)</f>
        <v>0</v>
      </c>
      <c r="G36" s="217">
        <f>SUM(G21:G34)</f>
        <v>782290</v>
      </c>
      <c r="H36" s="217">
        <f>SUM(H21:H34)</f>
        <v>1429465</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v>66960</v>
      </c>
      <c r="E41" s="216">
        <v>58255</v>
      </c>
      <c r="F41" s="216"/>
      <c r="G41" s="184"/>
      <c r="H41" s="217">
        <f t="shared" ref="H41:H47" si="1">(D41+E41)-F41-G41</f>
        <v>125215</v>
      </c>
    </row>
    <row r="42" spans="1:8" ht="18" customHeight="1" x14ac:dyDescent="0.55000000000000004">
      <c r="A42" s="180" t="s">
        <v>252</v>
      </c>
      <c r="B42" s="176" t="s">
        <v>143</v>
      </c>
      <c r="D42" s="184">
        <v>884842</v>
      </c>
      <c r="E42" s="216">
        <v>769812</v>
      </c>
      <c r="F42" s="216"/>
      <c r="G42" s="184"/>
      <c r="H42" s="217">
        <f t="shared" si="1"/>
        <v>1654654</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951802</v>
      </c>
      <c r="E49" s="217">
        <f>SUM(E40:E47)</f>
        <v>828067</v>
      </c>
      <c r="F49" s="217">
        <f>SUM(F40:F47)</f>
        <v>0</v>
      </c>
      <c r="G49" s="217">
        <f>SUM(G40:G47)</f>
        <v>0</v>
      </c>
      <c r="H49" s="217">
        <f>SUM(H40:H47)</f>
        <v>1779869</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184">
        <v>8502436</v>
      </c>
      <c r="E53" s="216">
        <v>4520679</v>
      </c>
      <c r="F53" s="216">
        <v>0</v>
      </c>
      <c r="G53" s="184">
        <v>3860564</v>
      </c>
      <c r="H53" s="217">
        <f t="shared" ref="H53:H62" si="2">(D53+E53)-F53-G53</f>
        <v>9162551</v>
      </c>
    </row>
    <row r="54" spans="1:8" ht="18" customHeight="1" x14ac:dyDescent="0.55000000000000004">
      <c r="A54" s="180" t="s">
        <v>259</v>
      </c>
      <c r="B54" s="193"/>
      <c r="D54" s="184"/>
      <c r="E54" s="216"/>
      <c r="F54" s="216"/>
      <c r="G54" s="184"/>
      <c r="H54" s="217">
        <f t="shared" si="2"/>
        <v>0</v>
      </c>
    </row>
    <row r="55" spans="1:8" ht="18" customHeight="1" x14ac:dyDescent="0.55000000000000004">
      <c r="A55" s="180" t="s">
        <v>260</v>
      </c>
      <c r="B55" s="193"/>
      <c r="D55" s="184"/>
      <c r="E55" s="216"/>
      <c r="F55" s="216"/>
      <c r="G55" s="184"/>
      <c r="H55" s="217">
        <f t="shared" si="2"/>
        <v>0</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 t="shared" si="2"/>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8502436</v>
      </c>
      <c r="E64" s="217">
        <f>SUM(E53:E62)</f>
        <v>4520679</v>
      </c>
      <c r="F64" s="217">
        <f>SUM(F53:F62)</f>
        <v>0</v>
      </c>
      <c r="G64" s="217">
        <f>SUM(G53:G62)</f>
        <v>3860564</v>
      </c>
      <c r="H64" s="217">
        <f>SUM(H53:H62)</f>
        <v>9162551</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16">
        <v>105876</v>
      </c>
      <c r="E68" s="216">
        <v>92112</v>
      </c>
      <c r="F68" s="216"/>
      <c r="G68" s="228"/>
      <c r="H68" s="217">
        <f>(D68+E68)-F68-G68</f>
        <v>197988</v>
      </c>
      <c r="J68" s="254"/>
    </row>
    <row r="69" spans="1:10" ht="18" customHeight="1" x14ac:dyDescent="0.55000000000000004">
      <c r="A69" s="180" t="s">
        <v>273</v>
      </c>
      <c r="B69" s="176" t="s">
        <v>159</v>
      </c>
      <c r="D69" s="216">
        <v>473415</v>
      </c>
      <c r="E69" s="216">
        <v>411871</v>
      </c>
      <c r="F69" s="216"/>
      <c r="G69" s="228"/>
      <c r="H69" s="217">
        <f>(D69+E69)-F69-G69</f>
        <v>885286</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579291</v>
      </c>
      <c r="E74" s="229">
        <f>SUM(E68:E72)</f>
        <v>503983</v>
      </c>
      <c r="F74" s="229">
        <f>SUM(F68:F72)</f>
        <v>0</v>
      </c>
      <c r="G74" s="217">
        <f>SUM(G68:G72)</f>
        <v>0</v>
      </c>
      <c r="H74" s="217">
        <f>SUM(H68:H72)</f>
        <v>1083274</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176854</v>
      </c>
      <c r="E77" s="230"/>
      <c r="F77" s="220"/>
      <c r="G77" s="184"/>
      <c r="H77" s="217">
        <f>(D77-F77-G77)</f>
        <v>176854</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v>63519</v>
      </c>
      <c r="E79" s="230"/>
      <c r="F79" s="220"/>
      <c r="G79" s="184">
        <v>18652</v>
      </c>
      <c r="H79" s="217">
        <f>(D79-F79-G79)</f>
        <v>44867</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240373</v>
      </c>
      <c r="E82" s="231"/>
      <c r="F82" s="217">
        <f>SUM(F77:F80)</f>
        <v>0</v>
      </c>
      <c r="G82" s="217">
        <f>SUM(G77:G80)</f>
        <v>18652</v>
      </c>
      <c r="H82" s="217">
        <f>SUM(H77:H80)</f>
        <v>221721</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v>58916</v>
      </c>
      <c r="E88" s="216">
        <v>49799</v>
      </c>
      <c r="F88" s="216"/>
      <c r="G88" s="184">
        <v>58916</v>
      </c>
      <c r="H88" s="217">
        <f t="shared" si="3"/>
        <v>49799</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v>116260</v>
      </c>
      <c r="E91" s="216">
        <v>13951</v>
      </c>
      <c r="F91" s="216"/>
      <c r="G91" s="184">
        <v>116259</v>
      </c>
      <c r="H91" s="217">
        <f t="shared" si="3"/>
        <v>13952</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175176</v>
      </c>
      <c r="E98" s="217">
        <f>SUM(E86:E96)</f>
        <v>63750</v>
      </c>
      <c r="F98" s="217">
        <f>SUM(F86:F96)</f>
        <v>0</v>
      </c>
      <c r="G98" s="217">
        <f>SUM(G86:G96)</f>
        <v>175175</v>
      </c>
      <c r="H98" s="217">
        <f>SUM(H86:H96)</f>
        <v>63751</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c r="E102" s="216"/>
      <c r="F102" s="216"/>
      <c r="G102" s="184"/>
      <c r="H102" s="217">
        <f>(D102+E102)-F102-G102</f>
        <v>0</v>
      </c>
    </row>
    <row r="103" spans="1:8" ht="18" customHeight="1" x14ac:dyDescent="0.55000000000000004">
      <c r="A103" s="180" t="s">
        <v>304</v>
      </c>
      <c r="B103" s="176" t="s">
        <v>199</v>
      </c>
      <c r="D103" s="184">
        <v>226618</v>
      </c>
      <c r="E103" s="216">
        <v>197158</v>
      </c>
      <c r="F103" s="216"/>
      <c r="G103" s="184"/>
      <c r="H103" s="217">
        <f>(D103+E103)-F103-G103</f>
        <v>423776</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226618</v>
      </c>
      <c r="E108" s="217">
        <f>SUM(E102:E106)</f>
        <v>197158</v>
      </c>
      <c r="F108" s="217">
        <f>SUM(F102:F106)</f>
        <v>0</v>
      </c>
      <c r="G108" s="217">
        <f>SUM(G102:G106)</f>
        <v>0</v>
      </c>
      <c r="H108" s="217">
        <f>SUM(H102:H106)</f>
        <v>423776</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202">
        <v>1379300</v>
      </c>
      <c r="G111" s="184"/>
      <c r="H111" s="217">
        <f>F111-G111</f>
        <v>1379300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0.87</v>
      </c>
      <c r="F114" s="235" t="s">
        <v>429</v>
      </c>
      <c r="G114" s="236">
        <v>0.12</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202">
        <v>259935800</v>
      </c>
      <c r="F117" s="237"/>
    </row>
    <row r="118" spans="1:7" ht="18" customHeight="1" x14ac:dyDescent="0.55000000000000004">
      <c r="A118" s="180" t="s">
        <v>319</v>
      </c>
      <c r="B118" s="176" t="s">
        <v>320</v>
      </c>
      <c r="E118" s="202">
        <v>18559800</v>
      </c>
      <c r="F118" s="237"/>
    </row>
    <row r="119" spans="1:7" ht="18" customHeight="1" x14ac:dyDescent="0.55000000000000004">
      <c r="A119" s="180" t="s">
        <v>321</v>
      </c>
      <c r="B119" s="179" t="s">
        <v>322</v>
      </c>
      <c r="E119" s="217">
        <f>SUM(E117:E118)</f>
        <v>278495600</v>
      </c>
      <c r="F119" s="238"/>
    </row>
    <row r="120" spans="1:7" ht="18" customHeight="1" x14ac:dyDescent="0.55000000000000004">
      <c r="A120" s="180"/>
      <c r="B120" s="179"/>
      <c r="F120" s="212"/>
    </row>
    <row r="121" spans="1:7" ht="18" customHeight="1" x14ac:dyDescent="0.55000000000000004">
      <c r="A121" s="180" t="s">
        <v>323</v>
      </c>
      <c r="B121" s="179" t="s">
        <v>324</v>
      </c>
      <c r="E121" s="202">
        <v>276365800</v>
      </c>
      <c r="F121" s="237"/>
    </row>
    <row r="122" spans="1:7" ht="18" customHeight="1" x14ac:dyDescent="0.55000000000000004">
      <c r="A122" s="180"/>
      <c r="F122" s="212"/>
    </row>
    <row r="123" spans="1:7" ht="18" customHeight="1" x14ac:dyDescent="0.55000000000000004">
      <c r="A123" s="180" t="s">
        <v>325</v>
      </c>
      <c r="B123" s="179" t="s">
        <v>326</v>
      </c>
      <c r="E123" s="202">
        <f>+E119-E121</f>
        <v>2129800</v>
      </c>
      <c r="F123" s="237"/>
    </row>
    <row r="124" spans="1:7" ht="18" customHeight="1" x14ac:dyDescent="0.55000000000000004">
      <c r="A124" s="180"/>
      <c r="F124" s="212"/>
    </row>
    <row r="125" spans="1:7" ht="18" customHeight="1" x14ac:dyDescent="0.55000000000000004">
      <c r="A125" s="180" t="s">
        <v>327</v>
      </c>
      <c r="B125" s="179" t="s">
        <v>328</v>
      </c>
      <c r="E125" s="202">
        <v>20349400</v>
      </c>
      <c r="F125" s="237"/>
    </row>
    <row r="126" spans="1:7" ht="18" customHeight="1" x14ac:dyDescent="0.55000000000000004">
      <c r="A126" s="180"/>
      <c r="F126" s="212"/>
    </row>
    <row r="127" spans="1:7" ht="18" customHeight="1" x14ac:dyDescent="0.55000000000000004">
      <c r="A127" s="180" t="s">
        <v>329</v>
      </c>
      <c r="B127" s="179" t="s">
        <v>330</v>
      </c>
      <c r="E127" s="202">
        <f>+E123+E125</f>
        <v>22479200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1435706</v>
      </c>
      <c r="E141" s="239">
        <f>E36</f>
        <v>776049</v>
      </c>
      <c r="F141" s="239">
        <f>F36</f>
        <v>0</v>
      </c>
      <c r="G141" s="239">
        <f>G36</f>
        <v>782290</v>
      </c>
      <c r="H141" s="239">
        <f>H36</f>
        <v>1429465</v>
      </c>
    </row>
    <row r="142" spans="1:8" ht="18" customHeight="1" x14ac:dyDescent="0.55000000000000004">
      <c r="A142" s="180" t="s">
        <v>150</v>
      </c>
      <c r="B142" s="179" t="s">
        <v>220</v>
      </c>
      <c r="D142" s="239">
        <f>D49</f>
        <v>951802</v>
      </c>
      <c r="E142" s="239">
        <f>E49</f>
        <v>828067</v>
      </c>
      <c r="F142" s="239">
        <f>F49</f>
        <v>0</v>
      </c>
      <c r="G142" s="239">
        <f>G49</f>
        <v>0</v>
      </c>
      <c r="H142" s="239">
        <f>H49</f>
        <v>1779869</v>
      </c>
    </row>
    <row r="143" spans="1:8" ht="18" customHeight="1" x14ac:dyDescent="0.55000000000000004">
      <c r="A143" s="180" t="s">
        <v>269</v>
      </c>
      <c r="B143" s="179" t="s">
        <v>222</v>
      </c>
      <c r="D143" s="239">
        <f>D64</f>
        <v>8502436</v>
      </c>
      <c r="E143" s="239">
        <f>E64</f>
        <v>4520679</v>
      </c>
      <c r="F143" s="239">
        <f>F64</f>
        <v>0</v>
      </c>
      <c r="G143" s="239">
        <f>G64</f>
        <v>3860564</v>
      </c>
      <c r="H143" s="239">
        <f>H64</f>
        <v>9162551</v>
      </c>
    </row>
    <row r="144" spans="1:8" ht="18" customHeight="1" x14ac:dyDescent="0.55000000000000004">
      <c r="A144" s="180" t="s">
        <v>161</v>
      </c>
      <c r="B144" s="179" t="s">
        <v>70</v>
      </c>
      <c r="D144" s="239">
        <f>D74</f>
        <v>579291</v>
      </c>
      <c r="E144" s="239">
        <f>E74</f>
        <v>503983</v>
      </c>
      <c r="F144" s="239">
        <f>F74</f>
        <v>0</v>
      </c>
      <c r="G144" s="239">
        <f>G74</f>
        <v>0</v>
      </c>
      <c r="H144" s="239">
        <f>H74</f>
        <v>1083274</v>
      </c>
    </row>
    <row r="145" spans="1:8" ht="18" customHeight="1" x14ac:dyDescent="0.55000000000000004">
      <c r="A145" s="180" t="s">
        <v>171</v>
      </c>
      <c r="B145" s="179" t="s">
        <v>69</v>
      </c>
      <c r="D145" s="239">
        <f>D82</f>
        <v>240373</v>
      </c>
      <c r="E145" s="239">
        <f>E82</f>
        <v>0</v>
      </c>
      <c r="F145" s="239">
        <f>F82</f>
        <v>0</v>
      </c>
      <c r="G145" s="239">
        <f>G82</f>
        <v>18652</v>
      </c>
      <c r="H145" s="239">
        <f>H82</f>
        <v>221721</v>
      </c>
    </row>
    <row r="146" spans="1:8" ht="18" customHeight="1" x14ac:dyDescent="0.55000000000000004">
      <c r="A146" s="180" t="s">
        <v>193</v>
      </c>
      <c r="B146" s="179" t="s">
        <v>226</v>
      </c>
      <c r="D146" s="239">
        <f>D98</f>
        <v>175176</v>
      </c>
      <c r="E146" s="239">
        <f>E98</f>
        <v>63750</v>
      </c>
      <c r="F146" s="239">
        <f>F98</f>
        <v>0</v>
      </c>
      <c r="G146" s="239">
        <f>G98</f>
        <v>175175</v>
      </c>
      <c r="H146" s="239">
        <f>H98</f>
        <v>63751</v>
      </c>
    </row>
    <row r="147" spans="1:8" ht="18" customHeight="1" x14ac:dyDescent="0.55000000000000004">
      <c r="A147" s="180" t="s">
        <v>204</v>
      </c>
      <c r="B147" s="179" t="s">
        <v>71</v>
      </c>
      <c r="D147" s="217">
        <f>D108</f>
        <v>226618</v>
      </c>
      <c r="E147" s="217">
        <f>E108</f>
        <v>197158</v>
      </c>
      <c r="F147" s="217">
        <f>F108</f>
        <v>0</v>
      </c>
      <c r="G147" s="217">
        <f>G108</f>
        <v>0</v>
      </c>
      <c r="H147" s="217">
        <f>H108</f>
        <v>423776</v>
      </c>
    </row>
    <row r="148" spans="1:8" ht="18" customHeight="1" x14ac:dyDescent="0.55000000000000004">
      <c r="A148" s="180" t="s">
        <v>310</v>
      </c>
      <c r="B148" s="179" t="s">
        <v>58</v>
      </c>
      <c r="D148" s="240" t="s">
        <v>245</v>
      </c>
      <c r="E148" s="240" t="s">
        <v>245</v>
      </c>
      <c r="F148" s="240"/>
      <c r="G148" s="240" t="s">
        <v>245</v>
      </c>
      <c r="H148" s="239">
        <f>H111</f>
        <v>1379300</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5061153.8303569686</v>
      </c>
      <c r="E150" s="217">
        <f>E18</f>
        <v>0</v>
      </c>
      <c r="F150" s="217">
        <f>F18</f>
        <v>0</v>
      </c>
      <c r="G150" s="217">
        <f>G18</f>
        <v>4194533.238742034</v>
      </c>
      <c r="H150" s="217">
        <f>H18</f>
        <v>866620.59161493462</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17172555.83035697</v>
      </c>
      <c r="E152" s="241">
        <f>SUM(E141:E150)</f>
        <v>6889686</v>
      </c>
      <c r="F152" s="241">
        <f>SUM(F141:F150)</f>
        <v>0</v>
      </c>
      <c r="G152" s="241">
        <f>SUM(G141:G150)</f>
        <v>9031214.2387420349</v>
      </c>
      <c r="H152" s="241">
        <f>SUM(H141:H150)</f>
        <v>16410327.591614936</v>
      </c>
    </row>
    <row r="154" spans="1:8" ht="18" customHeight="1" x14ac:dyDescent="0.55000000000000004">
      <c r="A154" s="183" t="s">
        <v>339</v>
      </c>
      <c r="B154" s="179" t="s">
        <v>340</v>
      </c>
      <c r="D154" s="242">
        <f>H152/E121</f>
        <v>5.9379009962936567E-2</v>
      </c>
    </row>
    <row r="155" spans="1:8" ht="18" customHeight="1" x14ac:dyDescent="0.55000000000000004">
      <c r="A155" s="183" t="s">
        <v>341</v>
      </c>
      <c r="B155" s="179" t="s">
        <v>342</v>
      </c>
      <c r="D155" s="242">
        <f>H152/E127</f>
        <v>0.73002275844402542</v>
      </c>
    </row>
  </sheetData>
  <mergeCells count="2">
    <mergeCell ref="C2:D2"/>
    <mergeCell ref="B13:D13"/>
  </mergeCells>
  <hyperlinks>
    <hyperlink ref="D11" r:id="rId1" xr:uid="{D1D16A1C-3EC2-4E44-8322-20EF0249CBE1}"/>
  </hyperlinks>
  <pageMargins left="0.7" right="0.7" top="0.75" bottom="0.75" header="0.3" footer="0.3"/>
  <pageSetup orientation="portrait" horizontalDpi="1200" verticalDpi="1200"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31D9C-DC40-417F-A766-0F4BC87A74B3}">
  <sheetPr codeName="Sheet42"/>
  <dimension ref="A1:I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375" t="s">
        <v>583</v>
      </c>
      <c r="D5" s="272"/>
      <c r="E5" s="272"/>
      <c r="F5" s="208"/>
    </row>
    <row r="6" spans="1:8" ht="18" customHeight="1" x14ac:dyDescent="0.55000000000000004">
      <c r="B6" s="180" t="s">
        <v>237</v>
      </c>
      <c r="C6" s="376">
        <v>210043</v>
      </c>
      <c r="D6" s="276"/>
      <c r="E6" s="276"/>
      <c r="F6" s="209"/>
    </row>
    <row r="7" spans="1:8" ht="18" customHeight="1" x14ac:dyDescent="0.55000000000000004">
      <c r="B7" s="180" t="s">
        <v>238</v>
      </c>
      <c r="C7" s="377">
        <v>3220</v>
      </c>
      <c r="D7" s="277"/>
      <c r="E7" s="277"/>
      <c r="F7" s="210"/>
    </row>
    <row r="8" spans="1:8" ht="18" customHeight="1" x14ac:dyDescent="0.55000000000000004">
      <c r="C8" s="378"/>
      <c r="D8" s="212"/>
      <c r="E8" s="212"/>
      <c r="F8" s="212"/>
    </row>
    <row r="9" spans="1:8" ht="18" customHeight="1" x14ac:dyDescent="0.55000000000000004">
      <c r="B9" s="180" t="s">
        <v>239</v>
      </c>
      <c r="C9" s="375" t="s">
        <v>584</v>
      </c>
      <c r="D9" s="272"/>
      <c r="E9" s="272"/>
      <c r="F9" s="208"/>
    </row>
    <row r="10" spans="1:8" ht="18" customHeight="1" x14ac:dyDescent="0.55000000000000004">
      <c r="B10" s="180" t="s">
        <v>241</v>
      </c>
      <c r="C10" s="379" t="s">
        <v>585</v>
      </c>
      <c r="D10" s="380"/>
      <c r="E10" s="380"/>
      <c r="F10" s="213"/>
    </row>
    <row r="11" spans="1:8" ht="18" customHeight="1" x14ac:dyDescent="0.55000000000000004">
      <c r="B11" s="180" t="s">
        <v>243</v>
      </c>
      <c r="C11" s="381" t="s">
        <v>586</v>
      </c>
      <c r="D11" s="272"/>
      <c r="E11" s="272"/>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8590507.089810323</v>
      </c>
      <c r="E18" s="214"/>
      <c r="F18" s="214"/>
      <c r="G18" s="214">
        <v>7119555.8826389275</v>
      </c>
      <c r="H18" s="249">
        <f>(D18+E18)-G18</f>
        <v>1470951.2071713954</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87278</v>
      </c>
      <c r="E21" s="216">
        <v>15264</v>
      </c>
      <c r="F21" s="216">
        <v>0</v>
      </c>
      <c r="G21" s="184">
        <v>0</v>
      </c>
      <c r="H21" s="217">
        <f>(D21+E21)-F21-G21</f>
        <v>102542</v>
      </c>
    </row>
    <row r="22" spans="1:8" ht="18" customHeight="1" x14ac:dyDescent="0.55000000000000004">
      <c r="A22" s="180" t="s">
        <v>112</v>
      </c>
      <c r="B22" s="176" t="s">
        <v>113</v>
      </c>
      <c r="D22" s="184">
        <v>222</v>
      </c>
      <c r="E22" s="216">
        <v>138</v>
      </c>
      <c r="F22" s="216">
        <v>0</v>
      </c>
      <c r="G22" s="184">
        <v>0</v>
      </c>
      <c r="H22" s="217">
        <f t="shared" ref="H22:H34" si="0">(D22+E22)-F22-G22</f>
        <v>360</v>
      </c>
    </row>
    <row r="23" spans="1:8" ht="18" customHeight="1" x14ac:dyDescent="0.55000000000000004">
      <c r="A23" s="180" t="s">
        <v>114</v>
      </c>
      <c r="B23" s="176" t="s">
        <v>115</v>
      </c>
      <c r="D23" s="184">
        <v>4209</v>
      </c>
      <c r="E23" s="216">
        <v>2610</v>
      </c>
      <c r="F23" s="216">
        <v>0</v>
      </c>
      <c r="G23" s="184">
        <v>1104</v>
      </c>
      <c r="H23" s="217">
        <f t="shared" si="0"/>
        <v>5715</v>
      </c>
    </row>
    <row r="24" spans="1:8" ht="18" customHeight="1" x14ac:dyDescent="0.55000000000000004">
      <c r="A24" s="180" t="s">
        <v>116</v>
      </c>
      <c r="B24" s="176" t="s">
        <v>117</v>
      </c>
      <c r="D24" s="184">
        <v>481428</v>
      </c>
      <c r="E24" s="216">
        <v>298485</v>
      </c>
      <c r="F24" s="216">
        <v>0</v>
      </c>
      <c r="G24" s="184">
        <v>0</v>
      </c>
      <c r="H24" s="217">
        <f t="shared" si="0"/>
        <v>779913</v>
      </c>
    </row>
    <row r="25" spans="1:8" ht="18" customHeight="1" x14ac:dyDescent="0.55000000000000004">
      <c r="A25" s="180" t="s">
        <v>118</v>
      </c>
      <c r="B25" s="176" t="s">
        <v>119</v>
      </c>
      <c r="D25" s="184">
        <v>954</v>
      </c>
      <c r="E25" s="216">
        <v>591</v>
      </c>
      <c r="F25" s="216">
        <v>0</v>
      </c>
      <c r="G25" s="184">
        <v>0</v>
      </c>
      <c r="H25" s="217">
        <f t="shared" si="0"/>
        <v>1545</v>
      </c>
    </row>
    <row r="26" spans="1:8" ht="18" customHeight="1" x14ac:dyDescent="0.55000000000000004">
      <c r="A26" s="180" t="s">
        <v>120</v>
      </c>
      <c r="B26" s="176" t="s">
        <v>121</v>
      </c>
      <c r="D26" s="184">
        <v>127699</v>
      </c>
      <c r="E26" s="216">
        <v>15325</v>
      </c>
      <c r="F26" s="216">
        <v>0</v>
      </c>
      <c r="G26" s="184">
        <v>0</v>
      </c>
      <c r="H26" s="217">
        <f t="shared" si="0"/>
        <v>143024</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v>772226</v>
      </c>
      <c r="E29" s="216">
        <v>0</v>
      </c>
      <c r="F29" s="216">
        <v>0</v>
      </c>
      <c r="G29" s="184">
        <v>0</v>
      </c>
      <c r="H29" s="217">
        <f t="shared" si="0"/>
        <v>772226</v>
      </c>
    </row>
    <row r="30" spans="1:8" ht="18" customHeight="1" x14ac:dyDescent="0.55000000000000004">
      <c r="A30" s="180" t="s">
        <v>128</v>
      </c>
      <c r="B30" s="382" t="s">
        <v>587</v>
      </c>
      <c r="D30" s="184">
        <v>9305</v>
      </c>
      <c r="E30" s="216">
        <v>1117</v>
      </c>
      <c r="F30" s="216">
        <v>0</v>
      </c>
      <c r="G30" s="184">
        <v>2175</v>
      </c>
      <c r="H30" s="217">
        <f t="shared" si="0"/>
        <v>8247</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383"/>
    </row>
    <row r="36" spans="1:8" ht="18" customHeight="1" x14ac:dyDescent="0.55000000000000004">
      <c r="A36" s="183" t="s">
        <v>134</v>
      </c>
      <c r="B36" s="179" t="s">
        <v>135</v>
      </c>
      <c r="C36" s="179" t="s">
        <v>248</v>
      </c>
      <c r="D36" s="217">
        <f>SUM(D21:D34)</f>
        <v>1483321</v>
      </c>
      <c r="E36" s="217">
        <f>SUM(E21:E34)</f>
        <v>333530</v>
      </c>
      <c r="F36" s="217">
        <f>SUM(F21:F34)</f>
        <v>0</v>
      </c>
      <c r="G36" s="217">
        <f>SUM(G21:G34)</f>
        <v>3279</v>
      </c>
      <c r="H36" s="217">
        <f>SUM(H21:H34)</f>
        <v>1813572</v>
      </c>
    </row>
    <row r="37" spans="1:8" ht="18" customHeight="1" thickBot="1" x14ac:dyDescent="0.6">
      <c r="B37" s="179"/>
      <c r="D37" s="187"/>
      <c r="E37" s="187"/>
      <c r="F37" s="187"/>
      <c r="G37" s="187"/>
      <c r="H37" s="384"/>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v>111603</v>
      </c>
      <c r="E41" s="216">
        <v>69194</v>
      </c>
      <c r="F41" s="216">
        <v>0</v>
      </c>
      <c r="G41" s="184">
        <v>0</v>
      </c>
      <c r="H41" s="217">
        <f t="shared" ref="H41:H47" si="1">(D41+E41)-F41-G41</f>
        <v>180797</v>
      </c>
    </row>
    <row r="42" spans="1:8" ht="18" customHeight="1" x14ac:dyDescent="0.55000000000000004">
      <c r="A42" s="180" t="s">
        <v>252</v>
      </c>
      <c r="B42" s="176" t="s">
        <v>143</v>
      </c>
      <c r="D42" s="184">
        <v>285552</v>
      </c>
      <c r="E42" s="216">
        <v>177042</v>
      </c>
      <c r="F42" s="216">
        <v>0</v>
      </c>
      <c r="G42" s="184">
        <v>0</v>
      </c>
      <c r="H42" s="217">
        <f t="shared" si="1"/>
        <v>462594</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00"/>
      <c r="E44" s="220"/>
      <c r="F44" s="220"/>
      <c r="G44" s="200"/>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397155</v>
      </c>
      <c r="E49" s="217">
        <f>SUM(E40:E47)</f>
        <v>246236</v>
      </c>
      <c r="F49" s="217">
        <f>SUM(F40:F47)</f>
        <v>0</v>
      </c>
      <c r="G49" s="217">
        <f>SUM(G40:G47)</f>
        <v>0</v>
      </c>
      <c r="H49" s="217">
        <f>SUM(H40:H47)</f>
        <v>643391</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65">
        <v>23418972</v>
      </c>
      <c r="E53" s="265">
        <v>1722649.9</v>
      </c>
      <c r="F53" s="265">
        <v>0</v>
      </c>
      <c r="G53" s="265">
        <v>14405919.57</v>
      </c>
      <c r="H53" s="217">
        <f>(D53+E53)-F53-G53</f>
        <v>10735702.329999998</v>
      </c>
    </row>
    <row r="54" spans="1:8" ht="18" customHeight="1" x14ac:dyDescent="0.55000000000000004">
      <c r="A54" s="180" t="s">
        <v>259</v>
      </c>
      <c r="B54" s="223" t="s">
        <v>588</v>
      </c>
      <c r="D54" s="265">
        <v>317629</v>
      </c>
      <c r="E54" s="265">
        <v>0</v>
      </c>
      <c r="F54" s="265">
        <v>0</v>
      </c>
      <c r="G54" s="265">
        <v>0</v>
      </c>
      <c r="H54" s="217">
        <f t="shared" ref="H54:H62" si="2">(D54+E54)-F54-G54</f>
        <v>317629</v>
      </c>
    </row>
    <row r="55" spans="1:8" ht="18" customHeight="1" x14ac:dyDescent="0.55000000000000004">
      <c r="A55" s="180" t="s">
        <v>260</v>
      </c>
      <c r="B55" s="193" t="s">
        <v>589</v>
      </c>
      <c r="D55" s="184">
        <v>1459752.49</v>
      </c>
      <c r="E55" s="216">
        <v>69205.710000000006</v>
      </c>
      <c r="F55" s="216">
        <v>0</v>
      </c>
      <c r="G55" s="184">
        <v>1292684.5</v>
      </c>
      <c r="H55" s="217">
        <f t="shared" si="2"/>
        <v>236273.69999999995</v>
      </c>
    </row>
    <row r="56" spans="1:8" ht="18" customHeight="1" x14ac:dyDescent="0.55000000000000004">
      <c r="A56" s="180" t="s">
        <v>261</v>
      </c>
      <c r="B56" s="193" t="s">
        <v>590</v>
      </c>
      <c r="D56" s="184">
        <v>1583140.73</v>
      </c>
      <c r="E56" s="216">
        <v>22277.360000000001</v>
      </c>
      <c r="F56" s="216">
        <v>0</v>
      </c>
      <c r="G56" s="184">
        <v>434678.19</v>
      </c>
      <c r="H56" s="217">
        <f t="shared" si="2"/>
        <v>1170739.9000000001</v>
      </c>
    </row>
    <row r="57" spans="1:8" ht="18" customHeight="1" x14ac:dyDescent="0.55000000000000004">
      <c r="A57" s="180" t="s">
        <v>263</v>
      </c>
      <c r="B57" s="193" t="s">
        <v>591</v>
      </c>
      <c r="D57" s="184">
        <v>6962943.9400000004</v>
      </c>
      <c r="E57" s="216">
        <v>167618.26999999999</v>
      </c>
      <c r="F57" s="216">
        <v>0</v>
      </c>
      <c r="G57" s="184">
        <v>3497439.87</v>
      </c>
      <c r="H57" s="217">
        <f t="shared" si="2"/>
        <v>3633122.34</v>
      </c>
    </row>
    <row r="58" spans="1:8" ht="18" customHeight="1" x14ac:dyDescent="0.55000000000000004">
      <c r="A58" s="180" t="s">
        <v>264</v>
      </c>
      <c r="B58" s="193" t="s">
        <v>592</v>
      </c>
      <c r="D58" s="184">
        <v>9769217.4800000004</v>
      </c>
      <c r="E58" s="216">
        <v>1429834.01</v>
      </c>
      <c r="F58" s="216">
        <v>0</v>
      </c>
      <c r="G58" s="184">
        <v>9008714.4800000004</v>
      </c>
      <c r="H58" s="217">
        <f>(D58+E58)-F58-G58</f>
        <v>2190337.0099999998</v>
      </c>
    </row>
    <row r="59" spans="1:8" ht="18" customHeight="1" x14ac:dyDescent="0.55000000000000004">
      <c r="A59" s="180" t="s">
        <v>265</v>
      </c>
      <c r="B59" s="223" t="s">
        <v>593</v>
      </c>
      <c r="D59" s="224">
        <v>957201.32</v>
      </c>
      <c r="E59" s="225">
        <v>33714.550000000003</v>
      </c>
      <c r="F59" s="225">
        <v>0</v>
      </c>
      <c r="G59" s="224">
        <v>172402.53</v>
      </c>
      <c r="H59" s="217">
        <f t="shared" si="2"/>
        <v>818513.34</v>
      </c>
    </row>
    <row r="60" spans="1:8" ht="18" customHeight="1" x14ac:dyDescent="0.55000000000000004">
      <c r="A60" s="180" t="s">
        <v>266</v>
      </c>
      <c r="B60" s="226" t="s">
        <v>594</v>
      </c>
      <c r="C60" s="212"/>
      <c r="D60" s="265">
        <v>2369086.7400000002</v>
      </c>
      <c r="E60" s="265">
        <v>0</v>
      </c>
      <c r="F60" s="265">
        <v>0</v>
      </c>
      <c r="G60" s="265">
        <v>0</v>
      </c>
      <c r="H60" s="217">
        <f t="shared" si="2"/>
        <v>2369086.7400000002</v>
      </c>
    </row>
    <row r="61" spans="1:8" ht="18" customHeight="1" x14ac:dyDescent="0.55000000000000004">
      <c r="A61" s="180" t="s">
        <v>267</v>
      </c>
      <c r="B61" s="226"/>
      <c r="C61" s="212"/>
      <c r="D61" s="265"/>
      <c r="E61" s="265"/>
      <c r="F61" s="265"/>
      <c r="G61" s="265"/>
      <c r="H61" s="217">
        <f t="shared" si="2"/>
        <v>0</v>
      </c>
    </row>
    <row r="62" spans="1:8" ht="18" customHeight="1" x14ac:dyDescent="0.55000000000000004">
      <c r="A62" s="180" t="s">
        <v>268</v>
      </c>
      <c r="B62" s="226"/>
      <c r="C62" s="212"/>
      <c r="D62" s="265"/>
      <c r="E62" s="265"/>
      <c r="F62" s="265"/>
      <c r="G62" s="265"/>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SUM(D54:D62)</f>
        <v>23418971.700000003</v>
      </c>
      <c r="E64" s="217">
        <f>SUM(E54:E62)</f>
        <v>1722649.9000000001</v>
      </c>
      <c r="F64" s="217">
        <f>SUM(F54:F62)</f>
        <v>0</v>
      </c>
      <c r="G64" s="217">
        <f>SUM(G54:G62)</f>
        <v>14405919.57</v>
      </c>
      <c r="H64" s="217">
        <f>SUM(H54:H62)</f>
        <v>10735702.029999999</v>
      </c>
    </row>
    <row r="65" spans="1:8" ht="18" customHeight="1" x14ac:dyDescent="0.55000000000000004">
      <c r="D65" s="190"/>
      <c r="E65" s="190"/>
      <c r="F65" s="190"/>
      <c r="G65" s="190"/>
      <c r="H65" s="190"/>
    </row>
    <row r="66" spans="1:8" ht="42.75" customHeight="1" x14ac:dyDescent="0.55000000000000004">
      <c r="D66" s="182" t="s">
        <v>99</v>
      </c>
      <c r="E66" s="182" t="s">
        <v>100</v>
      </c>
      <c r="F66" s="182" t="s">
        <v>431</v>
      </c>
      <c r="G66" s="182" t="s">
        <v>432</v>
      </c>
      <c r="H66" s="182" t="s">
        <v>244</v>
      </c>
    </row>
    <row r="67" spans="1:8" ht="18" customHeight="1" x14ac:dyDescent="0.55000000000000004">
      <c r="A67" s="183" t="s">
        <v>271</v>
      </c>
      <c r="B67" s="179" t="s">
        <v>155</v>
      </c>
      <c r="D67" s="191"/>
      <c r="E67" s="192"/>
      <c r="F67" s="192"/>
      <c r="G67" s="191"/>
      <c r="H67" s="192"/>
    </row>
    <row r="68" spans="1:8" ht="18" customHeight="1" x14ac:dyDescent="0.55000000000000004">
      <c r="A68" s="180" t="s">
        <v>272</v>
      </c>
      <c r="B68" s="176" t="s">
        <v>157</v>
      </c>
      <c r="D68" s="228"/>
      <c r="E68" s="216"/>
      <c r="F68" s="216"/>
      <c r="G68" s="228"/>
      <c r="H68" s="217">
        <f>(D68+E68)-F68-G68</f>
        <v>0</v>
      </c>
    </row>
    <row r="69" spans="1:8" ht="18" customHeight="1" x14ac:dyDescent="0.55000000000000004">
      <c r="A69" s="180" t="s">
        <v>273</v>
      </c>
      <c r="B69" s="176" t="s">
        <v>159</v>
      </c>
      <c r="D69" s="228"/>
      <c r="E69" s="216"/>
      <c r="F69" s="216"/>
      <c r="G69" s="228"/>
      <c r="H69" s="217">
        <f>(D69+E69)-F69-G69</f>
        <v>0</v>
      </c>
    </row>
    <row r="70" spans="1:8" ht="18" customHeight="1" x14ac:dyDescent="0.55000000000000004">
      <c r="A70" s="180" t="s">
        <v>274</v>
      </c>
      <c r="B70" s="193"/>
      <c r="C70" s="179"/>
      <c r="D70" s="224"/>
      <c r="E70" s="216"/>
      <c r="F70" s="225"/>
      <c r="G70" s="224"/>
      <c r="H70" s="217">
        <f>(D70+E70)-F70-G70</f>
        <v>0</v>
      </c>
    </row>
    <row r="71" spans="1:8" ht="18" customHeight="1" x14ac:dyDescent="0.55000000000000004">
      <c r="A71" s="180" t="s">
        <v>275</v>
      </c>
      <c r="B71" s="193"/>
      <c r="C71" s="179"/>
      <c r="D71" s="224"/>
      <c r="E71" s="216"/>
      <c r="F71" s="225"/>
      <c r="G71" s="224"/>
      <c r="H71" s="217">
        <f>(D71+E71)-F71-G71</f>
        <v>0</v>
      </c>
    </row>
    <row r="72" spans="1:8" ht="18" customHeight="1" x14ac:dyDescent="0.55000000000000004">
      <c r="A72" s="180" t="s">
        <v>276</v>
      </c>
      <c r="B72" s="194"/>
      <c r="C72" s="179"/>
      <c r="D72" s="184"/>
      <c r="E72" s="216"/>
      <c r="F72" s="216"/>
      <c r="G72" s="184"/>
      <c r="H72" s="217">
        <f>(D72+E72)-F72-G72</f>
        <v>0</v>
      </c>
    </row>
    <row r="73" spans="1:8" ht="18" customHeight="1" x14ac:dyDescent="0.55000000000000004">
      <c r="A73" s="180"/>
      <c r="C73" s="179"/>
      <c r="D73" s="195"/>
      <c r="E73" s="192"/>
      <c r="F73" s="192"/>
      <c r="G73" s="195"/>
      <c r="H73" s="192"/>
    </row>
    <row r="74" spans="1:8"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8" ht="42.75" customHeight="1" x14ac:dyDescent="0.55000000000000004">
      <c r="D75" s="182" t="s">
        <v>99</v>
      </c>
      <c r="E75" s="182" t="s">
        <v>100</v>
      </c>
      <c r="F75" s="182" t="s">
        <v>431</v>
      </c>
      <c r="G75" s="182" t="s">
        <v>432</v>
      </c>
      <c r="H75" s="182" t="s">
        <v>244</v>
      </c>
    </row>
    <row r="76" spans="1:8" ht="18" customHeight="1" x14ac:dyDescent="0.55000000000000004">
      <c r="A76" s="183" t="s">
        <v>278</v>
      </c>
      <c r="B76" s="179" t="s">
        <v>279</v>
      </c>
    </row>
    <row r="77" spans="1:8" ht="18" customHeight="1" x14ac:dyDescent="0.55000000000000004">
      <c r="A77" s="180" t="s">
        <v>280</v>
      </c>
      <c r="B77" s="176" t="s">
        <v>164</v>
      </c>
      <c r="D77" s="184">
        <v>58974</v>
      </c>
      <c r="E77" s="230">
        <v>0</v>
      </c>
      <c r="F77" s="220">
        <v>0</v>
      </c>
      <c r="G77" s="184">
        <v>0</v>
      </c>
      <c r="H77" s="217">
        <f>(D77-F77-G77)</f>
        <v>58974</v>
      </c>
    </row>
    <row r="78" spans="1:8" ht="18" customHeight="1" x14ac:dyDescent="0.55000000000000004">
      <c r="A78" s="180" t="s">
        <v>281</v>
      </c>
      <c r="B78" s="176" t="s">
        <v>166</v>
      </c>
      <c r="D78" s="184"/>
      <c r="E78" s="230"/>
      <c r="F78" s="220"/>
      <c r="G78" s="184"/>
      <c r="H78" s="217">
        <f>(D78-F78-G78)</f>
        <v>0</v>
      </c>
    </row>
    <row r="79" spans="1:8" ht="18" customHeight="1" x14ac:dyDescent="0.55000000000000004">
      <c r="A79" s="180" t="s">
        <v>282</v>
      </c>
      <c r="B79" s="176" t="s">
        <v>168</v>
      </c>
      <c r="D79" s="184">
        <v>30149</v>
      </c>
      <c r="E79" s="230">
        <v>15835</v>
      </c>
      <c r="F79" s="220">
        <v>0</v>
      </c>
      <c r="G79" s="184">
        <v>0</v>
      </c>
      <c r="H79" s="217">
        <f>D79-F79-G79</f>
        <v>30149</v>
      </c>
    </row>
    <row r="80" spans="1:8"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89123</v>
      </c>
      <c r="E82" s="215">
        <f>SUM(E77:E80)</f>
        <v>15835</v>
      </c>
      <c r="F82" s="217">
        <f>SUM(F77:F80)</f>
        <v>0</v>
      </c>
      <c r="G82" s="217">
        <f>SUM(G77:G80)</f>
        <v>0</v>
      </c>
      <c r="H82" s="217">
        <f>SUM(H77:H80)</f>
        <v>89123</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v>3590</v>
      </c>
      <c r="E87" s="216">
        <v>0</v>
      </c>
      <c r="F87" s="216">
        <v>0</v>
      </c>
      <c r="G87" s="184">
        <v>0</v>
      </c>
      <c r="H87" s="217">
        <f t="shared" ref="H87:H96" si="3">(D87+E87)-F87-G87</f>
        <v>3590</v>
      </c>
    </row>
    <row r="88" spans="1:8" ht="18" customHeight="1" x14ac:dyDescent="0.55000000000000004">
      <c r="A88" s="180" t="s">
        <v>288</v>
      </c>
      <c r="B88" s="176" t="s">
        <v>289</v>
      </c>
      <c r="D88" s="184">
        <v>1283</v>
      </c>
      <c r="E88" s="216">
        <v>154</v>
      </c>
      <c r="F88" s="216">
        <v>0</v>
      </c>
      <c r="G88" s="184">
        <v>0</v>
      </c>
      <c r="H88" s="217">
        <f t="shared" si="3"/>
        <v>1437</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v>2423</v>
      </c>
      <c r="E91" s="216">
        <v>290</v>
      </c>
      <c r="F91" s="216">
        <v>0</v>
      </c>
      <c r="G91" s="184">
        <v>0</v>
      </c>
      <c r="H91" s="217">
        <f t="shared" si="3"/>
        <v>2713</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7296</v>
      </c>
      <c r="E98" s="217">
        <f>SUM(E86:E96)</f>
        <v>444</v>
      </c>
      <c r="F98" s="217">
        <f>SUM(F86:F96)</f>
        <v>0</v>
      </c>
      <c r="G98" s="217">
        <f>SUM(G86:G96)</f>
        <v>0</v>
      </c>
      <c r="H98" s="217">
        <f>SUM(H86:H96)</f>
        <v>7740</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140601</v>
      </c>
      <c r="E102" s="216">
        <v>87172</v>
      </c>
      <c r="F102" s="216">
        <v>0</v>
      </c>
      <c r="G102" s="184">
        <v>0</v>
      </c>
      <c r="H102" s="217">
        <f>(D102+E102)-F102-G102</f>
        <v>227773</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t="s">
        <v>201</v>
      </c>
      <c r="D104" s="184">
        <v>1262</v>
      </c>
      <c r="E104" s="216">
        <v>0</v>
      </c>
      <c r="F104" s="216">
        <v>0</v>
      </c>
      <c r="G104" s="184">
        <v>0</v>
      </c>
      <c r="H104" s="217">
        <f>(D104+E104)-F104-G104</f>
        <v>1262</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141863</v>
      </c>
      <c r="E108" s="217">
        <f>SUM(E102:E106)</f>
        <v>87172</v>
      </c>
      <c r="F108" s="217">
        <f>SUM(F102:F106)</f>
        <v>0</v>
      </c>
      <c r="G108" s="217">
        <f>SUM(G102:G106)</f>
        <v>0</v>
      </c>
      <c r="H108" s="217">
        <f>SUM(H102:H106)</f>
        <v>229035</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6901000</v>
      </c>
      <c r="G111" s="184"/>
      <c r="H111" s="217">
        <f>F111-G111</f>
        <v>6901000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0.62</v>
      </c>
      <c r="F114" s="235" t="s">
        <v>429</v>
      </c>
      <c r="G114" s="236">
        <v>0.12</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417385000</v>
      </c>
      <c r="F117" s="237"/>
    </row>
    <row r="118" spans="1:7" ht="18" customHeight="1" x14ac:dyDescent="0.55000000000000004">
      <c r="A118" s="180" t="s">
        <v>319</v>
      </c>
      <c r="B118" s="176" t="s">
        <v>320</v>
      </c>
      <c r="E118" s="184">
        <f>23223000+3488000</f>
        <v>26711000</v>
      </c>
      <c r="F118" s="237"/>
    </row>
    <row r="119" spans="1:7" ht="18" customHeight="1" x14ac:dyDescent="0.55000000000000004">
      <c r="A119" s="180" t="s">
        <v>321</v>
      </c>
      <c r="B119" s="179" t="s">
        <v>322</v>
      </c>
      <c r="E119" s="217">
        <f>SUM(E117:E118)</f>
        <v>444096000</v>
      </c>
      <c r="F119" s="238"/>
    </row>
    <row r="120" spans="1:7" ht="18" customHeight="1" x14ac:dyDescent="0.55000000000000004">
      <c r="A120" s="180"/>
      <c r="B120" s="179"/>
      <c r="F120" s="212"/>
    </row>
    <row r="121" spans="1:7" ht="18" customHeight="1" x14ac:dyDescent="0.55000000000000004">
      <c r="A121" s="180" t="s">
        <v>323</v>
      </c>
      <c r="B121" s="179" t="s">
        <v>324</v>
      </c>
      <c r="E121" s="184">
        <v>434108000</v>
      </c>
      <c r="F121" s="237"/>
    </row>
    <row r="122" spans="1:7" ht="18" customHeight="1" x14ac:dyDescent="0.55000000000000004">
      <c r="A122" s="180"/>
      <c r="F122" s="212"/>
    </row>
    <row r="123" spans="1:7" ht="18" customHeight="1" x14ac:dyDescent="0.55000000000000004">
      <c r="A123" s="180" t="s">
        <v>325</v>
      </c>
      <c r="B123" s="179" t="s">
        <v>326</v>
      </c>
      <c r="E123" s="184">
        <f>E119-E121</f>
        <v>9988000</v>
      </c>
      <c r="F123" s="237"/>
    </row>
    <row r="124" spans="1:7" ht="18" customHeight="1" x14ac:dyDescent="0.55000000000000004">
      <c r="A124" s="180"/>
      <c r="F124" s="212"/>
    </row>
    <row r="125" spans="1:7" ht="18" customHeight="1" x14ac:dyDescent="0.55000000000000004">
      <c r="A125" s="180" t="s">
        <v>327</v>
      </c>
      <c r="B125" s="179" t="s">
        <v>328</v>
      </c>
      <c r="E125" s="184">
        <v>30198000</v>
      </c>
      <c r="F125" s="237"/>
    </row>
    <row r="126" spans="1:7" ht="18" customHeight="1" x14ac:dyDescent="0.55000000000000004">
      <c r="A126" s="180"/>
      <c r="F126" s="212"/>
    </row>
    <row r="127" spans="1:7" ht="18" customHeight="1" x14ac:dyDescent="0.55000000000000004">
      <c r="A127" s="180" t="s">
        <v>329</v>
      </c>
      <c r="B127" s="179" t="s">
        <v>330</v>
      </c>
      <c r="E127" s="184">
        <f>E125+E123</f>
        <v>40186000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v>32987</v>
      </c>
      <c r="E131" s="216">
        <v>3796</v>
      </c>
      <c r="F131" s="216">
        <v>0</v>
      </c>
      <c r="G131" s="184">
        <v>5000</v>
      </c>
      <c r="H131" s="217">
        <f>(D131+E131)-F131-G131</f>
        <v>31783</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32987</v>
      </c>
      <c r="E137" s="217">
        <f>SUM(E131:E135)</f>
        <v>3796</v>
      </c>
      <c r="F137" s="217">
        <f>SUM(F131:F135)</f>
        <v>0</v>
      </c>
      <c r="G137" s="217">
        <f>SUM(G131:G135)</f>
        <v>5000</v>
      </c>
      <c r="H137" s="217">
        <f>SUM(H131:H135)</f>
        <v>31783</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385">
        <f>D36</f>
        <v>1483321</v>
      </c>
      <c r="E141" s="385">
        <f>E36</f>
        <v>333530</v>
      </c>
      <c r="F141" s="385">
        <f>F36</f>
        <v>0</v>
      </c>
      <c r="G141" s="385">
        <f>G36</f>
        <v>3279</v>
      </c>
      <c r="H141" s="385">
        <f>H36</f>
        <v>1813572</v>
      </c>
    </row>
    <row r="142" spans="1:8" ht="18" customHeight="1" x14ac:dyDescent="0.55000000000000004">
      <c r="A142" s="180" t="s">
        <v>150</v>
      </c>
      <c r="B142" s="179" t="s">
        <v>220</v>
      </c>
      <c r="D142" s="385">
        <f>D49</f>
        <v>397155</v>
      </c>
      <c r="E142" s="385">
        <f>E49</f>
        <v>246236</v>
      </c>
      <c r="F142" s="385">
        <f>F49</f>
        <v>0</v>
      </c>
      <c r="G142" s="385">
        <f>G49</f>
        <v>0</v>
      </c>
      <c r="H142" s="385">
        <f>H49</f>
        <v>643391</v>
      </c>
    </row>
    <row r="143" spans="1:8" ht="18" customHeight="1" x14ac:dyDescent="0.55000000000000004">
      <c r="A143" s="180" t="s">
        <v>269</v>
      </c>
      <c r="B143" s="179" t="s">
        <v>222</v>
      </c>
      <c r="D143" s="385">
        <f>D64</f>
        <v>23418971.700000003</v>
      </c>
      <c r="E143" s="385">
        <f>E64</f>
        <v>1722649.9000000001</v>
      </c>
      <c r="F143" s="385">
        <f>F64</f>
        <v>0</v>
      </c>
      <c r="G143" s="385">
        <f>G64</f>
        <v>14405919.57</v>
      </c>
      <c r="H143" s="385">
        <f>H64</f>
        <v>10735702.029999999</v>
      </c>
    </row>
    <row r="144" spans="1:8" ht="18" customHeight="1" x14ac:dyDescent="0.55000000000000004">
      <c r="A144" s="180" t="s">
        <v>161</v>
      </c>
      <c r="B144" s="179" t="s">
        <v>70</v>
      </c>
      <c r="D144" s="385">
        <f>D74</f>
        <v>0</v>
      </c>
      <c r="E144" s="385">
        <f>E74</f>
        <v>0</v>
      </c>
      <c r="F144" s="385">
        <f>F74</f>
        <v>0</v>
      </c>
      <c r="G144" s="385">
        <f>G74</f>
        <v>0</v>
      </c>
      <c r="H144" s="385">
        <f>H74</f>
        <v>0</v>
      </c>
    </row>
    <row r="145" spans="1:8" ht="18" customHeight="1" x14ac:dyDescent="0.55000000000000004">
      <c r="A145" s="180" t="s">
        <v>171</v>
      </c>
      <c r="B145" s="179" t="s">
        <v>69</v>
      </c>
      <c r="D145" s="385">
        <f>D82</f>
        <v>89123</v>
      </c>
      <c r="E145" s="385">
        <f>E82</f>
        <v>15835</v>
      </c>
      <c r="F145" s="385">
        <f>F82</f>
        <v>0</v>
      </c>
      <c r="G145" s="385">
        <f>G82</f>
        <v>0</v>
      </c>
      <c r="H145" s="385">
        <f>H82</f>
        <v>89123</v>
      </c>
    </row>
    <row r="146" spans="1:8" ht="18" customHeight="1" x14ac:dyDescent="0.55000000000000004">
      <c r="A146" s="180" t="s">
        <v>193</v>
      </c>
      <c r="B146" s="179" t="s">
        <v>226</v>
      </c>
      <c r="D146" s="385">
        <f>D98</f>
        <v>7296</v>
      </c>
      <c r="E146" s="385">
        <f>E98</f>
        <v>444</v>
      </c>
      <c r="F146" s="385">
        <f>F98</f>
        <v>0</v>
      </c>
      <c r="G146" s="385">
        <f>G98</f>
        <v>0</v>
      </c>
      <c r="H146" s="385">
        <f>H98</f>
        <v>7740</v>
      </c>
    </row>
    <row r="147" spans="1:8" ht="18" customHeight="1" x14ac:dyDescent="0.55000000000000004">
      <c r="A147" s="180" t="s">
        <v>204</v>
      </c>
      <c r="B147" s="179" t="s">
        <v>71</v>
      </c>
      <c r="D147" s="386">
        <f>D108</f>
        <v>141863</v>
      </c>
      <c r="E147" s="386">
        <f>E108</f>
        <v>87172</v>
      </c>
      <c r="F147" s="386">
        <f>F108</f>
        <v>0</v>
      </c>
      <c r="G147" s="386">
        <f>G108</f>
        <v>0</v>
      </c>
      <c r="H147" s="386">
        <f>H108</f>
        <v>229035</v>
      </c>
    </row>
    <row r="148" spans="1:8" ht="18" customHeight="1" x14ac:dyDescent="0.55000000000000004">
      <c r="A148" s="180" t="s">
        <v>310</v>
      </c>
      <c r="B148" s="179" t="s">
        <v>58</v>
      </c>
      <c r="D148" s="387" t="s">
        <v>245</v>
      </c>
      <c r="E148" s="387" t="s">
        <v>245</v>
      </c>
      <c r="F148" s="387" t="s">
        <v>245</v>
      </c>
      <c r="G148" s="387" t="s">
        <v>245</v>
      </c>
      <c r="H148" s="385">
        <f>H111</f>
        <v>6901000</v>
      </c>
    </row>
    <row r="149" spans="1:8" ht="18" customHeight="1" x14ac:dyDescent="0.55000000000000004">
      <c r="A149" s="180" t="s">
        <v>215</v>
      </c>
      <c r="B149" s="179" t="s">
        <v>230</v>
      </c>
      <c r="D149" s="386">
        <f>D137</f>
        <v>32987</v>
      </c>
      <c r="E149" s="386">
        <f>E137</f>
        <v>3796</v>
      </c>
      <c r="F149" s="386">
        <f>F137</f>
        <v>0</v>
      </c>
      <c r="G149" s="386">
        <f>G137</f>
        <v>5000</v>
      </c>
      <c r="H149" s="386">
        <f>H137</f>
        <v>31783</v>
      </c>
    </row>
    <row r="150" spans="1:8" ht="18" customHeight="1" x14ac:dyDescent="0.55000000000000004">
      <c r="A150" s="180" t="s">
        <v>103</v>
      </c>
      <c r="B150" s="179" t="s">
        <v>104</v>
      </c>
      <c r="D150" s="386">
        <f>D18</f>
        <v>8590507.089810323</v>
      </c>
      <c r="E150" s="386">
        <f>E18</f>
        <v>0</v>
      </c>
      <c r="F150" s="386">
        <f>F18</f>
        <v>0</v>
      </c>
      <c r="G150" s="386">
        <f>G18</f>
        <v>7119555.8826389275</v>
      </c>
      <c r="H150" s="386">
        <f>H18</f>
        <v>1470951.2071713954</v>
      </c>
    </row>
    <row r="151" spans="1:8" ht="18" customHeight="1" x14ac:dyDescent="0.55000000000000004">
      <c r="B151" s="179"/>
      <c r="D151" s="388"/>
      <c r="E151" s="388"/>
      <c r="F151" s="388"/>
      <c r="G151" s="388"/>
      <c r="H151" s="388"/>
    </row>
    <row r="152" spans="1:8" ht="18" customHeight="1" x14ac:dyDescent="0.55000000000000004">
      <c r="A152" s="183" t="s">
        <v>231</v>
      </c>
      <c r="B152" s="179" t="s">
        <v>217</v>
      </c>
      <c r="D152" s="389">
        <f>SUM(D141:D150)</f>
        <v>34161223.78981033</v>
      </c>
      <c r="E152" s="389">
        <f>SUM(E141:E150)</f>
        <v>2409662.9000000004</v>
      </c>
      <c r="F152" s="389">
        <f>SUM(F141:F150)</f>
        <v>0</v>
      </c>
      <c r="G152" s="389">
        <f>SUM(G141:G150)</f>
        <v>21533754.452638928</v>
      </c>
      <c r="H152" s="389">
        <f>SUM(H141:H150)</f>
        <v>21922297.237171397</v>
      </c>
    </row>
    <row r="154" spans="1:8" ht="18" customHeight="1" x14ac:dyDescent="0.55000000000000004">
      <c r="A154" s="183" t="s">
        <v>339</v>
      </c>
      <c r="B154" s="179" t="s">
        <v>340</v>
      </c>
      <c r="D154" s="242">
        <f>H152/E121</f>
        <v>5.0499638885188471E-2</v>
      </c>
    </row>
    <row r="155" spans="1:8" ht="18" customHeight="1" x14ac:dyDescent="0.55000000000000004">
      <c r="A155" s="183" t="s">
        <v>341</v>
      </c>
      <c r="B155" s="179" t="s">
        <v>342</v>
      </c>
      <c r="D155" s="242">
        <f>H152/E127</f>
        <v>0.54552075939808387</v>
      </c>
    </row>
  </sheetData>
  <mergeCells count="2">
    <mergeCell ref="C2:D2"/>
    <mergeCell ref="B13:D13"/>
  </mergeCells>
  <hyperlinks>
    <hyperlink ref="C11" r:id="rId1" xr:uid="{36A3F3BD-D580-43F7-8266-56DADBCB934E}"/>
  </hyperlinks>
  <pageMargins left="0.7" right="0.7" top="0.75" bottom="0.75" header="0.3" footer="0.3"/>
  <pageSetup orientation="portrait" horizontalDpi="1200" verticalDpi="1200"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F72CD-4041-4F5D-8377-BC6418C6D657}">
  <sheetPr codeName="Sheet43"/>
  <dimension ref="A1:H155"/>
  <sheetViews>
    <sheetView zoomScaleNormal="100" workbookViewId="0"/>
  </sheetViews>
  <sheetFormatPr defaultColWidth="9" defaultRowHeight="12.3" x14ac:dyDescent="0.4"/>
  <cols>
    <col min="1" max="1" width="8.26171875" style="175" customWidth="1"/>
    <col min="2" max="2" width="50.839843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16384" width="9" style="176"/>
  </cols>
  <sheetData>
    <row r="1" spans="1:8" ht="18" customHeight="1" x14ac:dyDescent="0.4">
      <c r="C1" s="177"/>
      <c r="D1" s="177"/>
      <c r="E1" s="177"/>
      <c r="F1" s="177"/>
      <c r="G1" s="177"/>
      <c r="H1" s="177"/>
    </row>
    <row r="2" spans="1:8" ht="18" customHeight="1" x14ac:dyDescent="0.4">
      <c r="C2" s="496"/>
      <c r="D2" s="496"/>
    </row>
    <row r="3" spans="1:8" ht="18" customHeight="1" x14ac:dyDescent="0.4">
      <c r="B3" s="179" t="s">
        <v>235</v>
      </c>
    </row>
    <row r="5" spans="1:8" ht="18" customHeight="1" x14ac:dyDescent="0.4">
      <c r="B5" s="180" t="s">
        <v>236</v>
      </c>
      <c r="C5" s="497" t="s">
        <v>40</v>
      </c>
      <c r="D5" s="497"/>
      <c r="E5" s="497"/>
      <c r="F5" s="208"/>
    </row>
    <row r="6" spans="1:8" ht="18" customHeight="1" x14ac:dyDescent="0.4">
      <c r="B6" s="180" t="s">
        <v>237</v>
      </c>
      <c r="C6" s="498">
        <v>44</v>
      </c>
      <c r="D6" s="498"/>
      <c r="E6" s="498"/>
      <c r="F6" s="209"/>
    </row>
    <row r="7" spans="1:8" ht="18" customHeight="1" x14ac:dyDescent="0.4">
      <c r="B7" s="180" t="s">
        <v>238</v>
      </c>
      <c r="C7" s="246"/>
      <c r="D7" s="246"/>
      <c r="E7" s="246"/>
      <c r="F7" s="210"/>
    </row>
    <row r="8" spans="1:8" ht="18" customHeight="1" x14ac:dyDescent="0.4">
      <c r="C8" s="211"/>
      <c r="D8" s="211"/>
      <c r="E8" s="211"/>
      <c r="F8" s="212"/>
    </row>
    <row r="9" spans="1:8" ht="18" customHeight="1" x14ac:dyDescent="0.4">
      <c r="B9" s="180" t="s">
        <v>239</v>
      </c>
      <c r="C9" s="247"/>
      <c r="D9" s="247"/>
      <c r="E9" s="247"/>
      <c r="F9" s="208"/>
    </row>
    <row r="10" spans="1:8" ht="18" customHeight="1" x14ac:dyDescent="0.4">
      <c r="B10" s="180" t="s">
        <v>241</v>
      </c>
      <c r="C10" s="248"/>
      <c r="D10" s="248"/>
      <c r="E10" s="248"/>
      <c r="F10" s="213"/>
    </row>
    <row r="11" spans="1:8" ht="18" customHeight="1" x14ac:dyDescent="0.4">
      <c r="B11" s="180" t="s">
        <v>243</v>
      </c>
      <c r="C11" s="247"/>
      <c r="D11" s="247"/>
      <c r="E11" s="247"/>
      <c r="F11" s="208"/>
    </row>
    <row r="12" spans="1:8" ht="18" customHeight="1" x14ac:dyDescent="0.4">
      <c r="B12" s="180"/>
      <c r="C12" s="180"/>
    </row>
    <row r="13" spans="1:8" ht="18" customHeight="1" x14ac:dyDescent="0.4">
      <c r="B13" s="180"/>
      <c r="C13" s="180"/>
    </row>
    <row r="14" spans="1:8" ht="18" customHeight="1" x14ac:dyDescent="0.4">
      <c r="B14" s="180"/>
      <c r="C14" s="180"/>
    </row>
    <row r="15" spans="1:8" ht="24.75" customHeight="1" x14ac:dyDescent="0.4">
      <c r="B15" s="493"/>
      <c r="C15" s="494"/>
      <c r="D15" s="495"/>
      <c r="E15" s="428"/>
      <c r="F15" s="177"/>
    </row>
    <row r="16" spans="1:8" ht="45" customHeight="1" x14ac:dyDescent="0.4">
      <c r="A16" s="178" t="s">
        <v>98</v>
      </c>
      <c r="B16" s="177"/>
      <c r="C16" s="177"/>
      <c r="D16" s="182" t="s">
        <v>99</v>
      </c>
      <c r="E16" s="182" t="s">
        <v>100</v>
      </c>
      <c r="F16" s="182" t="s">
        <v>431</v>
      </c>
      <c r="G16" s="182" t="s">
        <v>432</v>
      </c>
      <c r="H16" s="182" t="s">
        <v>244</v>
      </c>
    </row>
    <row r="17" spans="1:8" ht="18" customHeight="1" x14ac:dyDescent="0.4">
      <c r="A17" s="183" t="s">
        <v>101</v>
      </c>
      <c r="B17" s="179" t="s">
        <v>102</v>
      </c>
    </row>
    <row r="18" spans="1:8" ht="18" customHeight="1" x14ac:dyDescent="0.4">
      <c r="A18" s="180" t="s">
        <v>103</v>
      </c>
      <c r="B18" s="176" t="s">
        <v>104</v>
      </c>
      <c r="D18" s="214">
        <v>9058292.2516198717</v>
      </c>
      <c r="E18" s="214"/>
      <c r="F18" s="214"/>
      <c r="G18" s="214">
        <v>7507242.2631696854</v>
      </c>
      <c r="H18" s="249">
        <f>(D18+E18)-G18</f>
        <v>1551049.9884501863</v>
      </c>
    </row>
    <row r="19" spans="1:8" ht="45" customHeight="1" x14ac:dyDescent="0.4">
      <c r="A19" s="178" t="s">
        <v>105</v>
      </c>
      <c r="B19" s="177"/>
      <c r="C19" s="177"/>
      <c r="D19" s="182" t="s">
        <v>99</v>
      </c>
      <c r="E19" s="182" t="s">
        <v>100</v>
      </c>
      <c r="F19" s="182" t="s">
        <v>431</v>
      </c>
      <c r="G19" s="182" t="s">
        <v>432</v>
      </c>
      <c r="H19" s="182" t="s">
        <v>244</v>
      </c>
    </row>
    <row r="20" spans="1:8" ht="18" customHeight="1" x14ac:dyDescent="0.4">
      <c r="A20" s="183" t="s">
        <v>108</v>
      </c>
      <c r="B20" s="179" t="s">
        <v>109</v>
      </c>
    </row>
    <row r="21" spans="1:8" ht="18" customHeight="1" x14ac:dyDescent="0.4">
      <c r="A21" s="180" t="s">
        <v>110</v>
      </c>
      <c r="B21" s="176" t="s">
        <v>111</v>
      </c>
      <c r="D21" s="184">
        <v>46685.222946784925</v>
      </c>
      <c r="E21" s="314">
        <v>300</v>
      </c>
      <c r="F21" s="216"/>
      <c r="G21" s="228"/>
      <c r="H21" s="217">
        <f t="shared" ref="H21:H34" si="0">(D21+E21)-F21-G21</f>
        <v>46985.222946784925</v>
      </c>
    </row>
    <row r="22" spans="1:8" ht="18" customHeight="1" x14ac:dyDescent="0.4">
      <c r="A22" s="180" t="s">
        <v>112</v>
      </c>
      <c r="B22" s="176" t="s">
        <v>113</v>
      </c>
      <c r="D22" s="184">
        <v>531.72</v>
      </c>
      <c r="E22" s="321">
        <f>D22*$E$114</f>
        <v>364.25644038823015</v>
      </c>
      <c r="F22" s="216"/>
      <c r="G22" s="228"/>
      <c r="H22" s="217">
        <f t="shared" si="0"/>
        <v>895.97644038823023</v>
      </c>
    </row>
    <row r="23" spans="1:8" ht="18" customHeight="1" x14ac:dyDescent="0.4">
      <c r="A23" s="180" t="s">
        <v>114</v>
      </c>
      <c r="B23" s="176" t="s">
        <v>115</v>
      </c>
      <c r="D23" s="184"/>
      <c r="E23" s="314"/>
      <c r="F23" s="216"/>
      <c r="G23" s="184"/>
      <c r="H23" s="217">
        <f t="shared" si="0"/>
        <v>0</v>
      </c>
    </row>
    <row r="24" spans="1:8" ht="18" customHeight="1" x14ac:dyDescent="0.4">
      <c r="A24" s="180" t="s">
        <v>116</v>
      </c>
      <c r="B24" s="176" t="s">
        <v>117</v>
      </c>
      <c r="D24" s="184"/>
      <c r="E24" s="314"/>
      <c r="F24" s="216"/>
      <c r="G24" s="184"/>
      <c r="H24" s="217">
        <f t="shared" si="0"/>
        <v>0</v>
      </c>
    </row>
    <row r="25" spans="1:8" ht="18" customHeight="1" x14ac:dyDescent="0.4">
      <c r="A25" s="180" t="s">
        <v>118</v>
      </c>
      <c r="B25" s="176" t="s">
        <v>119</v>
      </c>
      <c r="D25" s="184"/>
      <c r="E25" s="314"/>
      <c r="F25" s="216"/>
      <c r="G25" s="184"/>
      <c r="H25" s="217">
        <f t="shared" si="0"/>
        <v>0</v>
      </c>
    </row>
    <row r="26" spans="1:8" ht="18" customHeight="1" x14ac:dyDescent="0.4">
      <c r="A26" s="180" t="s">
        <v>120</v>
      </c>
      <c r="B26" s="176" t="s">
        <v>121</v>
      </c>
      <c r="D26" s="184">
        <v>721.26772417673544</v>
      </c>
      <c r="E26" s="321">
        <f>D26*$E$114</f>
        <v>494.10669859237464</v>
      </c>
      <c r="F26" s="216"/>
      <c r="G26" s="228"/>
      <c r="H26" s="217">
        <f t="shared" si="0"/>
        <v>1215.37442276911</v>
      </c>
    </row>
    <row r="27" spans="1:8" ht="18" customHeight="1" x14ac:dyDescent="0.4">
      <c r="A27" s="180" t="s">
        <v>122</v>
      </c>
      <c r="B27" s="176" t="s">
        <v>246</v>
      </c>
      <c r="D27" s="184">
        <v>306.38865671641793</v>
      </c>
      <c r="E27" s="321">
        <f>D27*$E$114</f>
        <v>209.89250257814976</v>
      </c>
      <c r="F27" s="216"/>
      <c r="G27" s="228"/>
      <c r="H27" s="217">
        <f t="shared" si="0"/>
        <v>516.28115929456771</v>
      </c>
    </row>
    <row r="28" spans="1:8" ht="18" customHeight="1" x14ac:dyDescent="0.4">
      <c r="A28" s="180" t="s">
        <v>124</v>
      </c>
      <c r="B28" s="176" t="s">
        <v>125</v>
      </c>
      <c r="D28" s="184">
        <v>778.85</v>
      </c>
      <c r="E28" s="321">
        <f>D28*$E$114</f>
        <v>533.55361580601266</v>
      </c>
      <c r="F28" s="216"/>
      <c r="G28" s="228"/>
      <c r="H28" s="217">
        <f t="shared" si="0"/>
        <v>1312.4036158060126</v>
      </c>
    </row>
    <row r="29" spans="1:8" ht="18" customHeight="1" x14ac:dyDescent="0.4">
      <c r="A29" s="180" t="s">
        <v>126</v>
      </c>
      <c r="B29" s="176" t="s">
        <v>127</v>
      </c>
      <c r="D29" s="184">
        <v>170618</v>
      </c>
      <c r="E29" s="321">
        <f>D29*$E$114</f>
        <v>116882.39175911955</v>
      </c>
      <c r="F29" s="216"/>
      <c r="G29" s="228"/>
      <c r="H29" s="217">
        <f t="shared" si="0"/>
        <v>287500.39175911958</v>
      </c>
    </row>
    <row r="30" spans="1:8" ht="18" customHeight="1" x14ac:dyDescent="0.4">
      <c r="A30" s="180" t="s">
        <v>128</v>
      </c>
      <c r="B30" s="185" t="s">
        <v>695</v>
      </c>
      <c r="D30" s="184">
        <v>148702.69</v>
      </c>
      <c r="E30" s="321">
        <f>D30*$E$114</f>
        <v>101869.24045654567</v>
      </c>
      <c r="F30" s="216"/>
      <c r="G30" s="228"/>
      <c r="H30" s="217">
        <f t="shared" si="0"/>
        <v>250571.93045654567</v>
      </c>
    </row>
    <row r="31" spans="1:8" ht="18" customHeight="1" x14ac:dyDescent="0.4">
      <c r="A31" s="180" t="s">
        <v>130</v>
      </c>
      <c r="B31" s="223" t="s">
        <v>696</v>
      </c>
      <c r="D31" s="224">
        <v>33150.36</v>
      </c>
      <c r="E31" s="216">
        <v>0</v>
      </c>
      <c r="F31" s="216"/>
      <c r="G31" s="184"/>
      <c r="H31" s="217">
        <f t="shared" si="0"/>
        <v>33150.36</v>
      </c>
    </row>
    <row r="32" spans="1:8" ht="18" customHeight="1" x14ac:dyDescent="0.4">
      <c r="A32" s="180" t="s">
        <v>131</v>
      </c>
      <c r="B32" s="193" t="s">
        <v>697</v>
      </c>
      <c r="D32" s="184">
        <v>80487.149999999994</v>
      </c>
      <c r="E32" s="216">
        <v>0</v>
      </c>
      <c r="F32" s="216"/>
      <c r="G32" s="184"/>
      <c r="H32" s="217">
        <f t="shared" si="0"/>
        <v>80487.149999999994</v>
      </c>
    </row>
    <row r="33" spans="1:8" ht="18" customHeight="1" x14ac:dyDescent="0.4">
      <c r="A33" s="180" t="s">
        <v>132</v>
      </c>
      <c r="B33" s="185"/>
      <c r="D33" s="184"/>
      <c r="E33" s="216"/>
      <c r="F33" s="216"/>
      <c r="G33" s="184"/>
      <c r="H33" s="217">
        <f t="shared" si="0"/>
        <v>0</v>
      </c>
    </row>
    <row r="34" spans="1:8" ht="18" customHeight="1" x14ac:dyDescent="0.4">
      <c r="A34" s="180" t="s">
        <v>133</v>
      </c>
      <c r="B34" s="185"/>
      <c r="D34" s="184"/>
      <c r="E34" s="216"/>
      <c r="F34" s="216"/>
      <c r="G34" s="184"/>
      <c r="H34" s="217">
        <f t="shared" si="0"/>
        <v>0</v>
      </c>
    </row>
    <row r="35" spans="1:8" ht="18" customHeight="1" x14ac:dyDescent="0.4">
      <c r="H35" s="186"/>
    </row>
    <row r="36" spans="1:8" ht="18" customHeight="1" x14ac:dyDescent="0.4">
      <c r="A36" s="183" t="s">
        <v>134</v>
      </c>
      <c r="B36" s="179" t="s">
        <v>135</v>
      </c>
      <c r="C36" s="179" t="s">
        <v>248</v>
      </c>
      <c r="D36" s="217">
        <f>SUM(D21:D34)</f>
        <v>481981.64932767802</v>
      </c>
      <c r="E36" s="217">
        <f>SUM(E21:E34)</f>
        <v>220653.44147302999</v>
      </c>
      <c r="F36" s="217">
        <f>SUM(F21:F34)</f>
        <v>0</v>
      </c>
      <c r="G36" s="217">
        <f>SUM(G21:G34)</f>
        <v>0</v>
      </c>
      <c r="H36" s="217">
        <f>SUM(H21:H34)</f>
        <v>702635.09080070816</v>
      </c>
    </row>
    <row r="37" spans="1:8" ht="18" customHeight="1" thickBot="1" x14ac:dyDescent="0.45">
      <c r="B37" s="179"/>
      <c r="D37" s="187"/>
      <c r="E37" s="187"/>
      <c r="F37" s="187"/>
      <c r="G37" s="187"/>
      <c r="H37" s="188"/>
    </row>
    <row r="38" spans="1:8" ht="42.75" customHeight="1" x14ac:dyDescent="0.4">
      <c r="D38" s="182" t="s">
        <v>99</v>
      </c>
      <c r="E38" s="182" t="s">
        <v>100</v>
      </c>
      <c r="F38" s="182" t="s">
        <v>431</v>
      </c>
      <c r="G38" s="182" t="s">
        <v>432</v>
      </c>
      <c r="H38" s="182" t="s">
        <v>244</v>
      </c>
    </row>
    <row r="39" spans="1:8" ht="18.75" customHeight="1" x14ac:dyDescent="0.4">
      <c r="A39" s="183" t="s">
        <v>249</v>
      </c>
      <c r="B39" s="179" t="s">
        <v>137</v>
      </c>
    </row>
    <row r="40" spans="1:8" ht="18" customHeight="1" x14ac:dyDescent="0.4">
      <c r="A40" s="180" t="s">
        <v>250</v>
      </c>
      <c r="B40" s="176" t="s">
        <v>139</v>
      </c>
      <c r="D40" s="184">
        <v>5451130.8776886202</v>
      </c>
      <c r="E40" s="216"/>
      <c r="F40" s="216"/>
      <c r="G40" s="184"/>
      <c r="H40" s="217">
        <f t="shared" ref="H40:H47" si="1">(D40+E40)-F40-G40</f>
        <v>5451130.8776886202</v>
      </c>
    </row>
    <row r="41" spans="1:8" ht="18" customHeight="1" x14ac:dyDescent="0.4">
      <c r="A41" s="180" t="s">
        <v>251</v>
      </c>
      <c r="B41" s="176" t="s">
        <v>141</v>
      </c>
      <c r="D41" s="184">
        <v>810595.94000000018</v>
      </c>
      <c r="E41" s="216"/>
      <c r="F41" s="216"/>
      <c r="G41" s="184"/>
      <c r="H41" s="217">
        <f t="shared" si="1"/>
        <v>810595.94000000018</v>
      </c>
    </row>
    <row r="42" spans="1:8" ht="18" customHeight="1" x14ac:dyDescent="0.4">
      <c r="A42" s="180" t="s">
        <v>252</v>
      </c>
      <c r="B42" s="176" t="s">
        <v>143</v>
      </c>
      <c r="D42" s="184">
        <v>1806.206071428571</v>
      </c>
      <c r="E42" s="216"/>
      <c r="F42" s="216"/>
      <c r="G42" s="184"/>
      <c r="H42" s="217">
        <f t="shared" si="1"/>
        <v>1806.206071428571</v>
      </c>
    </row>
    <row r="43" spans="1:8" ht="18" customHeight="1" x14ac:dyDescent="0.4">
      <c r="A43" s="180" t="s">
        <v>253</v>
      </c>
      <c r="B43" s="176" t="s">
        <v>145</v>
      </c>
      <c r="D43" s="184"/>
      <c r="E43" s="216"/>
      <c r="F43" s="216"/>
      <c r="G43" s="184"/>
      <c r="H43" s="217">
        <f t="shared" si="1"/>
        <v>0</v>
      </c>
    </row>
    <row r="44" spans="1:8" ht="18" customHeight="1" x14ac:dyDescent="0.4">
      <c r="A44" s="180" t="s">
        <v>146</v>
      </c>
      <c r="B44" s="185"/>
      <c r="D44" s="219"/>
      <c r="E44" s="220"/>
      <c r="F44" s="220"/>
      <c r="G44" s="219"/>
      <c r="H44" s="217">
        <f t="shared" si="1"/>
        <v>0</v>
      </c>
    </row>
    <row r="45" spans="1:8" ht="18" customHeight="1" x14ac:dyDescent="0.4">
      <c r="A45" s="180" t="s">
        <v>147</v>
      </c>
      <c r="B45" s="185"/>
      <c r="D45" s="184"/>
      <c r="E45" s="216"/>
      <c r="F45" s="216"/>
      <c r="G45" s="184"/>
      <c r="H45" s="217">
        <f t="shared" si="1"/>
        <v>0</v>
      </c>
    </row>
    <row r="46" spans="1:8" ht="18" customHeight="1" x14ac:dyDescent="0.4">
      <c r="A46" s="180" t="s">
        <v>148</v>
      </c>
      <c r="B46" s="185"/>
      <c r="D46" s="184"/>
      <c r="E46" s="216"/>
      <c r="F46" s="216"/>
      <c r="G46" s="184"/>
      <c r="H46" s="217">
        <f t="shared" si="1"/>
        <v>0</v>
      </c>
    </row>
    <row r="47" spans="1:8" ht="18" customHeight="1" x14ac:dyDescent="0.4">
      <c r="A47" s="180" t="s">
        <v>149</v>
      </c>
      <c r="B47" s="185"/>
      <c r="D47" s="184"/>
      <c r="E47" s="216"/>
      <c r="F47" s="216"/>
      <c r="G47" s="184"/>
      <c r="H47" s="217">
        <f t="shared" si="1"/>
        <v>0</v>
      </c>
    </row>
    <row r="49" spans="1:8" ht="18" customHeight="1" x14ac:dyDescent="0.4">
      <c r="A49" s="183" t="s">
        <v>150</v>
      </c>
      <c r="B49" s="179" t="s">
        <v>254</v>
      </c>
      <c r="C49" s="179" t="s">
        <v>248</v>
      </c>
      <c r="D49" s="217">
        <f>SUM(D40:D47)</f>
        <v>6263533.0237600496</v>
      </c>
      <c r="E49" s="217">
        <f>SUM(E40:E47)</f>
        <v>0</v>
      </c>
      <c r="F49" s="217">
        <f>SUM(F40:F47)</f>
        <v>0</v>
      </c>
      <c r="G49" s="217">
        <f>SUM(G40:G47)</f>
        <v>0</v>
      </c>
      <c r="H49" s="217">
        <f>SUM(H40:H47)</f>
        <v>6263533.0237600496</v>
      </c>
    </row>
    <row r="50" spans="1:8" ht="18" customHeight="1" thickBot="1" x14ac:dyDescent="0.45">
      <c r="D50" s="189"/>
      <c r="E50" s="189"/>
      <c r="F50" s="189"/>
      <c r="G50" s="189"/>
      <c r="H50" s="189"/>
    </row>
    <row r="51" spans="1:8" ht="42.75" customHeight="1" x14ac:dyDescent="0.4">
      <c r="D51" s="182" t="s">
        <v>99</v>
      </c>
      <c r="E51" s="182" t="s">
        <v>100</v>
      </c>
      <c r="F51" s="182" t="s">
        <v>431</v>
      </c>
      <c r="G51" s="182" t="s">
        <v>432</v>
      </c>
      <c r="H51" s="182" t="s">
        <v>244</v>
      </c>
    </row>
    <row r="52" spans="1:8" ht="18" customHeight="1" x14ac:dyDescent="0.4">
      <c r="A52" s="183" t="s">
        <v>255</v>
      </c>
      <c r="B52" s="221" t="s">
        <v>256</v>
      </c>
    </row>
    <row r="53" spans="1:8" ht="18" customHeight="1" x14ac:dyDescent="0.4">
      <c r="A53" s="180" t="s">
        <v>257</v>
      </c>
      <c r="B53" s="176" t="s">
        <v>433</v>
      </c>
      <c r="D53" s="265">
        <v>127854805.04228058</v>
      </c>
      <c r="E53" s="222">
        <v>0</v>
      </c>
      <c r="F53" s="222"/>
      <c r="G53" s="265">
        <v>77664642.924059153</v>
      </c>
      <c r="H53" s="217">
        <f>(D53+E53)-F53-G53</f>
        <v>50190162.118221432</v>
      </c>
    </row>
    <row r="54" spans="1:8" ht="18" customHeight="1" x14ac:dyDescent="0.4">
      <c r="A54" s="180"/>
      <c r="B54" s="193"/>
      <c r="D54" s="184"/>
      <c r="E54" s="216"/>
      <c r="F54" s="216"/>
      <c r="G54" s="184"/>
      <c r="H54" s="217">
        <f t="shared" ref="H54:H62" si="2">(D54+E54)-F54-G54</f>
        <v>0</v>
      </c>
    </row>
    <row r="55" spans="1:8" ht="18" customHeight="1" x14ac:dyDescent="0.4">
      <c r="A55" s="180"/>
      <c r="B55" s="194"/>
      <c r="D55" s="184"/>
      <c r="E55" s="216"/>
      <c r="F55" s="216"/>
      <c r="G55" s="184"/>
      <c r="H55" s="217">
        <f t="shared" si="2"/>
        <v>0</v>
      </c>
    </row>
    <row r="56" spans="1:8" ht="18" customHeight="1" x14ac:dyDescent="0.4">
      <c r="A56" s="180"/>
      <c r="B56" s="193"/>
      <c r="D56" s="184"/>
      <c r="E56" s="216"/>
      <c r="F56" s="216"/>
      <c r="G56" s="184"/>
      <c r="H56" s="217">
        <f t="shared" si="2"/>
        <v>0</v>
      </c>
    </row>
    <row r="57" spans="1:8" ht="18" customHeight="1" x14ac:dyDescent="0.4">
      <c r="A57" s="180"/>
      <c r="B57" s="193"/>
      <c r="D57" s="216"/>
      <c r="E57" s="216"/>
      <c r="F57" s="216"/>
      <c r="G57" s="184"/>
      <c r="H57" s="217">
        <f t="shared" si="2"/>
        <v>0</v>
      </c>
    </row>
    <row r="58" spans="1:8" ht="18" customHeight="1" x14ac:dyDescent="0.4">
      <c r="A58" s="180"/>
      <c r="B58" s="193"/>
      <c r="D58" s="184"/>
      <c r="E58" s="216"/>
      <c r="F58" s="216"/>
      <c r="G58" s="184"/>
      <c r="H58" s="217">
        <f t="shared" si="2"/>
        <v>0</v>
      </c>
    </row>
    <row r="59" spans="1:8" ht="18" customHeight="1" x14ac:dyDescent="0.4">
      <c r="A59" s="180"/>
      <c r="B59" s="223"/>
      <c r="D59" s="222"/>
      <c r="E59" s="225"/>
      <c r="F59" s="225"/>
      <c r="G59" s="224"/>
      <c r="H59" s="217">
        <f t="shared" si="2"/>
        <v>0</v>
      </c>
    </row>
    <row r="60" spans="1:8" ht="18" customHeight="1" x14ac:dyDescent="0.4">
      <c r="A60" s="180" t="s">
        <v>266</v>
      </c>
      <c r="B60" s="226" t="s">
        <v>698</v>
      </c>
      <c r="C60" s="212"/>
      <c r="D60" s="274">
        <v>15398.712838477561</v>
      </c>
      <c r="E60" s="222">
        <v>0</v>
      </c>
      <c r="F60" s="222"/>
      <c r="G60" s="222"/>
      <c r="H60" s="217">
        <f t="shared" si="2"/>
        <v>15398.712838477561</v>
      </c>
    </row>
    <row r="61" spans="1:8" ht="18" customHeight="1" x14ac:dyDescent="0.4">
      <c r="A61" s="180"/>
      <c r="B61" s="226"/>
      <c r="C61" s="212"/>
      <c r="D61" s="429"/>
      <c r="E61" s="222"/>
      <c r="F61" s="222"/>
      <c r="G61" s="222"/>
      <c r="H61" s="217">
        <f t="shared" si="2"/>
        <v>0</v>
      </c>
    </row>
    <row r="62" spans="1:8" ht="18" customHeight="1" x14ac:dyDescent="0.4">
      <c r="A62" s="180"/>
      <c r="B62" s="226"/>
      <c r="C62" s="212"/>
      <c r="D62" s="274"/>
      <c r="E62" s="274"/>
      <c r="F62" s="274"/>
      <c r="G62" s="274"/>
      <c r="H62" s="217">
        <f t="shared" si="2"/>
        <v>0</v>
      </c>
    </row>
    <row r="63" spans="1:8" ht="18" customHeight="1" x14ac:dyDescent="0.4">
      <c r="A63" s="180"/>
      <c r="E63" s="227"/>
      <c r="F63" s="192"/>
    </row>
    <row r="64" spans="1:8" ht="18" customHeight="1" x14ac:dyDescent="0.4">
      <c r="A64" s="180" t="s">
        <v>269</v>
      </c>
      <c r="B64" s="179" t="s">
        <v>270</v>
      </c>
      <c r="C64" s="179" t="s">
        <v>248</v>
      </c>
      <c r="D64" s="217">
        <f>SUM(D53:D62)</f>
        <v>127870203.75511906</v>
      </c>
      <c r="E64" s="217">
        <f>SUM(E53:E62)</f>
        <v>0</v>
      </c>
      <c r="F64" s="217">
        <f>SUM(F53:F62)</f>
        <v>0</v>
      </c>
      <c r="G64" s="217">
        <f>SUM(G53:G62)</f>
        <v>77664642.924059153</v>
      </c>
      <c r="H64" s="217">
        <f>SUM(H53:H62)</f>
        <v>50205560.83105991</v>
      </c>
    </row>
    <row r="65" spans="1:8" ht="18" customHeight="1" x14ac:dyDescent="0.4">
      <c r="D65" s="190"/>
      <c r="E65" s="190"/>
      <c r="F65" s="190"/>
      <c r="G65" s="190"/>
      <c r="H65" s="190"/>
    </row>
    <row r="66" spans="1:8" ht="42.75" customHeight="1" x14ac:dyDescent="0.4">
      <c r="D66" s="182" t="s">
        <v>99</v>
      </c>
      <c r="E66" s="182" t="s">
        <v>100</v>
      </c>
      <c r="F66" s="182" t="s">
        <v>431</v>
      </c>
      <c r="G66" s="182" t="s">
        <v>432</v>
      </c>
      <c r="H66" s="182" t="s">
        <v>244</v>
      </c>
    </row>
    <row r="67" spans="1:8" ht="18" customHeight="1" x14ac:dyDescent="0.4">
      <c r="A67" s="183" t="s">
        <v>271</v>
      </c>
      <c r="B67" s="179" t="s">
        <v>155</v>
      </c>
      <c r="D67" s="191"/>
      <c r="E67" s="192"/>
      <c r="F67" s="192"/>
      <c r="G67" s="191"/>
      <c r="H67" s="192"/>
    </row>
    <row r="68" spans="1:8" ht="18" customHeight="1" x14ac:dyDescent="0.4">
      <c r="A68" s="180" t="s">
        <v>272</v>
      </c>
      <c r="B68" s="176" t="s">
        <v>157</v>
      </c>
      <c r="D68" s="430">
        <v>718994</v>
      </c>
      <c r="E68" s="216">
        <v>0</v>
      </c>
      <c r="F68" s="216"/>
      <c r="G68" s="228"/>
      <c r="H68" s="217">
        <f>(D68+E68)-F68-G68</f>
        <v>718994</v>
      </c>
    </row>
    <row r="69" spans="1:8" ht="18" customHeight="1" x14ac:dyDescent="0.4">
      <c r="A69" s="180" t="s">
        <v>273</v>
      </c>
      <c r="B69" s="176" t="s">
        <v>159</v>
      </c>
      <c r="D69" s="228"/>
      <c r="E69" s="216"/>
      <c r="F69" s="216"/>
      <c r="G69" s="228"/>
      <c r="H69" s="217">
        <f>(D69+E69)-F69-G69</f>
        <v>0</v>
      </c>
    </row>
    <row r="70" spans="1:8" ht="18" customHeight="1" x14ac:dyDescent="0.4">
      <c r="A70" s="180" t="s">
        <v>274</v>
      </c>
      <c r="B70" s="193"/>
      <c r="C70" s="179"/>
      <c r="D70" s="224"/>
      <c r="E70" s="216"/>
      <c r="F70" s="225"/>
      <c r="G70" s="224"/>
      <c r="H70" s="217">
        <f>(D70+E70)-F70-G70</f>
        <v>0</v>
      </c>
    </row>
    <row r="71" spans="1:8" ht="18" customHeight="1" x14ac:dyDescent="0.4">
      <c r="A71" s="180" t="s">
        <v>275</v>
      </c>
      <c r="B71" s="193"/>
      <c r="C71" s="179"/>
      <c r="D71" s="224"/>
      <c r="E71" s="216"/>
      <c r="F71" s="225"/>
      <c r="G71" s="224"/>
      <c r="H71" s="217">
        <f>(D71+E71)-F71-G71</f>
        <v>0</v>
      </c>
    </row>
    <row r="72" spans="1:8" ht="18" customHeight="1" x14ac:dyDescent="0.4">
      <c r="A72" s="180" t="s">
        <v>276</v>
      </c>
      <c r="B72" s="194"/>
      <c r="C72" s="179"/>
      <c r="D72" s="184"/>
      <c r="E72" s="216"/>
      <c r="F72" s="216"/>
      <c r="G72" s="184"/>
      <c r="H72" s="217">
        <f>(D72+E72)-F72-G72</f>
        <v>0</v>
      </c>
    </row>
    <row r="73" spans="1:8" ht="18" customHeight="1" x14ac:dyDescent="0.4">
      <c r="A73" s="180"/>
      <c r="C73" s="179"/>
      <c r="D73" s="195"/>
      <c r="E73" s="192"/>
      <c r="F73" s="192"/>
      <c r="G73" s="195"/>
      <c r="H73" s="192"/>
    </row>
    <row r="74" spans="1:8" ht="18" customHeight="1" x14ac:dyDescent="0.4">
      <c r="A74" s="183" t="s">
        <v>161</v>
      </c>
      <c r="B74" s="179" t="s">
        <v>277</v>
      </c>
      <c r="C74" s="179" t="s">
        <v>248</v>
      </c>
      <c r="D74" s="217">
        <f>SUM(D68:D72)</f>
        <v>718994</v>
      </c>
      <c r="E74" s="229">
        <f>SUM(E68:E72)</f>
        <v>0</v>
      </c>
      <c r="F74" s="229">
        <f>SUM(F68:F72)</f>
        <v>0</v>
      </c>
      <c r="G74" s="217">
        <f>SUM(G68:G72)</f>
        <v>0</v>
      </c>
      <c r="H74" s="217">
        <f>SUM(H68:H72)</f>
        <v>718994</v>
      </c>
    </row>
    <row r="75" spans="1:8" ht="42.75" customHeight="1" x14ac:dyDescent="0.4">
      <c r="D75" s="182" t="s">
        <v>99</v>
      </c>
      <c r="E75" s="182" t="s">
        <v>100</v>
      </c>
      <c r="F75" s="182" t="s">
        <v>431</v>
      </c>
      <c r="G75" s="182" t="s">
        <v>432</v>
      </c>
      <c r="H75" s="182" t="s">
        <v>244</v>
      </c>
    </row>
    <row r="76" spans="1:8" ht="18" customHeight="1" x14ac:dyDescent="0.4">
      <c r="A76" s="183" t="s">
        <v>278</v>
      </c>
      <c r="B76" s="179" t="s">
        <v>279</v>
      </c>
    </row>
    <row r="77" spans="1:8" ht="18" customHeight="1" x14ac:dyDescent="0.4">
      <c r="A77" s="180" t="s">
        <v>280</v>
      </c>
      <c r="B77" s="176" t="s">
        <v>164</v>
      </c>
      <c r="D77" s="184">
        <v>150000</v>
      </c>
      <c r="E77" s="230"/>
      <c r="F77" s="220"/>
      <c r="G77" s="184"/>
      <c r="H77" s="217">
        <f>(D77-F77-G77)</f>
        <v>150000</v>
      </c>
    </row>
    <row r="78" spans="1:8" ht="18" customHeight="1" x14ac:dyDescent="0.4">
      <c r="A78" s="180" t="s">
        <v>281</v>
      </c>
      <c r="B78" s="176" t="s">
        <v>166</v>
      </c>
      <c r="D78" s="184"/>
      <c r="E78" s="230"/>
      <c r="F78" s="220"/>
      <c r="G78" s="184"/>
      <c r="H78" s="217">
        <f>(D78-F78-G78)</f>
        <v>0</v>
      </c>
    </row>
    <row r="79" spans="1:8" ht="18" customHeight="1" x14ac:dyDescent="0.4">
      <c r="A79" s="180" t="s">
        <v>282</v>
      </c>
      <c r="B79" s="176" t="s">
        <v>168</v>
      </c>
      <c r="D79" s="184"/>
      <c r="E79" s="230"/>
      <c r="F79" s="220"/>
      <c r="G79" s="184"/>
      <c r="H79" s="217">
        <f>(D79-F79-G79)</f>
        <v>0</v>
      </c>
    </row>
    <row r="80" spans="1:8" ht="18" customHeight="1" x14ac:dyDescent="0.4">
      <c r="A80" s="180" t="s">
        <v>283</v>
      </c>
      <c r="B80" s="176" t="s">
        <v>170</v>
      </c>
      <c r="D80" s="184"/>
      <c r="E80" s="230"/>
      <c r="F80" s="220"/>
      <c r="G80" s="184"/>
      <c r="H80" s="217">
        <f>(D80-F80-G80)</f>
        <v>0</v>
      </c>
    </row>
    <row r="81" spans="1:8" ht="18" customHeight="1" x14ac:dyDescent="0.4">
      <c r="A81" s="180"/>
      <c r="H81" s="196"/>
    </row>
    <row r="82" spans="1:8" ht="18" customHeight="1" x14ac:dyDescent="0.4">
      <c r="A82" s="180" t="s">
        <v>171</v>
      </c>
      <c r="B82" s="179" t="s">
        <v>284</v>
      </c>
      <c r="C82" s="179" t="s">
        <v>248</v>
      </c>
      <c r="D82" s="217">
        <f>SUM(D77:D80)</f>
        <v>150000</v>
      </c>
      <c r="E82" s="231"/>
      <c r="F82" s="217">
        <f>SUM(F77:F80)</f>
        <v>0</v>
      </c>
      <c r="G82" s="217">
        <f>SUM(G77:G80)</f>
        <v>0</v>
      </c>
      <c r="H82" s="217">
        <f>SUM(H77:H80)</f>
        <v>150000</v>
      </c>
    </row>
    <row r="83" spans="1:8" ht="18" customHeight="1" thickBot="1" x14ac:dyDescent="0.45">
      <c r="A83" s="180"/>
      <c r="D83" s="189"/>
      <c r="E83" s="189"/>
      <c r="F83" s="189"/>
      <c r="G83" s="189"/>
      <c r="H83" s="189"/>
    </row>
    <row r="84" spans="1:8" ht="42.75" customHeight="1" x14ac:dyDescent="0.4">
      <c r="D84" s="182" t="s">
        <v>99</v>
      </c>
      <c r="E84" s="182" t="s">
        <v>100</v>
      </c>
      <c r="F84" s="182" t="s">
        <v>431</v>
      </c>
      <c r="G84" s="182" t="s">
        <v>432</v>
      </c>
      <c r="H84" s="182" t="s">
        <v>244</v>
      </c>
    </row>
    <row r="85" spans="1:8" ht="18" customHeight="1" x14ac:dyDescent="0.4">
      <c r="A85" s="183" t="s">
        <v>285</v>
      </c>
      <c r="B85" s="179" t="s">
        <v>173</v>
      </c>
    </row>
    <row r="86" spans="1:8" ht="18" customHeight="1" x14ac:dyDescent="0.4">
      <c r="A86" s="180" t="s">
        <v>191</v>
      </c>
      <c r="B86" s="176" t="s">
        <v>286</v>
      </c>
      <c r="D86" s="184"/>
      <c r="E86" s="216"/>
      <c r="F86" s="216"/>
      <c r="G86" s="184"/>
      <c r="H86" s="217">
        <f t="shared" ref="H86:H96" si="3">(D86+E86)-F86-G86</f>
        <v>0</v>
      </c>
    </row>
    <row r="87" spans="1:8" ht="18" customHeight="1" x14ac:dyDescent="0.4">
      <c r="A87" s="180" t="s">
        <v>287</v>
      </c>
      <c r="B87" s="176" t="s">
        <v>177</v>
      </c>
      <c r="D87" s="184"/>
      <c r="E87" s="431"/>
      <c r="F87" s="216"/>
      <c r="G87" s="184"/>
      <c r="H87" s="217">
        <f t="shared" si="3"/>
        <v>0</v>
      </c>
    </row>
    <row r="88" spans="1:8" ht="18" customHeight="1" x14ac:dyDescent="0.4">
      <c r="A88" s="180" t="s">
        <v>288</v>
      </c>
      <c r="B88" s="176" t="s">
        <v>289</v>
      </c>
      <c r="D88" s="184"/>
      <c r="E88" s="431"/>
      <c r="F88" s="216"/>
      <c r="G88" s="184"/>
      <c r="H88" s="217">
        <f t="shared" si="3"/>
        <v>0</v>
      </c>
    </row>
    <row r="89" spans="1:8" ht="18" customHeight="1" x14ac:dyDescent="0.4">
      <c r="A89" s="180" t="s">
        <v>290</v>
      </c>
      <c r="B89" s="176" t="s">
        <v>181</v>
      </c>
      <c r="D89" s="184"/>
      <c r="E89" s="431"/>
      <c r="F89" s="216"/>
      <c r="G89" s="184"/>
      <c r="H89" s="217">
        <f t="shared" si="3"/>
        <v>0</v>
      </c>
    </row>
    <row r="90" spans="1:8" ht="18" customHeight="1" x14ac:dyDescent="0.4">
      <c r="A90" s="180" t="s">
        <v>291</v>
      </c>
      <c r="B90" s="176" t="s">
        <v>183</v>
      </c>
      <c r="D90" s="184">
        <v>3920.5126113423194</v>
      </c>
      <c r="E90" s="431">
        <f>D90*$E$114</f>
        <v>2685.7593626433422</v>
      </c>
      <c r="F90" s="216"/>
      <c r="G90" s="184"/>
      <c r="H90" s="217">
        <f t="shared" si="3"/>
        <v>6606.271973985662</v>
      </c>
    </row>
    <row r="91" spans="1:8" ht="18" customHeight="1" x14ac:dyDescent="0.4">
      <c r="A91" s="180" t="s">
        <v>292</v>
      </c>
      <c r="B91" s="176" t="s">
        <v>185</v>
      </c>
      <c r="D91" s="184"/>
      <c r="E91" s="431"/>
      <c r="F91" s="216"/>
      <c r="G91" s="184"/>
      <c r="H91" s="217">
        <f t="shared" si="3"/>
        <v>0</v>
      </c>
    </row>
    <row r="92" spans="1:8" ht="18" customHeight="1" x14ac:dyDescent="0.4">
      <c r="A92" s="180" t="s">
        <v>293</v>
      </c>
      <c r="B92" s="176" t="s">
        <v>294</v>
      </c>
      <c r="D92" s="233">
        <v>292.89999999999998</v>
      </c>
      <c r="E92" s="431">
        <f>D92*$E$114</f>
        <v>200.65205632609755</v>
      </c>
      <c r="F92" s="234"/>
      <c r="G92" s="233"/>
      <c r="H92" s="217">
        <f t="shared" si="3"/>
        <v>493.5520563260975</v>
      </c>
    </row>
    <row r="93" spans="1:8" ht="18" customHeight="1" x14ac:dyDescent="0.4">
      <c r="A93" s="180" t="s">
        <v>295</v>
      </c>
      <c r="B93" s="176" t="s">
        <v>296</v>
      </c>
      <c r="D93" s="184">
        <v>117.16</v>
      </c>
      <c r="E93" s="431">
        <f>D93*$E$114</f>
        <v>80.260822530439029</v>
      </c>
      <c r="F93" s="216"/>
      <c r="G93" s="184"/>
      <c r="H93" s="217">
        <f t="shared" si="3"/>
        <v>197.42082253043901</v>
      </c>
    </row>
    <row r="94" spans="1:8" ht="18" customHeight="1" x14ac:dyDescent="0.4">
      <c r="A94" s="180" t="s">
        <v>297</v>
      </c>
      <c r="B94" s="193"/>
      <c r="D94" s="184"/>
      <c r="E94" s="431"/>
      <c r="F94" s="216"/>
      <c r="G94" s="184"/>
      <c r="H94" s="217">
        <f t="shared" si="3"/>
        <v>0</v>
      </c>
    </row>
    <row r="95" spans="1:8" ht="18" customHeight="1" x14ac:dyDescent="0.4">
      <c r="A95" s="180" t="s">
        <v>298</v>
      </c>
      <c r="B95" s="193"/>
      <c r="D95" s="184"/>
      <c r="E95" s="431"/>
      <c r="F95" s="216"/>
      <c r="G95" s="184"/>
      <c r="H95" s="217">
        <f t="shared" si="3"/>
        <v>0</v>
      </c>
    </row>
    <row r="96" spans="1:8" ht="18" customHeight="1" x14ac:dyDescent="0.4">
      <c r="A96" s="180" t="s">
        <v>299</v>
      </c>
      <c r="B96" s="193"/>
      <c r="D96" s="184"/>
      <c r="E96" s="216"/>
      <c r="F96" s="216"/>
      <c r="G96" s="184"/>
      <c r="H96" s="217">
        <f t="shared" si="3"/>
        <v>0</v>
      </c>
    </row>
    <row r="97" spans="1:8" ht="18" customHeight="1" x14ac:dyDescent="0.4">
      <c r="A97" s="180"/>
    </row>
    <row r="98" spans="1:8" ht="18" customHeight="1" x14ac:dyDescent="0.4">
      <c r="A98" s="183" t="s">
        <v>193</v>
      </c>
      <c r="B98" s="179" t="s">
        <v>300</v>
      </c>
      <c r="C98" s="179" t="s">
        <v>248</v>
      </c>
      <c r="D98" s="217">
        <f>SUM(D86:D96)</f>
        <v>4330.5726113423189</v>
      </c>
      <c r="E98" s="217">
        <f>SUM(E86:E96)</f>
        <v>2966.6722414998785</v>
      </c>
      <c r="F98" s="217">
        <f>SUM(F86:F96)</f>
        <v>0</v>
      </c>
      <c r="G98" s="217">
        <f>SUM(G86:G96)</f>
        <v>0</v>
      </c>
      <c r="H98" s="217">
        <f>SUM(H86:H96)</f>
        <v>7297.2448528421992</v>
      </c>
    </row>
    <row r="99" spans="1:8" ht="18" customHeight="1" thickBot="1" x14ac:dyDescent="0.45">
      <c r="B99" s="179"/>
      <c r="D99" s="189"/>
      <c r="E99" s="189"/>
      <c r="F99" s="189"/>
      <c r="G99" s="189"/>
      <c r="H99" s="189"/>
    </row>
    <row r="100" spans="1:8" ht="42.75" customHeight="1" x14ac:dyDescent="0.4">
      <c r="D100" s="182" t="s">
        <v>99</v>
      </c>
      <c r="E100" s="182" t="s">
        <v>100</v>
      </c>
      <c r="F100" s="182" t="s">
        <v>431</v>
      </c>
      <c r="G100" s="182" t="s">
        <v>432</v>
      </c>
      <c r="H100" s="182" t="s">
        <v>244</v>
      </c>
    </row>
    <row r="101" spans="1:8" ht="18" customHeight="1" x14ac:dyDescent="0.4">
      <c r="A101" s="183" t="s">
        <v>301</v>
      </c>
      <c r="B101" s="179" t="s">
        <v>195</v>
      </c>
    </row>
    <row r="102" spans="1:8" ht="18" customHeight="1" x14ac:dyDescent="0.4">
      <c r="A102" s="180" t="s">
        <v>302</v>
      </c>
      <c r="B102" s="176" t="s">
        <v>303</v>
      </c>
      <c r="D102" s="184">
        <v>210905.84654761906</v>
      </c>
      <c r="E102" s="431">
        <f>D102*$E$114</f>
        <v>144481.70638776425</v>
      </c>
      <c r="F102" s="216"/>
      <c r="G102" s="184"/>
      <c r="H102" s="217">
        <f>(D102+E102)-F102-G102</f>
        <v>355387.55293538328</v>
      </c>
    </row>
    <row r="103" spans="1:8" ht="18" customHeight="1" x14ac:dyDescent="0.4">
      <c r="A103" s="180" t="s">
        <v>304</v>
      </c>
      <c r="B103" s="176" t="s">
        <v>199</v>
      </c>
      <c r="D103" s="184">
        <v>290530</v>
      </c>
      <c r="E103" s="431">
        <f>D103*$E$114</f>
        <v>199028.48045210354</v>
      </c>
      <c r="F103" s="216"/>
      <c r="G103" s="184"/>
      <c r="H103" s="217">
        <f>(D103+E103)-F103-G103</f>
        <v>489558.48045210354</v>
      </c>
    </row>
    <row r="104" spans="1:8" ht="18" customHeight="1" x14ac:dyDescent="0.4">
      <c r="A104" s="180" t="s">
        <v>305</v>
      </c>
      <c r="B104" s="193"/>
      <c r="D104" s="184"/>
      <c r="E104" s="431"/>
      <c r="F104" s="216"/>
      <c r="G104" s="184"/>
      <c r="H104" s="217">
        <f>(D104+E104)-F104-G104</f>
        <v>0</v>
      </c>
    </row>
    <row r="105" spans="1:8" ht="18" customHeight="1" x14ac:dyDescent="0.4">
      <c r="A105" s="180" t="s">
        <v>306</v>
      </c>
      <c r="B105" s="193"/>
      <c r="D105" s="184"/>
      <c r="E105" s="431"/>
      <c r="F105" s="216"/>
      <c r="G105" s="184"/>
      <c r="H105" s="217">
        <f>(D105+E105)-F105-G105</f>
        <v>0</v>
      </c>
    </row>
    <row r="106" spans="1:8" ht="18" customHeight="1" x14ac:dyDescent="0.4">
      <c r="A106" s="180" t="s">
        <v>307</v>
      </c>
      <c r="B106" s="193"/>
      <c r="D106" s="184"/>
      <c r="E106" s="431"/>
      <c r="F106" s="216"/>
      <c r="G106" s="184"/>
      <c r="H106" s="217">
        <f>(D106+E106)-F106-G106</f>
        <v>0</v>
      </c>
    </row>
    <row r="107" spans="1:8" ht="18" customHeight="1" x14ac:dyDescent="0.4">
      <c r="B107" s="179"/>
    </row>
    <row r="108" spans="1:8" ht="18" customHeight="1" x14ac:dyDescent="0.4">
      <c r="A108" s="183" t="s">
        <v>204</v>
      </c>
      <c r="B108" s="179" t="s">
        <v>308</v>
      </c>
      <c r="C108" s="179" t="s">
        <v>248</v>
      </c>
      <c r="D108" s="217">
        <f>SUM(D102:D106)</f>
        <v>501435.84654761909</v>
      </c>
      <c r="E108" s="217">
        <f>SUM(E102:E106)</f>
        <v>343510.18683986779</v>
      </c>
      <c r="F108" s="217">
        <f>SUM(F102:F106)</f>
        <v>0</v>
      </c>
      <c r="G108" s="217">
        <f>SUM(G102:G106)</f>
        <v>0</v>
      </c>
      <c r="H108" s="217">
        <f>SUM(H102:H106)</f>
        <v>844946.03338748682</v>
      </c>
    </row>
    <row r="109" spans="1:8" ht="18" customHeight="1" thickBot="1" x14ac:dyDescent="0.45">
      <c r="A109" s="197"/>
      <c r="B109" s="198"/>
      <c r="C109" s="199"/>
      <c r="D109" s="189"/>
      <c r="E109" s="189"/>
      <c r="F109" s="189"/>
      <c r="G109" s="189"/>
      <c r="H109" s="189"/>
    </row>
    <row r="110" spans="1:8" ht="24.6" x14ac:dyDescent="0.4">
      <c r="A110" s="183" t="s">
        <v>309</v>
      </c>
      <c r="B110" s="179" t="s">
        <v>434</v>
      </c>
      <c r="F110" s="182"/>
      <c r="G110" s="182" t="s">
        <v>435</v>
      </c>
      <c r="H110" s="182" t="s">
        <v>244</v>
      </c>
    </row>
    <row r="111" spans="1:8" ht="18" customHeight="1" x14ac:dyDescent="0.4">
      <c r="A111" s="183" t="s">
        <v>310</v>
      </c>
      <c r="B111" s="179" t="s">
        <v>311</v>
      </c>
      <c r="E111" s="179" t="s">
        <v>436</v>
      </c>
      <c r="F111" s="184">
        <v>4777000</v>
      </c>
      <c r="G111" s="184"/>
      <c r="H111" s="217">
        <f>F111-G111</f>
        <v>4777000</v>
      </c>
    </row>
    <row r="112" spans="1:8" ht="18" customHeight="1" x14ac:dyDescent="0.4">
      <c r="B112" s="179"/>
      <c r="D112" s="179"/>
    </row>
    <row r="113" spans="1:7" ht="18" customHeight="1" x14ac:dyDescent="0.4">
      <c r="A113" s="183"/>
      <c r="B113" s="179" t="s">
        <v>312</v>
      </c>
    </row>
    <row r="114" spans="1:7" ht="18" customHeight="1" x14ac:dyDescent="0.4">
      <c r="A114" s="180" t="s">
        <v>313</v>
      </c>
      <c r="B114" s="176" t="s">
        <v>314</v>
      </c>
      <c r="D114" s="235" t="s">
        <v>428</v>
      </c>
      <c r="E114" s="236">
        <v>0.68505311138988589</v>
      </c>
      <c r="F114" s="235" t="s">
        <v>429</v>
      </c>
      <c r="G114" s="236"/>
    </row>
    <row r="115" spans="1:7" ht="18" customHeight="1" x14ac:dyDescent="0.4">
      <c r="A115" s="180"/>
      <c r="B115" s="179"/>
      <c r="F115" s="212"/>
    </row>
    <row r="116" spans="1:7" ht="18" customHeight="1" x14ac:dyDescent="0.4">
      <c r="A116" s="180" t="s">
        <v>315</v>
      </c>
      <c r="B116" s="179" t="s">
        <v>316</v>
      </c>
      <c r="F116" s="212"/>
    </row>
    <row r="117" spans="1:7" ht="18" customHeight="1" x14ac:dyDescent="0.4">
      <c r="A117" s="180" t="s">
        <v>317</v>
      </c>
      <c r="B117" s="176" t="s">
        <v>318</v>
      </c>
      <c r="E117" s="184">
        <v>542829000</v>
      </c>
      <c r="F117" s="237"/>
    </row>
    <row r="118" spans="1:7" ht="18" customHeight="1" x14ac:dyDescent="0.4">
      <c r="A118" s="180" t="s">
        <v>319</v>
      </c>
      <c r="B118" s="176" t="s">
        <v>320</v>
      </c>
      <c r="E118" s="184">
        <v>29310000</v>
      </c>
      <c r="F118" s="237"/>
    </row>
    <row r="119" spans="1:7" ht="18" customHeight="1" x14ac:dyDescent="0.4">
      <c r="A119" s="180" t="s">
        <v>321</v>
      </c>
      <c r="B119" s="179" t="s">
        <v>322</v>
      </c>
      <c r="E119" s="217">
        <f>SUM(E117:E118)</f>
        <v>572139000</v>
      </c>
      <c r="F119" s="238"/>
      <c r="G119" s="254"/>
    </row>
    <row r="120" spans="1:7" ht="18" customHeight="1" x14ac:dyDescent="0.4">
      <c r="A120" s="180"/>
      <c r="B120" s="179"/>
      <c r="F120" s="212"/>
      <c r="G120" s="254"/>
    </row>
    <row r="121" spans="1:7" ht="18" customHeight="1" x14ac:dyDescent="0.4">
      <c r="A121" s="180" t="s">
        <v>323</v>
      </c>
      <c r="B121" s="179" t="s">
        <v>324</v>
      </c>
      <c r="E121" s="184">
        <v>557120000</v>
      </c>
      <c r="F121" s="237"/>
    </row>
    <row r="122" spans="1:7" ht="18" customHeight="1" x14ac:dyDescent="0.4">
      <c r="A122" s="180"/>
      <c r="F122" s="212"/>
    </row>
    <row r="123" spans="1:7" ht="18" customHeight="1" x14ac:dyDescent="0.4">
      <c r="A123" s="180" t="s">
        <v>325</v>
      </c>
      <c r="B123" s="179" t="s">
        <v>326</v>
      </c>
      <c r="E123" s="184">
        <v>15019000</v>
      </c>
      <c r="F123" s="237"/>
    </row>
    <row r="124" spans="1:7" ht="18" customHeight="1" x14ac:dyDescent="0.4">
      <c r="A124" s="180"/>
      <c r="F124" s="212"/>
    </row>
    <row r="125" spans="1:7" ht="18" customHeight="1" x14ac:dyDescent="0.4">
      <c r="A125" s="180" t="s">
        <v>327</v>
      </c>
      <c r="B125" s="179" t="s">
        <v>328</v>
      </c>
      <c r="E125" s="184">
        <v>11021000</v>
      </c>
      <c r="F125" s="237"/>
    </row>
    <row r="126" spans="1:7" ht="18" customHeight="1" x14ac:dyDescent="0.4">
      <c r="A126" s="180"/>
      <c r="F126" s="212"/>
    </row>
    <row r="127" spans="1:7" ht="18" customHeight="1" x14ac:dyDescent="0.4">
      <c r="A127" s="180" t="s">
        <v>329</v>
      </c>
      <c r="B127" s="179" t="s">
        <v>330</v>
      </c>
      <c r="E127" s="184">
        <v>26040000</v>
      </c>
      <c r="F127" s="237"/>
    </row>
    <row r="128" spans="1:7" ht="18" customHeight="1" x14ac:dyDescent="0.4">
      <c r="A128" s="180"/>
    </row>
    <row r="129" spans="1:8" ht="42.75" customHeight="1" x14ac:dyDescent="0.4">
      <c r="D129" s="182" t="s">
        <v>99</v>
      </c>
      <c r="E129" s="182" t="s">
        <v>100</v>
      </c>
      <c r="F129" s="182" t="s">
        <v>431</v>
      </c>
      <c r="G129" s="182" t="s">
        <v>432</v>
      </c>
      <c r="H129" s="182" t="s">
        <v>244</v>
      </c>
    </row>
    <row r="130" spans="1:8" ht="18" customHeight="1" x14ac:dyDescent="0.4">
      <c r="A130" s="183" t="s">
        <v>331</v>
      </c>
      <c r="B130" s="179" t="s">
        <v>208</v>
      </c>
    </row>
    <row r="131" spans="1:8" ht="18" customHeight="1" x14ac:dyDescent="0.4">
      <c r="A131" s="180" t="s">
        <v>332</v>
      </c>
      <c r="B131" s="176" t="s">
        <v>210</v>
      </c>
      <c r="D131" s="184"/>
      <c r="E131" s="216"/>
      <c r="F131" s="216"/>
      <c r="G131" s="184"/>
      <c r="H131" s="217">
        <f>(D131+E131)-F131-G131</f>
        <v>0</v>
      </c>
    </row>
    <row r="132" spans="1:8" ht="18" customHeight="1" x14ac:dyDescent="0.4">
      <c r="A132" s="180" t="s">
        <v>333</v>
      </c>
      <c r="B132" s="176" t="s">
        <v>68</v>
      </c>
      <c r="D132" s="184"/>
      <c r="E132" s="216"/>
      <c r="F132" s="216"/>
      <c r="G132" s="184"/>
      <c r="H132" s="217">
        <f>(D132+E132)-F132-G132</f>
        <v>0</v>
      </c>
    </row>
    <row r="133" spans="1:8" ht="18" customHeight="1" x14ac:dyDescent="0.4">
      <c r="A133" s="180" t="s">
        <v>334</v>
      </c>
      <c r="B133" s="185"/>
      <c r="D133" s="184"/>
      <c r="E133" s="216"/>
      <c r="F133" s="216"/>
      <c r="G133" s="184"/>
      <c r="H133" s="217">
        <f>(D133+E133)-F133-G133</f>
        <v>0</v>
      </c>
    </row>
    <row r="134" spans="1:8" ht="18" customHeight="1" x14ac:dyDescent="0.4">
      <c r="A134" s="180" t="s">
        <v>335</v>
      </c>
      <c r="B134" s="185"/>
      <c r="D134" s="184"/>
      <c r="E134" s="216"/>
      <c r="F134" s="216"/>
      <c r="G134" s="184"/>
      <c r="H134" s="217">
        <f>(D134+E134)-F134-G134</f>
        <v>0</v>
      </c>
    </row>
    <row r="135" spans="1:8" ht="18" customHeight="1" x14ac:dyDescent="0.4">
      <c r="A135" s="180" t="s">
        <v>336</v>
      </c>
      <c r="B135" s="185"/>
      <c r="D135" s="184"/>
      <c r="E135" s="216"/>
      <c r="F135" s="216"/>
      <c r="G135" s="184"/>
      <c r="H135" s="217">
        <f>(D135+E135)-F135-G135</f>
        <v>0</v>
      </c>
    </row>
    <row r="136" spans="1:8" ht="18" customHeight="1" x14ac:dyDescent="0.4">
      <c r="A136" s="183"/>
    </row>
    <row r="137" spans="1:8" ht="18" customHeight="1" x14ac:dyDescent="0.4">
      <c r="A137" s="183" t="s">
        <v>215</v>
      </c>
      <c r="B137" s="179" t="s">
        <v>337</v>
      </c>
      <c r="D137" s="217">
        <f>SUM(D131:D135)</f>
        <v>0</v>
      </c>
      <c r="E137" s="217">
        <f>SUM(E131:E135)</f>
        <v>0</v>
      </c>
      <c r="F137" s="217">
        <f>SUM(F131:F135)</f>
        <v>0</v>
      </c>
      <c r="G137" s="217">
        <f>SUM(G131:G135)</f>
        <v>0</v>
      </c>
      <c r="H137" s="217">
        <f>SUM(H131:H135)</f>
        <v>0</v>
      </c>
    </row>
    <row r="138" spans="1:8" ht="18" customHeight="1" x14ac:dyDescent="0.4">
      <c r="A138" s="176"/>
    </row>
    <row r="139" spans="1:8" ht="42.75" customHeight="1" x14ac:dyDescent="0.4">
      <c r="D139" s="182" t="s">
        <v>99</v>
      </c>
      <c r="E139" s="182" t="s">
        <v>100</v>
      </c>
      <c r="F139" s="182" t="s">
        <v>431</v>
      </c>
      <c r="G139" s="182" t="s">
        <v>432</v>
      </c>
      <c r="H139" s="182" t="s">
        <v>244</v>
      </c>
    </row>
    <row r="140" spans="1:8" ht="18" customHeight="1" x14ac:dyDescent="0.4">
      <c r="A140" s="183" t="s">
        <v>338</v>
      </c>
      <c r="B140" s="179" t="s">
        <v>217</v>
      </c>
    </row>
    <row r="141" spans="1:8" ht="18" customHeight="1" x14ac:dyDescent="0.4">
      <c r="A141" s="180" t="s">
        <v>134</v>
      </c>
      <c r="B141" s="179" t="s">
        <v>66</v>
      </c>
      <c r="D141" s="239">
        <f>D36</f>
        <v>481981.64932767802</v>
      </c>
      <c r="E141" s="239">
        <f>E36</f>
        <v>220653.44147302999</v>
      </c>
      <c r="F141" s="239">
        <f>F36</f>
        <v>0</v>
      </c>
      <c r="G141" s="239">
        <f>G36</f>
        <v>0</v>
      </c>
      <c r="H141" s="239">
        <f>H36</f>
        <v>702635.09080070816</v>
      </c>
    </row>
    <row r="142" spans="1:8" ht="18" customHeight="1" x14ac:dyDescent="0.4">
      <c r="A142" s="180" t="s">
        <v>150</v>
      </c>
      <c r="B142" s="179" t="s">
        <v>220</v>
      </c>
      <c r="D142" s="239">
        <f>D49</f>
        <v>6263533.0237600496</v>
      </c>
      <c r="E142" s="239">
        <f>E49</f>
        <v>0</v>
      </c>
      <c r="F142" s="239">
        <f>F49</f>
        <v>0</v>
      </c>
      <c r="G142" s="239">
        <f>G49</f>
        <v>0</v>
      </c>
      <c r="H142" s="239">
        <f>H49</f>
        <v>6263533.0237600496</v>
      </c>
    </row>
    <row r="143" spans="1:8" ht="18" customHeight="1" x14ac:dyDescent="0.4">
      <c r="A143" s="180" t="s">
        <v>269</v>
      </c>
      <c r="B143" s="179" t="s">
        <v>222</v>
      </c>
      <c r="D143" s="239">
        <f>D64</f>
        <v>127870203.75511906</v>
      </c>
      <c r="E143" s="239">
        <f>E64</f>
        <v>0</v>
      </c>
      <c r="F143" s="239">
        <f>F64</f>
        <v>0</v>
      </c>
      <c r="G143" s="239">
        <f>G64</f>
        <v>77664642.924059153</v>
      </c>
      <c r="H143" s="239">
        <f>H64</f>
        <v>50205560.83105991</v>
      </c>
    </row>
    <row r="144" spans="1:8" ht="18" customHeight="1" x14ac:dyDescent="0.4">
      <c r="A144" s="180" t="s">
        <v>161</v>
      </c>
      <c r="B144" s="179" t="s">
        <v>70</v>
      </c>
      <c r="D144" s="239">
        <f>D74</f>
        <v>718994</v>
      </c>
      <c r="E144" s="239">
        <f>E74</f>
        <v>0</v>
      </c>
      <c r="F144" s="239">
        <f>F74</f>
        <v>0</v>
      </c>
      <c r="G144" s="239">
        <f>G74</f>
        <v>0</v>
      </c>
      <c r="H144" s="239">
        <f>H74</f>
        <v>718994</v>
      </c>
    </row>
    <row r="145" spans="1:8" ht="18" customHeight="1" x14ac:dyDescent="0.4">
      <c r="A145" s="180" t="s">
        <v>171</v>
      </c>
      <c r="B145" s="179" t="s">
        <v>69</v>
      </c>
      <c r="D145" s="239">
        <f>D82</f>
        <v>150000</v>
      </c>
      <c r="E145" s="239">
        <f>E82</f>
        <v>0</v>
      </c>
      <c r="F145" s="239">
        <f>F82</f>
        <v>0</v>
      </c>
      <c r="G145" s="239">
        <f>G82</f>
        <v>0</v>
      </c>
      <c r="H145" s="239">
        <f>H82</f>
        <v>150000</v>
      </c>
    </row>
    <row r="146" spans="1:8" ht="18" customHeight="1" x14ac:dyDescent="0.4">
      <c r="A146" s="180" t="s">
        <v>193</v>
      </c>
      <c r="B146" s="179" t="s">
        <v>226</v>
      </c>
      <c r="D146" s="239">
        <f>D98</f>
        <v>4330.5726113423189</v>
      </c>
      <c r="E146" s="239">
        <f>E98</f>
        <v>2966.6722414998785</v>
      </c>
      <c r="F146" s="239">
        <f>F98</f>
        <v>0</v>
      </c>
      <c r="G146" s="239">
        <f>G98</f>
        <v>0</v>
      </c>
      <c r="H146" s="239">
        <f>H98</f>
        <v>7297.2448528421992</v>
      </c>
    </row>
    <row r="147" spans="1:8" ht="18" customHeight="1" x14ac:dyDescent="0.4">
      <c r="A147" s="180" t="s">
        <v>204</v>
      </c>
      <c r="B147" s="179" t="s">
        <v>71</v>
      </c>
      <c r="D147" s="217">
        <f>D108</f>
        <v>501435.84654761909</v>
      </c>
      <c r="E147" s="217">
        <f>E108</f>
        <v>343510.18683986779</v>
      </c>
      <c r="F147" s="217">
        <f>F108</f>
        <v>0</v>
      </c>
      <c r="G147" s="217">
        <f>G108</f>
        <v>0</v>
      </c>
      <c r="H147" s="217">
        <f>H108</f>
        <v>844946.03338748682</v>
      </c>
    </row>
    <row r="148" spans="1:8" ht="18" customHeight="1" x14ac:dyDescent="0.4">
      <c r="A148" s="180" t="s">
        <v>310</v>
      </c>
      <c r="B148" s="179" t="s">
        <v>58</v>
      </c>
      <c r="D148" s="240" t="s">
        <v>245</v>
      </c>
      <c r="E148" s="240" t="s">
        <v>245</v>
      </c>
      <c r="F148" s="240"/>
      <c r="G148" s="240" t="s">
        <v>245</v>
      </c>
      <c r="H148" s="239">
        <f>H111</f>
        <v>4777000</v>
      </c>
    </row>
    <row r="149" spans="1:8" ht="18" customHeight="1" x14ac:dyDescent="0.4">
      <c r="A149" s="180" t="s">
        <v>215</v>
      </c>
      <c r="B149" s="179" t="s">
        <v>230</v>
      </c>
      <c r="D149" s="217">
        <f>D137</f>
        <v>0</v>
      </c>
      <c r="E149" s="217">
        <f>E137</f>
        <v>0</v>
      </c>
      <c r="F149" s="217">
        <f>F137</f>
        <v>0</v>
      </c>
      <c r="G149" s="217">
        <f>G137</f>
        <v>0</v>
      </c>
      <c r="H149" s="217">
        <f>H137</f>
        <v>0</v>
      </c>
    </row>
    <row r="150" spans="1:8" ht="18" customHeight="1" x14ac:dyDescent="0.4">
      <c r="A150" s="180" t="s">
        <v>103</v>
      </c>
      <c r="B150" s="179" t="s">
        <v>104</v>
      </c>
      <c r="D150" s="217">
        <f>D18</f>
        <v>9058292.2516198717</v>
      </c>
      <c r="E150" s="217">
        <f>E18</f>
        <v>0</v>
      </c>
      <c r="F150" s="217">
        <f>F18</f>
        <v>0</v>
      </c>
      <c r="G150" s="217">
        <f>G18</f>
        <v>7507242.2631696854</v>
      </c>
      <c r="H150" s="217">
        <f>H18</f>
        <v>1551049.9884501863</v>
      </c>
    </row>
    <row r="151" spans="1:8" ht="18" customHeight="1" x14ac:dyDescent="0.4">
      <c r="B151" s="179"/>
      <c r="D151" s="190"/>
      <c r="E151" s="190"/>
      <c r="F151" s="190"/>
      <c r="G151" s="190"/>
      <c r="H151" s="190"/>
    </row>
    <row r="152" spans="1:8" ht="18" customHeight="1" x14ac:dyDescent="0.4">
      <c r="A152" s="183" t="s">
        <v>231</v>
      </c>
      <c r="B152" s="179" t="s">
        <v>217</v>
      </c>
      <c r="D152" s="241">
        <f>SUM(D141:D150)</f>
        <v>145048771.09898561</v>
      </c>
      <c r="E152" s="241">
        <f>SUM(E141:E150)</f>
        <v>567130.30055439763</v>
      </c>
      <c r="F152" s="241">
        <f>SUM(F141:F150)</f>
        <v>0</v>
      </c>
      <c r="G152" s="241">
        <f>SUM(G141:G150)</f>
        <v>85171885.187228844</v>
      </c>
      <c r="H152" s="241">
        <f>SUM(H141:H150)</f>
        <v>65221016.212311186</v>
      </c>
    </row>
    <row r="154" spans="1:8" ht="18" customHeight="1" x14ac:dyDescent="0.55000000000000004">
      <c r="A154" s="183" t="s">
        <v>339</v>
      </c>
      <c r="B154" s="179" t="s">
        <v>340</v>
      </c>
      <c r="D154" s="242">
        <f>H152/E121</f>
        <v>0.11706816522887561</v>
      </c>
    </row>
    <row r="155" spans="1:8" ht="18" customHeight="1" x14ac:dyDescent="0.55000000000000004">
      <c r="A155" s="183" t="s">
        <v>341</v>
      </c>
      <c r="B155" s="179" t="s">
        <v>342</v>
      </c>
      <c r="D155" s="242">
        <f>H152/E127</f>
        <v>2.5046473199812285</v>
      </c>
    </row>
  </sheetData>
  <mergeCells count="4">
    <mergeCell ref="C2:D2"/>
    <mergeCell ref="C5:E5"/>
    <mergeCell ref="C6:E6"/>
    <mergeCell ref="B15:D15"/>
  </mergeCells>
  <pageMargins left="0.7" right="0.7" top="0.75" bottom="0.75" header="0.3" footer="0.3"/>
  <pageSetup orientation="portrait" horizontalDpi="1200" verticalDpi="12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0E6CA-1F3E-46A2-B244-9698B29BB8DD}">
  <sheetPr codeName="Sheet44"/>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01" t="s">
        <v>595</v>
      </c>
      <c r="D5" s="501"/>
      <c r="E5" s="501"/>
      <c r="F5" s="208"/>
    </row>
    <row r="6" spans="1:8" ht="18" customHeight="1" x14ac:dyDescent="0.55000000000000004">
      <c r="B6" s="180" t="s">
        <v>237</v>
      </c>
      <c r="C6" s="516">
        <v>210045</v>
      </c>
      <c r="D6" s="516"/>
      <c r="E6" s="516"/>
      <c r="F6" s="209"/>
    </row>
    <row r="7" spans="1:8" ht="18" customHeight="1" x14ac:dyDescent="0.55000000000000004">
      <c r="B7" s="180" t="s">
        <v>238</v>
      </c>
      <c r="C7" s="245">
        <v>62</v>
      </c>
      <c r="D7" s="246"/>
      <c r="E7" s="246"/>
      <c r="F7" s="210"/>
    </row>
    <row r="8" spans="1:8" ht="18" customHeight="1" x14ac:dyDescent="0.55000000000000004">
      <c r="C8" s="211"/>
      <c r="D8" s="211"/>
      <c r="E8" s="211"/>
      <c r="F8" s="212"/>
    </row>
    <row r="9" spans="1:8" ht="18" customHeight="1" x14ac:dyDescent="0.55000000000000004">
      <c r="B9" s="180" t="s">
        <v>239</v>
      </c>
      <c r="C9" s="501" t="s">
        <v>495</v>
      </c>
      <c r="D9" s="501"/>
      <c r="E9" s="501"/>
      <c r="F9" s="208"/>
    </row>
    <row r="10" spans="1:8" ht="18" customHeight="1" x14ac:dyDescent="0.55000000000000004">
      <c r="B10" s="180" t="s">
        <v>241</v>
      </c>
      <c r="C10" s="513" t="s">
        <v>496</v>
      </c>
      <c r="D10" s="513"/>
      <c r="E10" s="513"/>
      <c r="F10" s="213"/>
    </row>
    <row r="11" spans="1:8" ht="18" customHeight="1" x14ac:dyDescent="0.55000000000000004">
      <c r="B11" s="180" t="s">
        <v>243</v>
      </c>
      <c r="C11" s="503" t="s">
        <v>596</v>
      </c>
      <c r="D11" s="501"/>
      <c r="E11" s="50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0</v>
      </c>
      <c r="E18" s="214"/>
      <c r="F18" s="214"/>
      <c r="G18" s="214">
        <v>0</v>
      </c>
      <c r="H18" s="249">
        <f>(D18+E18)-G18</f>
        <v>0</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c r="E21" s="216"/>
      <c r="F21" s="216"/>
      <c r="G21" s="184"/>
      <c r="H21" s="217">
        <f>(D21+E21)-F21-G21</f>
        <v>0</v>
      </c>
    </row>
    <row r="22" spans="1:8" ht="18" customHeight="1" x14ac:dyDescent="0.55000000000000004">
      <c r="A22" s="180" t="s">
        <v>112</v>
      </c>
      <c r="B22" s="176" t="s">
        <v>113</v>
      </c>
      <c r="D22" s="184"/>
      <c r="E22" s="216"/>
      <c r="F22" s="216"/>
      <c r="G22" s="184"/>
      <c r="H22" s="217">
        <f t="shared" ref="H22:H34" si="0">(D22+E22)-F22-G22</f>
        <v>0</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c r="E24" s="216"/>
      <c r="F24" s="216"/>
      <c r="G24" s="184"/>
      <c r="H24" s="217">
        <f t="shared" si="0"/>
        <v>0</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v>556.26</v>
      </c>
      <c r="E26" s="216">
        <v>534.51</v>
      </c>
      <c r="F26" s="216"/>
      <c r="G26" s="184"/>
      <c r="H26" s="217">
        <f t="shared" si="0"/>
        <v>1090.77</v>
      </c>
    </row>
    <row r="27" spans="1:8" ht="18" customHeight="1" x14ac:dyDescent="0.55000000000000004">
      <c r="A27" s="180" t="s">
        <v>122</v>
      </c>
      <c r="B27" s="176" t="s">
        <v>246</v>
      </c>
      <c r="D27" s="184">
        <v>149004.82999999999</v>
      </c>
      <c r="E27" s="216">
        <v>143177.92000000001</v>
      </c>
      <c r="F27" s="216"/>
      <c r="G27" s="184"/>
      <c r="H27" s="217">
        <f t="shared" si="0"/>
        <v>292182.75</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c r="E29" s="216"/>
      <c r="F29" s="216"/>
      <c r="G29" s="184"/>
      <c r="H29" s="217">
        <f t="shared" si="0"/>
        <v>0</v>
      </c>
    </row>
    <row r="30" spans="1:8" ht="18" customHeight="1" x14ac:dyDescent="0.55000000000000004">
      <c r="A30" s="180" t="s">
        <v>128</v>
      </c>
      <c r="B30" s="185"/>
      <c r="D30" s="184"/>
      <c r="E30" s="216"/>
      <c r="F30" s="216"/>
      <c r="G30" s="184"/>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149561.09</v>
      </c>
      <c r="E36" s="217">
        <f>SUM(E21:E34)</f>
        <v>143712.43000000002</v>
      </c>
      <c r="F36" s="217">
        <f>SUM(F21:F34)</f>
        <v>0</v>
      </c>
      <c r="G36" s="217">
        <f>SUM(G21:G34)</f>
        <v>0</v>
      </c>
      <c r="H36" s="217">
        <f>SUM(H21:H34)</f>
        <v>293273.52</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c r="E41" s="216"/>
      <c r="F41" s="216"/>
      <c r="G41" s="184"/>
      <c r="H41" s="217">
        <f t="shared" ref="H41:H47" si="1">(D41+E41)-F41-G41</f>
        <v>0</v>
      </c>
    </row>
    <row r="42" spans="1:8" ht="18" customHeight="1" x14ac:dyDescent="0.55000000000000004">
      <c r="A42" s="180" t="s">
        <v>252</v>
      </c>
      <c r="B42" s="176" t="s">
        <v>143</v>
      </c>
      <c r="D42" s="184">
        <v>20520.759999999998</v>
      </c>
      <c r="E42" s="216">
        <v>19718.29</v>
      </c>
      <c r="F42" s="216"/>
      <c r="G42" s="184"/>
      <c r="H42" s="217">
        <f t="shared" si="1"/>
        <v>40239.050000000003</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20520.759999999998</v>
      </c>
      <c r="E49" s="217">
        <f>SUM(E40:E47)</f>
        <v>19718.29</v>
      </c>
      <c r="F49" s="217">
        <f>SUM(F40:F47)</f>
        <v>0</v>
      </c>
      <c r="G49" s="217">
        <f>SUM(G40:G47)</f>
        <v>0</v>
      </c>
      <c r="H49" s="217">
        <f>SUM(H40:H47)</f>
        <v>40239.050000000003</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22"/>
      <c r="E53" s="222"/>
      <c r="F53" s="222"/>
      <c r="G53" s="222"/>
      <c r="H53" s="217">
        <f>(D53+E53)-F53-G53</f>
        <v>0</v>
      </c>
    </row>
    <row r="54" spans="1:8" ht="18" customHeight="1" x14ac:dyDescent="0.55000000000000004">
      <c r="A54" s="180" t="s">
        <v>259</v>
      </c>
      <c r="B54" s="193" t="s">
        <v>597</v>
      </c>
      <c r="D54" s="184">
        <v>49994</v>
      </c>
      <c r="E54" s="216"/>
      <c r="F54" s="216"/>
      <c r="G54" s="184"/>
      <c r="H54" s="217">
        <f t="shared" ref="H54:H62" si="2">(D54+E54)-F54-G54</f>
        <v>49994</v>
      </c>
    </row>
    <row r="55" spans="1:8" ht="18" customHeight="1" x14ac:dyDescent="0.55000000000000004">
      <c r="A55" s="180" t="s">
        <v>260</v>
      </c>
      <c r="B55" s="194"/>
      <c r="D55" s="184"/>
      <c r="E55" s="216"/>
      <c r="F55" s="216"/>
      <c r="G55" s="184"/>
      <c r="H55" s="217">
        <f t="shared" si="2"/>
        <v>0</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49994</v>
      </c>
      <c r="E64" s="217">
        <f>SUM(E53:E62)</f>
        <v>0</v>
      </c>
      <c r="F64" s="217">
        <f>SUM(F53:F62)</f>
        <v>0</v>
      </c>
      <c r="G64" s="217">
        <f>SUM(G53:G62)</f>
        <v>0</v>
      </c>
      <c r="H64" s="217">
        <f>SUM(H53:H62)</f>
        <v>49994</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c r="E79" s="230"/>
      <c r="F79" s="220"/>
      <c r="G79" s="184"/>
      <c r="H79" s="217">
        <f>(D79-F79-G79)</f>
        <v>0</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0</v>
      </c>
      <c r="E82" s="231"/>
      <c r="F82" s="217">
        <f>SUM(F77:F80)</f>
        <v>0</v>
      </c>
      <c r="G82" s="217">
        <f>SUM(G77:G80)</f>
        <v>0</v>
      </c>
      <c r="H82" s="217">
        <f>SUM(H77:H80)</f>
        <v>0</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v>1723.94</v>
      </c>
      <c r="E88" s="216">
        <v>1656.53</v>
      </c>
      <c r="F88" s="216"/>
      <c r="G88" s="184"/>
      <c r="H88" s="217">
        <f t="shared" si="3"/>
        <v>3380.4700000000003</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c r="E91" s="216"/>
      <c r="F91" s="216"/>
      <c r="G91" s="184"/>
      <c r="H91" s="217">
        <f t="shared" si="3"/>
        <v>0</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1723.94</v>
      </c>
      <c r="E98" s="217">
        <f>SUM(E86:E96)</f>
        <v>1656.53</v>
      </c>
      <c r="F98" s="217">
        <f>SUM(F86:F96)</f>
        <v>0</v>
      </c>
      <c r="G98" s="217">
        <f>SUM(G86:G96)</f>
        <v>0</v>
      </c>
      <c r="H98" s="217">
        <f>SUM(H86:H96)</f>
        <v>3380.4700000000003</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c r="E102" s="216"/>
      <c r="F102" s="216"/>
      <c r="G102" s="184"/>
      <c r="H102" s="217">
        <f>(D102+E102)-F102-G102</f>
        <v>0</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0</v>
      </c>
      <c r="E108" s="217">
        <f>SUM(E102:E106)</f>
        <v>0</v>
      </c>
      <c r="F108" s="217">
        <f>SUM(F102:F106)</f>
        <v>0</v>
      </c>
      <c r="G108" s="217">
        <f>SUM(G102:G106)</f>
        <v>0</v>
      </c>
      <c r="H108" s="217">
        <f>SUM(H102:H106)</f>
        <v>0</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167600</v>
      </c>
      <c r="G111" s="184"/>
      <c r="H111" s="217">
        <f>F111-G111</f>
        <v>167600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0.96089999999999998</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4560899</v>
      </c>
      <c r="F117" s="237"/>
    </row>
    <row r="118" spans="1:7" ht="18" customHeight="1" x14ac:dyDescent="0.55000000000000004">
      <c r="A118" s="180" t="s">
        <v>319</v>
      </c>
      <c r="B118" s="176" t="s">
        <v>320</v>
      </c>
      <c r="E118" s="184"/>
      <c r="F118" s="237"/>
    </row>
    <row r="119" spans="1:7" ht="18" customHeight="1" x14ac:dyDescent="0.55000000000000004">
      <c r="A119" s="180" t="s">
        <v>321</v>
      </c>
      <c r="B119" s="179" t="s">
        <v>322</v>
      </c>
      <c r="E119" s="217">
        <f>SUM(E117:E118)</f>
        <v>4560899</v>
      </c>
      <c r="F119" s="238"/>
    </row>
    <row r="120" spans="1:7" ht="18" customHeight="1" x14ac:dyDescent="0.55000000000000004">
      <c r="A120" s="180"/>
      <c r="B120" s="179"/>
      <c r="F120" s="212"/>
    </row>
    <row r="121" spans="1:7" ht="18" customHeight="1" x14ac:dyDescent="0.55000000000000004">
      <c r="A121" s="180" t="s">
        <v>323</v>
      </c>
      <c r="B121" s="179" t="s">
        <v>324</v>
      </c>
      <c r="E121" s="184">
        <v>9152200</v>
      </c>
      <c r="F121" s="237"/>
    </row>
    <row r="122" spans="1:7" ht="18" customHeight="1" x14ac:dyDescent="0.55000000000000004">
      <c r="A122" s="180"/>
      <c r="F122" s="212"/>
    </row>
    <row r="123" spans="1:7" ht="18" customHeight="1" x14ac:dyDescent="0.55000000000000004">
      <c r="A123" s="180" t="s">
        <v>325</v>
      </c>
      <c r="B123" s="179" t="s">
        <v>326</v>
      </c>
      <c r="E123" s="184">
        <v>-4591301</v>
      </c>
      <c r="F123" s="237"/>
    </row>
    <row r="124" spans="1:7" ht="18" customHeight="1" x14ac:dyDescent="0.55000000000000004">
      <c r="A124" s="180"/>
      <c r="F124" s="212"/>
    </row>
    <row r="125" spans="1:7" ht="18" customHeight="1" x14ac:dyDescent="0.55000000000000004">
      <c r="A125" s="180" t="s">
        <v>327</v>
      </c>
      <c r="B125" s="179" t="s">
        <v>328</v>
      </c>
      <c r="E125" s="184"/>
      <c r="F125" s="237"/>
    </row>
    <row r="126" spans="1:7" ht="18" customHeight="1" x14ac:dyDescent="0.55000000000000004">
      <c r="A126" s="180"/>
      <c r="F126" s="212"/>
    </row>
    <row r="127" spans="1:7" ht="18" customHeight="1" x14ac:dyDescent="0.55000000000000004">
      <c r="A127" s="180" t="s">
        <v>329</v>
      </c>
      <c r="B127" s="179" t="s">
        <v>330</v>
      </c>
      <c r="E127" s="184">
        <v>-4591301</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149561.09</v>
      </c>
      <c r="E141" s="239">
        <f>E36</f>
        <v>143712.43000000002</v>
      </c>
      <c r="F141" s="239">
        <f>F36</f>
        <v>0</v>
      </c>
      <c r="G141" s="239">
        <f>G36</f>
        <v>0</v>
      </c>
      <c r="H141" s="239">
        <f>H36</f>
        <v>293273.52</v>
      </c>
    </row>
    <row r="142" spans="1:8" ht="18" customHeight="1" x14ac:dyDescent="0.55000000000000004">
      <c r="A142" s="180" t="s">
        <v>150</v>
      </c>
      <c r="B142" s="179" t="s">
        <v>220</v>
      </c>
      <c r="D142" s="239">
        <f>D49</f>
        <v>20520.759999999998</v>
      </c>
      <c r="E142" s="239">
        <f>E49</f>
        <v>19718.29</v>
      </c>
      <c r="F142" s="239">
        <f>F49</f>
        <v>0</v>
      </c>
      <c r="G142" s="239">
        <f>G49</f>
        <v>0</v>
      </c>
      <c r="H142" s="239">
        <f>H49</f>
        <v>40239.050000000003</v>
      </c>
    </row>
    <row r="143" spans="1:8" ht="18" customHeight="1" x14ac:dyDescent="0.55000000000000004">
      <c r="A143" s="180" t="s">
        <v>269</v>
      </c>
      <c r="B143" s="179" t="s">
        <v>222</v>
      </c>
      <c r="D143" s="239">
        <f>D64</f>
        <v>49994</v>
      </c>
      <c r="E143" s="239">
        <f>E64</f>
        <v>0</v>
      </c>
      <c r="F143" s="239">
        <f>F64</f>
        <v>0</v>
      </c>
      <c r="G143" s="239">
        <f>G64</f>
        <v>0</v>
      </c>
      <c r="H143" s="239">
        <f>H64</f>
        <v>49994</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0</v>
      </c>
      <c r="E145" s="239">
        <f>E82</f>
        <v>0</v>
      </c>
      <c r="F145" s="239">
        <f>F82</f>
        <v>0</v>
      </c>
      <c r="G145" s="239">
        <f>G82</f>
        <v>0</v>
      </c>
      <c r="H145" s="239">
        <f>H82</f>
        <v>0</v>
      </c>
    </row>
    <row r="146" spans="1:8" ht="18" customHeight="1" x14ac:dyDescent="0.55000000000000004">
      <c r="A146" s="180" t="s">
        <v>193</v>
      </c>
      <c r="B146" s="179" t="s">
        <v>226</v>
      </c>
      <c r="D146" s="239">
        <f>D98</f>
        <v>1723.94</v>
      </c>
      <c r="E146" s="239">
        <f>E98</f>
        <v>1656.53</v>
      </c>
      <c r="F146" s="239">
        <f>F98</f>
        <v>0</v>
      </c>
      <c r="G146" s="239">
        <f>G98</f>
        <v>0</v>
      </c>
      <c r="H146" s="239">
        <f>H98</f>
        <v>3380.4700000000003</v>
      </c>
    </row>
    <row r="147" spans="1:8" ht="18" customHeight="1" x14ac:dyDescent="0.55000000000000004">
      <c r="A147" s="180" t="s">
        <v>204</v>
      </c>
      <c r="B147" s="179" t="s">
        <v>71</v>
      </c>
      <c r="D147" s="217">
        <f>D108</f>
        <v>0</v>
      </c>
      <c r="E147" s="217">
        <f>E108</f>
        <v>0</v>
      </c>
      <c r="F147" s="217">
        <f>F108</f>
        <v>0</v>
      </c>
      <c r="G147" s="217">
        <f>G108</f>
        <v>0</v>
      </c>
      <c r="H147" s="217">
        <f>H108</f>
        <v>0</v>
      </c>
    </row>
    <row r="148" spans="1:8" ht="18" customHeight="1" x14ac:dyDescent="0.55000000000000004">
      <c r="A148" s="180" t="s">
        <v>310</v>
      </c>
      <c r="B148" s="179" t="s">
        <v>58</v>
      </c>
      <c r="D148" s="240" t="s">
        <v>245</v>
      </c>
      <c r="E148" s="240" t="s">
        <v>245</v>
      </c>
      <c r="F148" s="240"/>
      <c r="G148" s="240" t="s">
        <v>245</v>
      </c>
      <c r="H148" s="239">
        <f>H111</f>
        <v>167600</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0</v>
      </c>
      <c r="E150" s="217">
        <f>E18</f>
        <v>0</v>
      </c>
      <c r="F150" s="217">
        <f>F18</f>
        <v>0</v>
      </c>
      <c r="G150" s="217">
        <f>G18</f>
        <v>0</v>
      </c>
      <c r="H150" s="217">
        <f>H18</f>
        <v>0</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221799.79</v>
      </c>
      <c r="E152" s="241">
        <f>SUM(E141:E150)</f>
        <v>165087.25000000003</v>
      </c>
      <c r="F152" s="241">
        <f>SUM(F141:F150)</f>
        <v>0</v>
      </c>
      <c r="G152" s="241">
        <f>SUM(G141:G150)</f>
        <v>0</v>
      </c>
      <c r="H152" s="241">
        <f>SUM(H141:H150)</f>
        <v>554487.04000000004</v>
      </c>
    </row>
    <row r="154" spans="1:8" ht="18" customHeight="1" x14ac:dyDescent="0.55000000000000004">
      <c r="A154" s="183" t="s">
        <v>339</v>
      </c>
      <c r="B154" s="179" t="s">
        <v>340</v>
      </c>
      <c r="D154" s="242">
        <f>H152/E121</f>
        <v>6.0585109591136561E-2</v>
      </c>
    </row>
    <row r="155" spans="1:8" ht="18" customHeight="1" x14ac:dyDescent="0.55000000000000004">
      <c r="A155" s="183" t="s">
        <v>341</v>
      </c>
      <c r="B155" s="179" t="s">
        <v>342</v>
      </c>
      <c r="D155" s="242">
        <f>H152/E127</f>
        <v>-0.12076904563652002</v>
      </c>
    </row>
  </sheetData>
  <mergeCells count="7">
    <mergeCell ref="B13:D13"/>
    <mergeCell ref="C2:D2"/>
    <mergeCell ref="C5:E5"/>
    <mergeCell ref="C6:E6"/>
    <mergeCell ref="C9:E9"/>
    <mergeCell ref="C10:E10"/>
    <mergeCell ref="C11:E11"/>
  </mergeCells>
  <pageMargins left="0.7" right="0.7" top="0.75" bottom="0.75" header="0.3" footer="0.3"/>
  <pageSetup orientation="portrait" horizontalDpi="1200" verticalDpi="12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B6F68-5E37-4789-B66E-4FA0639AB846}">
  <sheetPr codeName="Sheet45"/>
  <dimension ref="A1:J155"/>
  <sheetViews>
    <sheetView zoomScaleNormal="100" workbookViewId="0"/>
  </sheetViews>
  <sheetFormatPr defaultColWidth="9" defaultRowHeight="14.4" x14ac:dyDescent="0.55000000000000004"/>
  <cols>
    <col min="1" max="1" width="8.26171875" style="175" customWidth="1"/>
    <col min="2" max="2" width="68.578125" style="176" bestFit="1" customWidth="1"/>
    <col min="3" max="3" width="12.26171875" style="176" customWidth="1"/>
    <col min="4" max="4" width="17.15625" style="176" customWidth="1"/>
    <col min="5" max="6" width="21.15625" style="176" customWidth="1"/>
    <col min="7" max="7" width="19.68359375" style="176" customWidth="1"/>
    <col min="8" max="8" width="17.6835937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390" t="s">
        <v>42</v>
      </c>
      <c r="D5" s="247"/>
      <c r="E5" s="391"/>
      <c r="F5" s="208"/>
    </row>
    <row r="6" spans="1:8" ht="18" customHeight="1" x14ac:dyDescent="0.55000000000000004">
      <c r="B6" s="180" t="s">
        <v>237</v>
      </c>
      <c r="C6" s="392" t="s">
        <v>598</v>
      </c>
      <c r="D6" s="244"/>
      <c r="E6" s="393"/>
      <c r="F6" s="209"/>
    </row>
    <row r="7" spans="1:8" ht="18" customHeight="1" x14ac:dyDescent="0.55000000000000004">
      <c r="B7" s="180" t="s">
        <v>238</v>
      </c>
      <c r="C7" s="394">
        <v>1663</v>
      </c>
      <c r="D7" s="246"/>
      <c r="E7" s="395"/>
      <c r="F7" s="210"/>
    </row>
    <row r="8" spans="1:8" ht="18" customHeight="1" x14ac:dyDescent="0.55000000000000004">
      <c r="C8" s="396"/>
      <c r="D8" s="211"/>
      <c r="E8" s="397"/>
      <c r="F8" s="212"/>
    </row>
    <row r="9" spans="1:8" ht="18" customHeight="1" x14ac:dyDescent="0.55000000000000004">
      <c r="B9" s="180" t="s">
        <v>239</v>
      </c>
      <c r="C9" s="398" t="s">
        <v>599</v>
      </c>
      <c r="D9" s="247"/>
      <c r="E9" s="391"/>
      <c r="F9" s="208"/>
    </row>
    <row r="10" spans="1:8" ht="18" customHeight="1" x14ac:dyDescent="0.55000000000000004">
      <c r="B10" s="180" t="s">
        <v>241</v>
      </c>
      <c r="C10" s="399" t="s">
        <v>600</v>
      </c>
      <c r="D10" s="248"/>
      <c r="E10" s="400"/>
      <c r="F10" s="213"/>
    </row>
    <row r="11" spans="1:8" ht="18" customHeight="1" x14ac:dyDescent="0.55000000000000004">
      <c r="B11" s="180" t="s">
        <v>243</v>
      </c>
      <c r="C11" s="401" t="s">
        <v>601</v>
      </c>
      <c r="D11" s="247"/>
      <c r="E11" s="39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5668203.6607857039</v>
      </c>
      <c r="E18" s="214"/>
      <c r="F18" s="214"/>
      <c r="G18" s="214">
        <v>4697638.0201128963</v>
      </c>
      <c r="H18" s="215">
        <f>(D18+E18)-F18-G18</f>
        <v>970565.64067280758</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718290.38686778338</v>
      </c>
      <c r="E21" s="216">
        <v>494830.24751321593</v>
      </c>
      <c r="F21" s="216">
        <v>0</v>
      </c>
      <c r="G21" s="184">
        <v>3763</v>
      </c>
      <c r="H21" s="217">
        <f>(D21+E21)-F21-G21</f>
        <v>1209357.6343809993</v>
      </c>
    </row>
    <row r="22" spans="1:8" ht="18" customHeight="1" x14ac:dyDescent="0.55000000000000004">
      <c r="A22" s="180" t="s">
        <v>112</v>
      </c>
      <c r="B22" s="176" t="s">
        <v>113</v>
      </c>
      <c r="D22" s="184">
        <v>111642.46052414266</v>
      </c>
      <c r="E22" s="216">
        <v>76910.491055081875</v>
      </c>
      <c r="F22" s="216">
        <v>0</v>
      </c>
      <c r="G22" s="184">
        <v>0</v>
      </c>
      <c r="H22" s="217">
        <f t="shared" ref="H22:H34" si="0">(D22+E22)-F22-G22</f>
        <v>188552.95157922455</v>
      </c>
    </row>
    <row r="23" spans="1:8" ht="18" customHeight="1" x14ac:dyDescent="0.55000000000000004">
      <c r="A23" s="180" t="s">
        <v>114</v>
      </c>
      <c r="B23" s="176" t="s">
        <v>115</v>
      </c>
      <c r="D23" s="184">
        <v>26465.207637014122</v>
      </c>
      <c r="E23" s="216">
        <v>18231.881541139028</v>
      </c>
      <c r="F23" s="216">
        <v>0</v>
      </c>
      <c r="G23" s="184">
        <v>0</v>
      </c>
      <c r="H23" s="217">
        <f t="shared" si="0"/>
        <v>44697.089178153154</v>
      </c>
    </row>
    <row r="24" spans="1:8" ht="18" customHeight="1" x14ac:dyDescent="0.55000000000000004">
      <c r="A24" s="180" t="s">
        <v>116</v>
      </c>
      <c r="B24" s="176" t="s">
        <v>117</v>
      </c>
      <c r="D24" s="184"/>
      <c r="E24" s="216"/>
      <c r="F24" s="216"/>
      <c r="G24" s="184"/>
      <c r="H24" s="217">
        <f t="shared" si="0"/>
        <v>0</v>
      </c>
    </row>
    <row r="25" spans="1:8" ht="18" customHeight="1" x14ac:dyDescent="0.55000000000000004">
      <c r="A25" s="180" t="s">
        <v>118</v>
      </c>
      <c r="B25" s="176" t="s">
        <v>119</v>
      </c>
      <c r="D25" s="184">
        <v>71130.103233861664</v>
      </c>
      <c r="E25" s="216">
        <v>49001.528117807298</v>
      </c>
      <c r="F25" s="216">
        <v>0</v>
      </c>
      <c r="G25" s="184">
        <v>37696</v>
      </c>
      <c r="H25" s="217">
        <f t="shared" si="0"/>
        <v>82435.63135166897</v>
      </c>
    </row>
    <row r="26" spans="1:8" ht="18" customHeight="1" x14ac:dyDescent="0.55000000000000004">
      <c r="A26" s="180" t="s">
        <v>120</v>
      </c>
      <c r="B26" s="176" t="s">
        <v>121</v>
      </c>
      <c r="D26" s="184">
        <v>1954.3537947333507</v>
      </c>
      <c r="E26" s="216">
        <v>1346.3543291918052</v>
      </c>
      <c r="F26" s="216">
        <v>0</v>
      </c>
      <c r="G26" s="184">
        <v>0</v>
      </c>
      <c r="H26" s="217">
        <f t="shared" si="0"/>
        <v>3300.7081239251556</v>
      </c>
    </row>
    <row r="27" spans="1:8" ht="18" customHeight="1" x14ac:dyDescent="0.55000000000000004">
      <c r="A27" s="180" t="s">
        <v>122</v>
      </c>
      <c r="B27" s="176" t="s">
        <v>246</v>
      </c>
      <c r="D27" s="184">
        <v>0</v>
      </c>
      <c r="E27" s="216">
        <v>0</v>
      </c>
      <c r="F27" s="216">
        <v>0</v>
      </c>
      <c r="G27" s="184">
        <v>0</v>
      </c>
      <c r="H27" s="217">
        <f t="shared" si="0"/>
        <v>0</v>
      </c>
    </row>
    <row r="28" spans="1:8" ht="18" customHeight="1" x14ac:dyDescent="0.55000000000000004">
      <c r="A28" s="180" t="s">
        <v>124</v>
      </c>
      <c r="B28" s="176" t="s">
        <v>125</v>
      </c>
      <c r="D28" s="184">
        <v>0</v>
      </c>
      <c r="E28" s="216">
        <v>0</v>
      </c>
      <c r="F28" s="216">
        <v>0</v>
      </c>
      <c r="G28" s="184">
        <v>0</v>
      </c>
      <c r="H28" s="217">
        <f t="shared" si="0"/>
        <v>0</v>
      </c>
    </row>
    <row r="29" spans="1:8" ht="18" customHeight="1" x14ac:dyDescent="0.55000000000000004">
      <c r="A29" s="180" t="s">
        <v>126</v>
      </c>
      <c r="B29" s="176" t="s">
        <v>127</v>
      </c>
      <c r="D29" s="184">
        <v>2663838.2311282363</v>
      </c>
      <c r="E29" s="216">
        <v>1477348.9648242416</v>
      </c>
      <c r="F29" s="216">
        <v>52220</v>
      </c>
      <c r="G29" s="184">
        <v>672994</v>
      </c>
      <c r="H29" s="217">
        <f t="shared" si="0"/>
        <v>3415973.1959524779</v>
      </c>
    </row>
    <row r="30" spans="1:8" ht="18" customHeight="1" x14ac:dyDescent="0.55000000000000004">
      <c r="A30" s="180" t="s">
        <v>128</v>
      </c>
      <c r="B30" s="185"/>
      <c r="D30" s="184"/>
      <c r="E30" s="216"/>
      <c r="F30" s="216"/>
      <c r="G30" s="184"/>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3593320.7431857712</v>
      </c>
      <c r="E36" s="217">
        <f>SUM(E21:E34)</f>
        <v>2117669.4673806773</v>
      </c>
      <c r="F36" s="217">
        <f>SUM(F21:F34)</f>
        <v>52220</v>
      </c>
      <c r="G36" s="217">
        <f>SUM(G21:G34)</f>
        <v>714453</v>
      </c>
      <c r="H36" s="217">
        <f>SUM(H21:H34)</f>
        <v>4944317.210566449</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0</v>
      </c>
      <c r="E40" s="216">
        <v>0</v>
      </c>
      <c r="F40" s="216">
        <v>0</v>
      </c>
      <c r="G40" s="184">
        <v>0</v>
      </c>
      <c r="H40" s="217">
        <f>(D40+E40)-F40-G40</f>
        <v>0</v>
      </c>
    </row>
    <row r="41" spans="1:8" ht="18" customHeight="1" x14ac:dyDescent="0.55000000000000004">
      <c r="A41" s="180" t="s">
        <v>251</v>
      </c>
      <c r="B41" s="176" t="s">
        <v>141</v>
      </c>
      <c r="D41" s="184">
        <v>239073.91720573336</v>
      </c>
      <c r="E41" s="216">
        <v>164698.0215630297</v>
      </c>
      <c r="F41" s="216">
        <v>0</v>
      </c>
      <c r="G41" s="184">
        <v>0</v>
      </c>
      <c r="H41" s="217">
        <f t="shared" ref="H41:H47" si="1">(D41+E41)-F41-G41</f>
        <v>403771.9387687631</v>
      </c>
    </row>
    <row r="42" spans="1:8" ht="18" customHeight="1" x14ac:dyDescent="0.55000000000000004">
      <c r="A42" s="180" t="s">
        <v>252</v>
      </c>
      <c r="B42" s="176" t="s">
        <v>143</v>
      </c>
      <c r="D42" s="184">
        <v>142990.54986481593</v>
      </c>
      <c r="E42" s="216">
        <v>98506.189801871718</v>
      </c>
      <c r="F42" s="216">
        <v>0</v>
      </c>
      <c r="G42" s="184">
        <v>0</v>
      </c>
      <c r="H42" s="217">
        <f t="shared" si="1"/>
        <v>241496.73966668764</v>
      </c>
    </row>
    <row r="43" spans="1:8" ht="18" customHeight="1" x14ac:dyDescent="0.55000000000000004">
      <c r="A43" s="180" t="s">
        <v>253</v>
      </c>
      <c r="B43" s="176" t="s">
        <v>145</v>
      </c>
      <c r="D43" s="184">
        <v>486886</v>
      </c>
      <c r="E43" s="216">
        <v>335415.76539999997</v>
      </c>
      <c r="F43" s="216">
        <v>0</v>
      </c>
      <c r="G43" s="184">
        <v>0</v>
      </c>
      <c r="H43" s="217">
        <f>(D43+E43)-F43-G43</f>
        <v>822301.76539999992</v>
      </c>
    </row>
    <row r="44" spans="1:8" ht="18" customHeight="1" x14ac:dyDescent="0.55000000000000004">
      <c r="A44" s="180" t="s">
        <v>146</v>
      </c>
      <c r="B44" s="193" t="s">
        <v>129</v>
      </c>
      <c r="D44" s="184">
        <v>14975.973924280332</v>
      </c>
      <c r="E44" s="216">
        <v>10316.94843643672</v>
      </c>
      <c r="F44" s="220">
        <v>0</v>
      </c>
      <c r="G44" s="184">
        <v>0</v>
      </c>
      <c r="H44" s="217">
        <f t="shared" si="1"/>
        <v>25292.92236071705</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883926.44099482964</v>
      </c>
      <c r="E49" s="217">
        <f>SUM(E40:E47)</f>
        <v>608936.92520133802</v>
      </c>
      <c r="F49" s="217">
        <f>SUM(F40:F47)</f>
        <v>0</v>
      </c>
      <c r="G49" s="217">
        <f>SUM(G40:G47)</f>
        <v>0</v>
      </c>
      <c r="H49" s="217">
        <f>SUM(H40:H47)</f>
        <v>1492863.3661961679</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313" t="s">
        <v>433</v>
      </c>
      <c r="D53" s="184">
        <v>16164087</v>
      </c>
      <c r="E53" s="216">
        <v>0</v>
      </c>
      <c r="F53" s="216">
        <v>0</v>
      </c>
      <c r="G53" s="216">
        <v>0</v>
      </c>
      <c r="H53" s="217">
        <f>(D53+E53)-F53-G53</f>
        <v>16164087</v>
      </c>
    </row>
    <row r="54" spans="1:8" ht="18" customHeight="1" x14ac:dyDescent="0.55000000000000004">
      <c r="A54" s="180" t="s">
        <v>259</v>
      </c>
      <c r="B54" s="313"/>
      <c r="D54" s="184"/>
      <c r="E54" s="216">
        <v>0</v>
      </c>
      <c r="F54" s="216">
        <v>0</v>
      </c>
      <c r="G54" s="216">
        <v>0</v>
      </c>
      <c r="H54" s="217">
        <f t="shared" ref="H54:H62" si="2">(D54+E54)-F54-G54</f>
        <v>0</v>
      </c>
    </row>
    <row r="55" spans="1:8" ht="18" customHeight="1" x14ac:dyDescent="0.55000000000000004">
      <c r="A55" s="180" t="s">
        <v>260</v>
      </c>
      <c r="B55" s="402"/>
      <c r="D55" s="184"/>
      <c r="E55" s="216">
        <v>0</v>
      </c>
      <c r="F55" s="216">
        <v>0</v>
      </c>
      <c r="G55" s="216">
        <v>0</v>
      </c>
      <c r="H55" s="217">
        <f t="shared" si="2"/>
        <v>0</v>
      </c>
    </row>
    <row r="56" spans="1:8" ht="18" customHeight="1" x14ac:dyDescent="0.55000000000000004">
      <c r="A56" s="180" t="s">
        <v>261</v>
      </c>
      <c r="B56" s="313"/>
      <c r="D56" s="184"/>
      <c r="E56" s="216">
        <v>0</v>
      </c>
      <c r="F56" s="216">
        <v>0</v>
      </c>
      <c r="G56" s="216">
        <v>0</v>
      </c>
      <c r="H56" s="217">
        <f t="shared" si="2"/>
        <v>0</v>
      </c>
    </row>
    <row r="57" spans="1:8" ht="18" customHeight="1" x14ac:dyDescent="0.55000000000000004">
      <c r="A57" s="180" t="s">
        <v>263</v>
      </c>
      <c r="B57" s="313"/>
      <c r="D57" s="184"/>
      <c r="E57" s="216">
        <v>0</v>
      </c>
      <c r="F57" s="216">
        <v>0</v>
      </c>
      <c r="G57" s="216">
        <v>0</v>
      </c>
      <c r="H57" s="217">
        <f t="shared" si="2"/>
        <v>0</v>
      </c>
    </row>
    <row r="58" spans="1:8" ht="18" customHeight="1" x14ac:dyDescent="0.55000000000000004">
      <c r="A58" s="180" t="s">
        <v>264</v>
      </c>
      <c r="B58" s="313"/>
      <c r="D58" s="184"/>
      <c r="E58" s="216">
        <v>0</v>
      </c>
      <c r="F58" s="216">
        <v>0</v>
      </c>
      <c r="G58" s="216">
        <v>0</v>
      </c>
      <c r="H58" s="217">
        <f>(D58+E58)-F58-G58</f>
        <v>0</v>
      </c>
    </row>
    <row r="59" spans="1:8" ht="18" customHeight="1" x14ac:dyDescent="0.55000000000000004">
      <c r="A59" s="180" t="s">
        <v>265</v>
      </c>
      <c r="B59" s="403"/>
      <c r="D59" s="224"/>
      <c r="E59" s="225">
        <v>0</v>
      </c>
      <c r="F59" s="216">
        <v>0</v>
      </c>
      <c r="G59" s="216">
        <v>0</v>
      </c>
      <c r="H59" s="217">
        <f t="shared" si="2"/>
        <v>0</v>
      </c>
    </row>
    <row r="60" spans="1:8" ht="18" customHeight="1" x14ac:dyDescent="0.55000000000000004">
      <c r="A60" s="180" t="s">
        <v>266</v>
      </c>
      <c r="B60" s="222"/>
      <c r="C60" s="212"/>
      <c r="D60" s="224"/>
      <c r="E60" s="225">
        <v>0</v>
      </c>
      <c r="F60" s="216">
        <v>0</v>
      </c>
      <c r="G60" s="216">
        <v>0</v>
      </c>
      <c r="H60" s="217">
        <f t="shared" si="2"/>
        <v>0</v>
      </c>
    </row>
    <row r="61" spans="1:8" ht="18" customHeight="1" x14ac:dyDescent="0.55000000000000004">
      <c r="A61" s="180" t="s">
        <v>267</v>
      </c>
      <c r="B61" s="222"/>
      <c r="C61" s="212"/>
      <c r="D61" s="224"/>
      <c r="E61" s="225">
        <v>0</v>
      </c>
      <c r="F61" s="216">
        <v>0</v>
      </c>
      <c r="G61" s="216">
        <v>0</v>
      </c>
      <c r="H61" s="217">
        <f t="shared" si="2"/>
        <v>0</v>
      </c>
    </row>
    <row r="62" spans="1:8" ht="18" customHeight="1" x14ac:dyDescent="0.55000000000000004">
      <c r="A62" s="180" t="s">
        <v>268</v>
      </c>
      <c r="B62" s="222"/>
      <c r="C62" s="212"/>
      <c r="D62" s="224"/>
      <c r="E62" s="225">
        <v>0</v>
      </c>
      <c r="F62" s="216">
        <v>0</v>
      </c>
      <c r="G62" s="216">
        <v>0</v>
      </c>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16164087</v>
      </c>
      <c r="E64" s="217">
        <f>SUM(E53:E62)</f>
        <v>0</v>
      </c>
      <c r="F64" s="217">
        <f>SUM(F53:F62)</f>
        <v>0</v>
      </c>
      <c r="G64" s="217">
        <f>SUM(G53:G62)</f>
        <v>0</v>
      </c>
      <c r="H64" s="217">
        <f>SUM(H53:H62)</f>
        <v>16164087</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4">
        <v>445779</v>
      </c>
      <c r="E68" s="225">
        <v>0</v>
      </c>
      <c r="F68" s="216">
        <v>0</v>
      </c>
      <c r="G68" s="216">
        <v>133474</v>
      </c>
      <c r="H68" s="217">
        <f>(D68+E68)-F68-G68</f>
        <v>312305</v>
      </c>
      <c r="J68" s="254"/>
    </row>
    <row r="69" spans="1:10" ht="18" customHeight="1" x14ac:dyDescent="0.55000000000000004">
      <c r="A69" s="180" t="s">
        <v>273</v>
      </c>
      <c r="B69" s="176" t="s">
        <v>159</v>
      </c>
      <c r="D69" s="224">
        <v>17276</v>
      </c>
      <c r="E69" s="225">
        <v>0</v>
      </c>
      <c r="F69" s="216">
        <v>0</v>
      </c>
      <c r="G69" s="216">
        <v>0</v>
      </c>
      <c r="H69" s="217">
        <f>(D69+E69)-F69-G69</f>
        <v>17276</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463055</v>
      </c>
      <c r="E74" s="229">
        <f>SUM(E68:E72)</f>
        <v>0</v>
      </c>
      <c r="F74" s="229">
        <f>SUM(F68:F72)</f>
        <v>0</v>
      </c>
      <c r="G74" s="217">
        <f>SUM(G68:G72)</f>
        <v>133474</v>
      </c>
      <c r="H74" s="217">
        <f>SUM(H68:H72)</f>
        <v>329581</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432132</v>
      </c>
      <c r="E77" s="230"/>
      <c r="F77" s="216">
        <v>0</v>
      </c>
      <c r="G77" s="216">
        <v>0</v>
      </c>
      <c r="H77" s="217">
        <f>(D77-F77-G77)</f>
        <v>432132</v>
      </c>
    </row>
    <row r="78" spans="1:10" ht="18" customHeight="1" x14ac:dyDescent="0.55000000000000004">
      <c r="A78" s="180" t="s">
        <v>281</v>
      </c>
      <c r="B78" s="176" t="s">
        <v>166</v>
      </c>
      <c r="D78" s="184">
        <v>0</v>
      </c>
      <c r="E78" s="230"/>
      <c r="F78" s="216">
        <v>0</v>
      </c>
      <c r="G78" s="216">
        <v>0</v>
      </c>
      <c r="H78" s="217">
        <f>(D78-F78-G78)</f>
        <v>0</v>
      </c>
    </row>
    <row r="79" spans="1:10" ht="18" customHeight="1" x14ac:dyDescent="0.55000000000000004">
      <c r="A79" s="180" t="s">
        <v>282</v>
      </c>
      <c r="B79" s="176" t="s">
        <v>168</v>
      </c>
      <c r="D79" s="184">
        <v>7177.9123508012517</v>
      </c>
      <c r="E79" s="230"/>
      <c r="F79" s="216">
        <v>0</v>
      </c>
      <c r="G79" s="216">
        <v>0</v>
      </c>
      <c r="H79" s="217">
        <f>(D79-F79-G79)</f>
        <v>7177.9123508012517</v>
      </c>
    </row>
    <row r="80" spans="1:10" ht="18" customHeight="1" x14ac:dyDescent="0.55000000000000004">
      <c r="A80" s="180" t="s">
        <v>283</v>
      </c>
      <c r="B80" s="176" t="s">
        <v>170</v>
      </c>
      <c r="D80" s="184">
        <v>3257.2563245555843</v>
      </c>
      <c r="E80" s="230"/>
      <c r="F80" s="216">
        <v>0</v>
      </c>
      <c r="G80" s="216">
        <v>0</v>
      </c>
      <c r="H80" s="217">
        <f>(D80-F80-G80)</f>
        <v>3257.2563245555843</v>
      </c>
    </row>
    <row r="81" spans="1:8" ht="18" customHeight="1" x14ac:dyDescent="0.55000000000000004">
      <c r="A81" s="180"/>
      <c r="H81" s="196"/>
    </row>
    <row r="82" spans="1:8" ht="18" customHeight="1" x14ac:dyDescent="0.55000000000000004">
      <c r="A82" s="180" t="s">
        <v>171</v>
      </c>
      <c r="B82" s="179" t="s">
        <v>284</v>
      </c>
      <c r="C82" s="179" t="s">
        <v>248</v>
      </c>
      <c r="D82" s="217">
        <f>SUM(D77:D80)</f>
        <v>442567.16867535684</v>
      </c>
      <c r="E82" s="231"/>
      <c r="F82" s="217">
        <f>SUM(F77:F80)</f>
        <v>0</v>
      </c>
      <c r="G82" s="217">
        <f>SUM(G77:G80)</f>
        <v>0</v>
      </c>
      <c r="H82" s="217">
        <f>SUM(H77:H80)</f>
        <v>442567.16867535684</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v>458.05167064062903</v>
      </c>
      <c r="E86" s="216">
        <v>315.55179590432931</v>
      </c>
      <c r="F86" s="216">
        <v>0</v>
      </c>
      <c r="G86" s="216">
        <v>0</v>
      </c>
      <c r="H86" s="217">
        <f>(D86+E86)-F86-G86</f>
        <v>773.60346654495834</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v>192642.56877023116</v>
      </c>
      <c r="E88" s="216">
        <v>132711.46562581221</v>
      </c>
      <c r="F88" s="216">
        <v>0</v>
      </c>
      <c r="G88" s="216">
        <v>168</v>
      </c>
      <c r="H88" s="217">
        <f t="shared" si="3"/>
        <v>325186.0343960434</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v>8591.9805539867066</v>
      </c>
      <c r="E90" s="216">
        <v>5919.0154036414415</v>
      </c>
      <c r="F90" s="216">
        <v>0</v>
      </c>
      <c r="G90" s="184">
        <v>0</v>
      </c>
      <c r="H90" s="217">
        <f t="shared" si="3"/>
        <v>14510.995957628147</v>
      </c>
    </row>
    <row r="91" spans="1:8" ht="18" customHeight="1" x14ac:dyDescent="0.55000000000000004">
      <c r="A91" s="180" t="s">
        <v>292</v>
      </c>
      <c r="B91" s="176" t="s">
        <v>185</v>
      </c>
      <c r="D91" s="184">
        <v>1238.0118764814779</v>
      </c>
      <c r="E91" s="216">
        <v>852.8663817080901</v>
      </c>
      <c r="F91" s="216">
        <v>0</v>
      </c>
      <c r="G91" s="184">
        <v>693</v>
      </c>
      <c r="H91" s="217">
        <f t="shared" si="3"/>
        <v>1397.878258189568</v>
      </c>
    </row>
    <row r="92" spans="1:8" ht="18" customHeight="1" x14ac:dyDescent="0.55000000000000004">
      <c r="A92" s="180" t="s">
        <v>293</v>
      </c>
      <c r="B92" s="176" t="s">
        <v>294</v>
      </c>
      <c r="D92" s="233">
        <v>6762.6239707081768</v>
      </c>
      <c r="E92" s="216">
        <v>4658.7716534208612</v>
      </c>
      <c r="F92" s="234">
        <v>0</v>
      </c>
      <c r="G92" s="233">
        <v>2436</v>
      </c>
      <c r="H92" s="217">
        <f t="shared" si="3"/>
        <v>8985.395624129038</v>
      </c>
    </row>
    <row r="93" spans="1:8" ht="18" customHeight="1" x14ac:dyDescent="0.55000000000000004">
      <c r="A93" s="180" t="s">
        <v>295</v>
      </c>
      <c r="B93" s="176" t="s">
        <v>296</v>
      </c>
      <c r="D93" s="184">
        <v>22297.936291748498</v>
      </c>
      <c r="E93" s="216">
        <v>15361.048311385541</v>
      </c>
      <c r="F93" s="216">
        <v>0</v>
      </c>
      <c r="G93" s="184">
        <v>19383</v>
      </c>
      <c r="H93" s="217">
        <f t="shared" si="3"/>
        <v>18275.984603134042</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231991.1731337966</v>
      </c>
      <c r="E98" s="217">
        <f>SUM(E86:E96)</f>
        <v>159818.71917187248</v>
      </c>
      <c r="F98" s="217">
        <f>SUM(F86:F96)</f>
        <v>0</v>
      </c>
      <c r="G98" s="217">
        <f>SUM(G86:G96)</f>
        <v>22680</v>
      </c>
      <c r="H98" s="217">
        <f>SUM(H86:H96)</f>
        <v>369129.89230566914</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353496.67394880363</v>
      </c>
      <c r="E102" s="216">
        <v>243523.85868333079</v>
      </c>
      <c r="F102" s="216">
        <v>0</v>
      </c>
      <c r="G102" s="184">
        <v>0</v>
      </c>
      <c r="H102" s="217">
        <f>(D102+E102)-F102-G102</f>
        <v>597020.53263213439</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353496.67394880363</v>
      </c>
      <c r="E108" s="217">
        <f>SUM(E102:E106)</f>
        <v>243523.85868333079</v>
      </c>
      <c r="F108" s="217">
        <f>SUM(F102:F106)</f>
        <v>0</v>
      </c>
      <c r="G108" s="217">
        <f>SUM(G102:G106)</f>
        <v>0</v>
      </c>
      <c r="H108" s="217">
        <f>SUM(H102:H106)</f>
        <v>597020.53263213439</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5128937.7699999996</v>
      </c>
      <c r="G111" s="184">
        <v>0</v>
      </c>
      <c r="H111" s="217">
        <f>F111-G111</f>
        <v>5128937.7699999996</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0.68889999999999996</v>
      </c>
      <c r="F114" s="235" t="s">
        <v>429</v>
      </c>
      <c r="G114" s="236">
        <v>0.18179999999999999</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277733000</v>
      </c>
      <c r="F117" s="237"/>
    </row>
    <row r="118" spans="1:7" ht="18" customHeight="1" x14ac:dyDescent="0.55000000000000004">
      <c r="A118" s="180" t="s">
        <v>319</v>
      </c>
      <c r="B118" s="176" t="s">
        <v>320</v>
      </c>
      <c r="E118" s="184">
        <v>20860000</v>
      </c>
      <c r="F118" s="237"/>
    </row>
    <row r="119" spans="1:7" ht="18" customHeight="1" x14ac:dyDescent="0.55000000000000004">
      <c r="A119" s="180" t="s">
        <v>321</v>
      </c>
      <c r="B119" s="179" t="s">
        <v>322</v>
      </c>
      <c r="E119" s="217">
        <f>SUM(E117:E118)</f>
        <v>298593000</v>
      </c>
      <c r="F119" s="238"/>
    </row>
    <row r="120" spans="1:7" ht="18" customHeight="1" x14ac:dyDescent="0.55000000000000004">
      <c r="A120" s="180"/>
      <c r="B120" s="179"/>
      <c r="F120" s="212"/>
    </row>
    <row r="121" spans="1:7" ht="18" customHeight="1" x14ac:dyDescent="0.55000000000000004">
      <c r="A121" s="180" t="s">
        <v>323</v>
      </c>
      <c r="B121" s="179" t="s">
        <v>324</v>
      </c>
      <c r="E121" s="184">
        <v>280849000</v>
      </c>
      <c r="F121" s="237"/>
    </row>
    <row r="122" spans="1:7" ht="18" customHeight="1" x14ac:dyDescent="0.55000000000000004">
      <c r="A122" s="180"/>
      <c r="F122" s="212"/>
    </row>
    <row r="123" spans="1:7" ht="18" customHeight="1" x14ac:dyDescent="0.55000000000000004">
      <c r="A123" s="180" t="s">
        <v>325</v>
      </c>
      <c r="B123" s="179" t="s">
        <v>326</v>
      </c>
      <c r="E123" s="184">
        <f>E119-E121</f>
        <v>17744000</v>
      </c>
      <c r="F123" s="237"/>
    </row>
    <row r="124" spans="1:7" ht="18" customHeight="1" x14ac:dyDescent="0.55000000000000004">
      <c r="A124" s="180"/>
      <c r="F124" s="212"/>
    </row>
    <row r="125" spans="1:7" ht="18" customHeight="1" x14ac:dyDescent="0.55000000000000004">
      <c r="A125" s="180" t="s">
        <v>327</v>
      </c>
      <c r="B125" s="179" t="s">
        <v>328</v>
      </c>
      <c r="E125" s="184">
        <v>37073000</v>
      </c>
      <c r="F125" s="237"/>
    </row>
    <row r="126" spans="1:7" ht="18" customHeight="1" x14ac:dyDescent="0.55000000000000004">
      <c r="A126" s="180"/>
      <c r="F126" s="212"/>
    </row>
    <row r="127" spans="1:7" ht="18" customHeight="1" x14ac:dyDescent="0.55000000000000004">
      <c r="A127" s="180" t="s">
        <v>329</v>
      </c>
      <c r="B127" s="179" t="s">
        <v>330</v>
      </c>
      <c r="E127" s="184">
        <f>E123+E125</f>
        <v>54817000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3593320.7431857712</v>
      </c>
      <c r="E141" s="239">
        <f>E36</f>
        <v>2117669.4673806773</v>
      </c>
      <c r="F141" s="239">
        <f>F36</f>
        <v>52220</v>
      </c>
      <c r="G141" s="239">
        <f>G36</f>
        <v>714453</v>
      </c>
      <c r="H141" s="239">
        <f>H36</f>
        <v>4944317.210566449</v>
      </c>
    </row>
    <row r="142" spans="1:8" ht="18" customHeight="1" x14ac:dyDescent="0.55000000000000004">
      <c r="A142" s="180" t="s">
        <v>150</v>
      </c>
      <c r="B142" s="179" t="s">
        <v>220</v>
      </c>
      <c r="D142" s="239">
        <f>D49</f>
        <v>883926.44099482964</v>
      </c>
      <c r="E142" s="239">
        <f>E49</f>
        <v>608936.92520133802</v>
      </c>
      <c r="F142" s="239">
        <f>F49</f>
        <v>0</v>
      </c>
      <c r="G142" s="239">
        <f>G49</f>
        <v>0</v>
      </c>
      <c r="H142" s="239">
        <f>H49</f>
        <v>1492863.3661961679</v>
      </c>
    </row>
    <row r="143" spans="1:8" ht="18" customHeight="1" x14ac:dyDescent="0.55000000000000004">
      <c r="A143" s="180" t="s">
        <v>269</v>
      </c>
      <c r="B143" s="179" t="s">
        <v>222</v>
      </c>
      <c r="D143" s="239">
        <f>D64</f>
        <v>16164087</v>
      </c>
      <c r="E143" s="239">
        <f>E64</f>
        <v>0</v>
      </c>
      <c r="F143" s="239">
        <f>F64</f>
        <v>0</v>
      </c>
      <c r="G143" s="239">
        <f>G64</f>
        <v>0</v>
      </c>
      <c r="H143" s="239">
        <f>H64</f>
        <v>16164087</v>
      </c>
    </row>
    <row r="144" spans="1:8" ht="18" customHeight="1" x14ac:dyDescent="0.55000000000000004">
      <c r="A144" s="180" t="s">
        <v>161</v>
      </c>
      <c r="B144" s="179" t="s">
        <v>70</v>
      </c>
      <c r="D144" s="239">
        <f>D74</f>
        <v>463055</v>
      </c>
      <c r="E144" s="239">
        <f>E74</f>
        <v>0</v>
      </c>
      <c r="F144" s="239">
        <f>F74</f>
        <v>0</v>
      </c>
      <c r="G144" s="239">
        <f>G74</f>
        <v>133474</v>
      </c>
      <c r="H144" s="239">
        <f>H74</f>
        <v>329581</v>
      </c>
    </row>
    <row r="145" spans="1:8" ht="18" customHeight="1" x14ac:dyDescent="0.55000000000000004">
      <c r="A145" s="180" t="s">
        <v>171</v>
      </c>
      <c r="B145" s="179" t="s">
        <v>69</v>
      </c>
      <c r="D145" s="239">
        <f>D82</f>
        <v>442567.16867535684</v>
      </c>
      <c r="E145" s="239">
        <f>E82</f>
        <v>0</v>
      </c>
      <c r="F145" s="239">
        <f>F82</f>
        <v>0</v>
      </c>
      <c r="G145" s="239">
        <f>G82</f>
        <v>0</v>
      </c>
      <c r="H145" s="239">
        <f>H82</f>
        <v>442567.16867535684</v>
      </c>
    </row>
    <row r="146" spans="1:8" ht="18" customHeight="1" x14ac:dyDescent="0.55000000000000004">
      <c r="A146" s="180" t="s">
        <v>193</v>
      </c>
      <c r="B146" s="179" t="s">
        <v>226</v>
      </c>
      <c r="D146" s="239">
        <f>D98</f>
        <v>231991.1731337966</v>
      </c>
      <c r="E146" s="239">
        <f>E98</f>
        <v>159818.71917187248</v>
      </c>
      <c r="F146" s="239">
        <f>F98</f>
        <v>0</v>
      </c>
      <c r="G146" s="239">
        <f>G98</f>
        <v>22680</v>
      </c>
      <c r="H146" s="239">
        <f>H98</f>
        <v>369129.89230566914</v>
      </c>
    </row>
    <row r="147" spans="1:8" ht="18" customHeight="1" x14ac:dyDescent="0.55000000000000004">
      <c r="A147" s="180" t="s">
        <v>204</v>
      </c>
      <c r="B147" s="179" t="s">
        <v>71</v>
      </c>
      <c r="D147" s="217">
        <f>D108</f>
        <v>353496.67394880363</v>
      </c>
      <c r="E147" s="217">
        <f>E108</f>
        <v>243523.85868333079</v>
      </c>
      <c r="F147" s="217">
        <f>F108</f>
        <v>0</v>
      </c>
      <c r="G147" s="217">
        <f>G108</f>
        <v>0</v>
      </c>
      <c r="H147" s="217">
        <f>H108</f>
        <v>597020.53263213439</v>
      </c>
    </row>
    <row r="148" spans="1:8" ht="18" customHeight="1" x14ac:dyDescent="0.55000000000000004">
      <c r="A148" s="180" t="s">
        <v>310</v>
      </c>
      <c r="B148" s="179" t="s">
        <v>58</v>
      </c>
      <c r="D148" s="240" t="s">
        <v>245</v>
      </c>
      <c r="E148" s="240" t="s">
        <v>245</v>
      </c>
      <c r="F148" s="240"/>
      <c r="G148" s="240" t="s">
        <v>245</v>
      </c>
      <c r="H148" s="239">
        <f>H111</f>
        <v>5128937.7699999996</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5668203.6607857039</v>
      </c>
      <c r="E150" s="217">
        <f>E18</f>
        <v>0</v>
      </c>
      <c r="F150" s="217">
        <f>F18</f>
        <v>0</v>
      </c>
      <c r="G150" s="217">
        <f>G18</f>
        <v>4697638.0201128963</v>
      </c>
      <c r="H150" s="217">
        <f>H18</f>
        <v>970565.64067280758</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27800647.860724263</v>
      </c>
      <c r="E152" s="241">
        <f>SUM(E141:E150)</f>
        <v>3129948.9704372184</v>
      </c>
      <c r="F152" s="241">
        <f>SUM(F141:F150)</f>
        <v>52220</v>
      </c>
      <c r="G152" s="241">
        <f>SUM(G141:G150)</f>
        <v>5568245.0201128963</v>
      </c>
      <c r="H152" s="241">
        <f>SUM(H141:H150)</f>
        <v>30439069.581048582</v>
      </c>
    </row>
    <row r="154" spans="1:8" ht="18" customHeight="1" x14ac:dyDescent="0.55000000000000004">
      <c r="A154" s="183" t="s">
        <v>339</v>
      </c>
      <c r="B154" s="179" t="s">
        <v>340</v>
      </c>
      <c r="D154" s="242">
        <f>H152/E121</f>
        <v>0.10838233207541627</v>
      </c>
    </row>
    <row r="155" spans="1:8" ht="18" customHeight="1" x14ac:dyDescent="0.55000000000000004">
      <c r="A155" s="183" t="s">
        <v>341</v>
      </c>
      <c r="B155" s="179" t="s">
        <v>342</v>
      </c>
      <c r="D155" s="242">
        <f>H152/E127</f>
        <v>0.55528521409505416</v>
      </c>
    </row>
  </sheetData>
  <mergeCells count="2">
    <mergeCell ref="C2:D2"/>
    <mergeCell ref="B13:D13"/>
  </mergeCells>
  <hyperlinks>
    <hyperlink ref="C11" r:id="rId1" xr:uid="{343FDB8F-485D-4FCC-89B2-B0D8870E193A}"/>
  </hyperlinks>
  <pageMargins left="0.7" right="0.7" top="0.75" bottom="0.75" header="0.3" footer="0.3"/>
  <pageSetup orientation="portrait" horizontalDpi="1200" verticalDpi="1200"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0D26A-8002-4268-B150-BB55450A0F6C}">
  <sheetPr codeName="Sheet46"/>
  <dimension ref="A1:J155"/>
  <sheetViews>
    <sheetView zoomScaleNormal="100" workbookViewId="0"/>
  </sheetViews>
  <sheetFormatPr defaultColWidth="9" defaultRowHeight="14.4" x14ac:dyDescent="0.55000000000000004"/>
  <cols>
    <col min="1" max="1" width="8.26171875" style="175" customWidth="1"/>
    <col min="2" max="2" width="63.26171875" style="176" customWidth="1"/>
    <col min="3" max="3" width="10.15625" style="176" customWidth="1"/>
    <col min="4" max="4" width="17.83984375" style="176" customWidth="1"/>
    <col min="5" max="6" width="21.15625" style="176" customWidth="1"/>
    <col min="7" max="7" width="19.83984375" style="176" customWidth="1"/>
    <col min="8" max="8" width="17.578125" style="176" customWidth="1"/>
    <col min="9" max="9" width="17.41796875" customWidth="1"/>
    <col min="10" max="10" width="15.26171875" style="176" bestFit="1" customWidth="1"/>
    <col min="11"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497" t="s">
        <v>602</v>
      </c>
      <c r="D5" s="497"/>
      <c r="E5" s="497"/>
      <c r="F5" s="208"/>
    </row>
    <row r="6" spans="1:8" ht="18" customHeight="1" x14ac:dyDescent="0.55000000000000004">
      <c r="B6" s="180" t="s">
        <v>237</v>
      </c>
      <c r="C6" s="244">
        <v>210049</v>
      </c>
      <c r="D6" s="244"/>
      <c r="E6" s="244"/>
      <c r="F6" s="209"/>
    </row>
    <row r="7" spans="1:8" ht="18" customHeight="1" x14ac:dyDescent="0.55000000000000004">
      <c r="B7" s="180" t="s">
        <v>238</v>
      </c>
      <c r="C7" s="246">
        <f>2444</f>
        <v>2444</v>
      </c>
      <c r="D7" s="246"/>
      <c r="E7" s="246"/>
      <c r="F7" s="210"/>
    </row>
    <row r="8" spans="1:8" ht="18" customHeight="1" x14ac:dyDescent="0.55000000000000004">
      <c r="C8" s="211"/>
      <c r="D8" s="211"/>
      <c r="E8" s="211"/>
      <c r="F8" s="212"/>
    </row>
    <row r="9" spans="1:8" ht="18" customHeight="1" x14ac:dyDescent="0.55000000000000004">
      <c r="B9" s="180" t="s">
        <v>239</v>
      </c>
      <c r="C9" s="247" t="s">
        <v>360</v>
      </c>
      <c r="D9" s="247"/>
      <c r="E9" s="247"/>
      <c r="F9" s="208"/>
    </row>
    <row r="10" spans="1:8" ht="18" customHeight="1" x14ac:dyDescent="0.55000000000000004">
      <c r="B10" s="180" t="s">
        <v>241</v>
      </c>
      <c r="C10" s="248" t="s">
        <v>452</v>
      </c>
      <c r="D10" s="248"/>
      <c r="E10" s="248"/>
      <c r="F10" s="213"/>
    </row>
    <row r="11" spans="1:8" ht="18" customHeight="1" x14ac:dyDescent="0.7">
      <c r="B11" s="180" t="s">
        <v>243</v>
      </c>
      <c r="C11" s="259" t="s">
        <v>453</v>
      </c>
      <c r="D11" s="247"/>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9" ht="18" customHeight="1" x14ac:dyDescent="0.55000000000000004">
      <c r="A17" s="183" t="s">
        <v>101</v>
      </c>
      <c r="B17" s="179" t="s">
        <v>102</v>
      </c>
    </row>
    <row r="18" spans="1:9" ht="18" customHeight="1" x14ac:dyDescent="0.55000000000000004">
      <c r="A18" s="180" t="s">
        <v>103</v>
      </c>
      <c r="B18" s="176" t="s">
        <v>104</v>
      </c>
      <c r="D18" s="214">
        <v>5996991.9096732885</v>
      </c>
      <c r="E18" s="214"/>
      <c r="F18" s="214"/>
      <c r="G18" s="214">
        <v>4970127.9077339359</v>
      </c>
      <c r="H18" s="249">
        <f>(D18+E18)-G18</f>
        <v>1026864.0019393526</v>
      </c>
    </row>
    <row r="19" spans="1:9" ht="45" customHeight="1" x14ac:dyDescent="0.55000000000000004">
      <c r="A19" s="178" t="s">
        <v>105</v>
      </c>
      <c r="B19" s="177"/>
      <c r="C19" s="177"/>
      <c r="D19" s="182" t="s">
        <v>99</v>
      </c>
      <c r="E19" s="182" t="s">
        <v>100</v>
      </c>
      <c r="F19" s="182" t="s">
        <v>431</v>
      </c>
      <c r="G19" s="182" t="s">
        <v>432</v>
      </c>
      <c r="H19" s="182" t="s">
        <v>244</v>
      </c>
    </row>
    <row r="20" spans="1:9" ht="18" customHeight="1" x14ac:dyDescent="0.55000000000000004">
      <c r="A20" s="183" t="s">
        <v>108</v>
      </c>
      <c r="B20" s="179" t="s">
        <v>109</v>
      </c>
    </row>
    <row r="21" spans="1:9" ht="18" customHeight="1" x14ac:dyDescent="0.55000000000000004">
      <c r="A21" s="180" t="s">
        <v>110</v>
      </c>
      <c r="B21" s="176" t="s">
        <v>111</v>
      </c>
      <c r="D21" s="184">
        <v>113397.2</v>
      </c>
      <c r="E21" s="260">
        <f>D21*$G$114</f>
        <v>9071.7759999999998</v>
      </c>
      <c r="F21" s="216"/>
      <c r="G21" s="184">
        <v>0</v>
      </c>
      <c r="H21" s="217">
        <f>(D21+E21)-F21-G21</f>
        <v>122468.976</v>
      </c>
    </row>
    <row r="22" spans="1:9" ht="18" customHeight="1" x14ac:dyDescent="0.55000000000000004">
      <c r="A22" s="180" t="s">
        <v>112</v>
      </c>
      <c r="B22" s="176" t="s">
        <v>113</v>
      </c>
      <c r="D22" s="184">
        <v>2286.1999999999998</v>
      </c>
      <c r="E22" s="260">
        <f t="shared" ref="E22:E29" si="0">D22*$G$114</f>
        <v>182.89599999999999</v>
      </c>
      <c r="F22" s="216"/>
      <c r="G22" s="184">
        <v>0</v>
      </c>
      <c r="H22" s="217">
        <f t="shared" ref="H22:H34" si="1">(D22+E22)-F22-G22</f>
        <v>2469.096</v>
      </c>
    </row>
    <row r="23" spans="1:9" ht="18" customHeight="1" x14ac:dyDescent="0.55000000000000004">
      <c r="A23" s="180" t="s">
        <v>114</v>
      </c>
      <c r="B23" s="176" t="s">
        <v>115</v>
      </c>
      <c r="D23" s="184">
        <v>4050.2</v>
      </c>
      <c r="E23" s="260">
        <f t="shared" si="0"/>
        <v>324.01600000000002</v>
      </c>
      <c r="F23" s="216"/>
      <c r="G23" s="184">
        <v>0</v>
      </c>
      <c r="H23" s="217">
        <f t="shared" si="1"/>
        <v>4374.2159999999994</v>
      </c>
    </row>
    <row r="24" spans="1:9" ht="18" customHeight="1" x14ac:dyDescent="0.55000000000000004">
      <c r="A24" s="180" t="s">
        <v>116</v>
      </c>
      <c r="B24" s="176" t="s">
        <v>117</v>
      </c>
      <c r="D24" s="184">
        <v>1594696.6</v>
      </c>
      <c r="E24" s="260">
        <f t="shared" si="0"/>
        <v>127575.72800000002</v>
      </c>
      <c r="F24" s="216"/>
      <c r="G24" s="184">
        <v>566366.5</v>
      </c>
      <c r="H24" s="217">
        <f t="shared" si="1"/>
        <v>1155905.8280000002</v>
      </c>
    </row>
    <row r="25" spans="1:9" ht="18" customHeight="1" x14ac:dyDescent="0.55000000000000004">
      <c r="A25" s="180" t="s">
        <v>118</v>
      </c>
      <c r="B25" s="176" t="s">
        <v>119</v>
      </c>
      <c r="D25" s="184">
        <v>358670.2</v>
      </c>
      <c r="E25" s="260">
        <f t="shared" si="0"/>
        <v>28693.616000000002</v>
      </c>
      <c r="F25" s="216"/>
      <c r="G25" s="184">
        <v>309501</v>
      </c>
      <c r="H25" s="217">
        <f t="shared" si="1"/>
        <v>77862.815999999992</v>
      </c>
    </row>
    <row r="26" spans="1:9" ht="18" customHeight="1" x14ac:dyDescent="0.55000000000000004">
      <c r="A26" s="180" t="s">
        <v>120</v>
      </c>
      <c r="B26" s="176" t="s">
        <v>121</v>
      </c>
      <c r="D26" s="184"/>
      <c r="E26" s="260">
        <f t="shared" si="0"/>
        <v>0</v>
      </c>
      <c r="F26" s="216"/>
      <c r="G26" s="184"/>
      <c r="H26" s="217">
        <f t="shared" si="1"/>
        <v>0</v>
      </c>
    </row>
    <row r="27" spans="1:9" ht="18" customHeight="1" x14ac:dyDescent="0.55000000000000004">
      <c r="A27" s="180" t="s">
        <v>122</v>
      </c>
      <c r="B27" s="176" t="s">
        <v>246</v>
      </c>
      <c r="D27" s="184">
        <v>3654</v>
      </c>
      <c r="E27" s="260">
        <f t="shared" si="0"/>
        <v>292.32</v>
      </c>
      <c r="F27" s="216"/>
      <c r="G27" s="184">
        <v>0</v>
      </c>
      <c r="H27" s="217">
        <f t="shared" si="1"/>
        <v>3946.32</v>
      </c>
    </row>
    <row r="28" spans="1:9" ht="18" customHeight="1" x14ac:dyDescent="0.55000000000000004">
      <c r="A28" s="180" t="s">
        <v>124</v>
      </c>
      <c r="B28" s="176" t="s">
        <v>125</v>
      </c>
      <c r="D28" s="184">
        <v>37690.1</v>
      </c>
      <c r="E28" s="260">
        <f t="shared" si="0"/>
        <v>3015.2080000000001</v>
      </c>
      <c r="F28" s="216"/>
      <c r="G28" s="184">
        <v>15726</v>
      </c>
      <c r="H28" s="217">
        <f t="shared" si="1"/>
        <v>24979.307999999997</v>
      </c>
    </row>
    <row r="29" spans="1:9" ht="18" customHeight="1" x14ac:dyDescent="0.55000000000000004">
      <c r="A29" s="180" t="s">
        <v>126</v>
      </c>
      <c r="B29" s="176" t="s">
        <v>127</v>
      </c>
      <c r="D29" s="184">
        <v>338084.6</v>
      </c>
      <c r="E29" s="260">
        <f t="shared" si="0"/>
        <v>27046.768</v>
      </c>
      <c r="F29" s="216"/>
      <c r="G29" s="184">
        <v>44</v>
      </c>
      <c r="H29" s="217">
        <f t="shared" si="1"/>
        <v>365087.36799999996</v>
      </c>
    </row>
    <row r="30" spans="1:9" ht="18" customHeight="1" x14ac:dyDescent="0.45">
      <c r="A30" s="180" t="s">
        <v>128</v>
      </c>
      <c r="B30" s="185"/>
      <c r="D30" s="184"/>
      <c r="E30" s="260">
        <f>D30*$E$114</f>
        <v>0</v>
      </c>
      <c r="F30" s="216"/>
      <c r="G30" s="184"/>
      <c r="H30" s="217">
        <f t="shared" si="1"/>
        <v>0</v>
      </c>
      <c r="I30" s="261"/>
    </row>
    <row r="31" spans="1:9" ht="18" customHeight="1" x14ac:dyDescent="0.55000000000000004">
      <c r="A31" s="180" t="s">
        <v>130</v>
      </c>
      <c r="B31" s="185"/>
      <c r="D31" s="184"/>
      <c r="E31" s="260">
        <f>D31*$E$114</f>
        <v>0</v>
      </c>
      <c r="F31" s="216"/>
      <c r="G31" s="184"/>
      <c r="H31" s="217">
        <f t="shared" si="1"/>
        <v>0</v>
      </c>
    </row>
    <row r="32" spans="1:9" ht="18" customHeight="1" x14ac:dyDescent="0.55000000000000004">
      <c r="A32" s="180" t="s">
        <v>131</v>
      </c>
      <c r="B32" s="185"/>
      <c r="D32" s="184"/>
      <c r="E32" s="260">
        <f>D32*$E$114</f>
        <v>0</v>
      </c>
      <c r="F32" s="216"/>
      <c r="G32" s="184"/>
      <c r="H32" s="217">
        <f t="shared" si="1"/>
        <v>0</v>
      </c>
    </row>
    <row r="33" spans="1:8" ht="18" customHeight="1" x14ac:dyDescent="0.55000000000000004">
      <c r="A33" s="180" t="s">
        <v>132</v>
      </c>
      <c r="B33" s="185"/>
      <c r="D33" s="184"/>
      <c r="E33" s="260">
        <f>D33*$E$114</f>
        <v>0</v>
      </c>
      <c r="F33" s="216"/>
      <c r="G33" s="184"/>
      <c r="H33" s="217">
        <f t="shared" si="1"/>
        <v>0</v>
      </c>
    </row>
    <row r="34" spans="1:8" ht="18" customHeight="1" x14ac:dyDescent="0.55000000000000004">
      <c r="A34" s="180" t="s">
        <v>133</v>
      </c>
      <c r="B34" s="185"/>
      <c r="D34" s="184"/>
      <c r="E34" s="260">
        <f>D34*$E$114</f>
        <v>0</v>
      </c>
      <c r="F34" s="216"/>
      <c r="G34" s="184"/>
      <c r="H34" s="217">
        <f t="shared" si="1"/>
        <v>0</v>
      </c>
    </row>
    <row r="35" spans="1:8" ht="18" customHeight="1" x14ac:dyDescent="0.55000000000000004">
      <c r="H35" s="186"/>
    </row>
    <row r="36" spans="1:8" ht="18" customHeight="1" x14ac:dyDescent="0.55000000000000004">
      <c r="A36" s="183" t="s">
        <v>134</v>
      </c>
      <c r="B36" s="179" t="s">
        <v>135</v>
      </c>
      <c r="C36" s="179" t="s">
        <v>248</v>
      </c>
      <c r="D36" s="217">
        <f>SUM(D21:D34)</f>
        <v>2452529.1</v>
      </c>
      <c r="E36" s="217">
        <f>SUM(E21:E34)</f>
        <v>196202.32800000007</v>
      </c>
      <c r="F36" s="217">
        <f>SUM(F21:F34)</f>
        <v>0</v>
      </c>
      <c r="G36" s="217">
        <f>SUM(G21:G34)</f>
        <v>891637.5</v>
      </c>
      <c r="H36" s="217">
        <f>SUM(H21:H34)</f>
        <v>1757093.9280000001</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f t="shared" ref="E40:E47" si="2">D40*$E$114</f>
        <v>0</v>
      </c>
      <c r="F40" s="216"/>
      <c r="G40" s="184"/>
      <c r="H40" s="217">
        <f>(D40+E40)-F40-G40</f>
        <v>0</v>
      </c>
    </row>
    <row r="41" spans="1:8" ht="18" customHeight="1" x14ac:dyDescent="0.55000000000000004">
      <c r="A41" s="180" t="s">
        <v>251</v>
      </c>
      <c r="B41" s="176" t="s">
        <v>141</v>
      </c>
      <c r="D41" s="184"/>
      <c r="E41" s="216">
        <f t="shared" si="2"/>
        <v>0</v>
      </c>
      <c r="F41" s="216"/>
      <c r="G41" s="184"/>
      <c r="H41" s="217">
        <f t="shared" ref="H41:H47" si="3">(D41+E41)-F41-G41</f>
        <v>0</v>
      </c>
    </row>
    <row r="42" spans="1:8" ht="18" customHeight="1" x14ac:dyDescent="0.55000000000000004">
      <c r="A42" s="180" t="s">
        <v>252</v>
      </c>
      <c r="B42" s="176" t="s">
        <v>143</v>
      </c>
      <c r="D42" s="184">
        <v>814589.3</v>
      </c>
      <c r="E42" s="216">
        <f t="shared" si="2"/>
        <v>441267.06327609182</v>
      </c>
      <c r="F42" s="216"/>
      <c r="G42" s="184"/>
      <c r="H42" s="217">
        <f t="shared" si="3"/>
        <v>1255856.3632760919</v>
      </c>
    </row>
    <row r="43" spans="1:8" ht="18" customHeight="1" x14ac:dyDescent="0.55000000000000004">
      <c r="A43" s="180" t="s">
        <v>253</v>
      </c>
      <c r="B43" s="176" t="s">
        <v>145</v>
      </c>
      <c r="D43" s="184"/>
      <c r="E43" s="216">
        <f t="shared" si="2"/>
        <v>0</v>
      </c>
      <c r="F43" s="216"/>
      <c r="G43" s="184"/>
      <c r="H43" s="217">
        <f t="shared" si="3"/>
        <v>0</v>
      </c>
    </row>
    <row r="44" spans="1:8" ht="18" customHeight="1" x14ac:dyDescent="0.55000000000000004">
      <c r="A44" s="180" t="s">
        <v>146</v>
      </c>
      <c r="B44" s="185"/>
      <c r="D44" s="219"/>
      <c r="E44" s="216">
        <f t="shared" si="2"/>
        <v>0</v>
      </c>
      <c r="F44" s="220"/>
      <c r="G44" s="219"/>
      <c r="H44" s="217">
        <f t="shared" si="3"/>
        <v>0</v>
      </c>
    </row>
    <row r="45" spans="1:8" ht="18" customHeight="1" x14ac:dyDescent="0.55000000000000004">
      <c r="A45" s="180" t="s">
        <v>147</v>
      </c>
      <c r="B45" s="185"/>
      <c r="D45" s="184"/>
      <c r="E45" s="216">
        <f t="shared" si="2"/>
        <v>0</v>
      </c>
      <c r="F45" s="216"/>
      <c r="G45" s="184"/>
      <c r="H45" s="217">
        <f t="shared" si="3"/>
        <v>0</v>
      </c>
    </row>
    <row r="46" spans="1:8" ht="18" customHeight="1" x14ac:dyDescent="0.55000000000000004">
      <c r="A46" s="180" t="s">
        <v>148</v>
      </c>
      <c r="B46" s="185"/>
      <c r="D46" s="184"/>
      <c r="E46" s="216">
        <f t="shared" si="2"/>
        <v>0</v>
      </c>
      <c r="F46" s="216"/>
      <c r="G46" s="184"/>
      <c r="H46" s="217">
        <f t="shared" si="3"/>
        <v>0</v>
      </c>
    </row>
    <row r="47" spans="1:8" ht="18" customHeight="1" x14ac:dyDescent="0.55000000000000004">
      <c r="A47" s="180" t="s">
        <v>149</v>
      </c>
      <c r="B47" s="185"/>
      <c r="D47" s="184"/>
      <c r="E47" s="216">
        <f t="shared" si="2"/>
        <v>0</v>
      </c>
      <c r="F47" s="216"/>
      <c r="G47" s="184"/>
      <c r="H47" s="217">
        <f t="shared" si="3"/>
        <v>0</v>
      </c>
    </row>
    <row r="49" spans="1:8" ht="18" customHeight="1" x14ac:dyDescent="0.55000000000000004">
      <c r="A49" s="183" t="s">
        <v>150</v>
      </c>
      <c r="B49" s="179" t="s">
        <v>254</v>
      </c>
      <c r="C49" s="179" t="s">
        <v>248</v>
      </c>
      <c r="D49" s="217">
        <f>SUM(D40:D47)</f>
        <v>814589.3</v>
      </c>
      <c r="E49" s="217">
        <f>SUM(E40:E47)</f>
        <v>441267.06327609182</v>
      </c>
      <c r="F49" s="217">
        <f>SUM(F40:F47)</f>
        <v>0</v>
      </c>
      <c r="G49" s="217">
        <f>SUM(G40:G47)</f>
        <v>0</v>
      </c>
      <c r="H49" s="217">
        <f>SUM(H40:H47)</f>
        <v>1255856.3632760919</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22"/>
      <c r="E53" s="222"/>
      <c r="F53" s="222"/>
      <c r="G53" s="222"/>
      <c r="H53" s="217">
        <f>(D53+E53)-F53-G53</f>
        <v>0</v>
      </c>
    </row>
    <row r="54" spans="1:8" ht="18" customHeight="1" x14ac:dyDescent="0.55000000000000004">
      <c r="A54" s="180" t="s">
        <v>259</v>
      </c>
      <c r="B54" s="193" t="s">
        <v>603</v>
      </c>
      <c r="D54" s="184">
        <f>1716702+508000</f>
        <v>2224702</v>
      </c>
      <c r="E54" s="216"/>
      <c r="F54" s="216"/>
      <c r="G54" s="184"/>
      <c r="H54" s="217">
        <f t="shared" ref="H54:H62" si="4">(D54+E54)-F54-G54</f>
        <v>2224702</v>
      </c>
    </row>
    <row r="55" spans="1:8" ht="18" customHeight="1" x14ac:dyDescent="0.55000000000000004">
      <c r="A55" s="180" t="s">
        <v>260</v>
      </c>
      <c r="B55" s="194" t="s">
        <v>604</v>
      </c>
      <c r="D55" s="184">
        <f>3019549</f>
        <v>3019549</v>
      </c>
      <c r="E55" s="216"/>
      <c r="F55" s="216"/>
      <c r="G55" s="184"/>
      <c r="H55" s="217">
        <f t="shared" si="4"/>
        <v>3019549</v>
      </c>
    </row>
    <row r="56" spans="1:8" ht="18" customHeight="1" x14ac:dyDescent="0.55000000000000004">
      <c r="A56" s="180" t="s">
        <v>261</v>
      </c>
      <c r="B56" s="193"/>
      <c r="D56" s="184"/>
      <c r="E56" s="216"/>
      <c r="F56" s="216"/>
      <c r="G56" s="184"/>
      <c r="H56" s="217">
        <f t="shared" si="4"/>
        <v>0</v>
      </c>
    </row>
    <row r="57" spans="1:8" ht="18" customHeight="1" x14ac:dyDescent="0.55000000000000004">
      <c r="A57" s="180" t="s">
        <v>263</v>
      </c>
      <c r="B57" s="193"/>
      <c r="D57" s="184"/>
      <c r="E57" s="216"/>
      <c r="F57" s="216"/>
      <c r="G57" s="184"/>
      <c r="H57" s="217">
        <f t="shared" si="4"/>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4"/>
        <v>0</v>
      </c>
    </row>
    <row r="60" spans="1:8" ht="18" customHeight="1" x14ac:dyDescent="0.55000000000000004">
      <c r="A60" s="180" t="s">
        <v>266</v>
      </c>
      <c r="B60" s="226" t="s">
        <v>605</v>
      </c>
      <c r="C60" s="212"/>
      <c r="D60" s="184">
        <v>3020938</v>
      </c>
      <c r="E60" s="222"/>
      <c r="F60" s="222"/>
      <c r="G60" s="184">
        <v>2439898</v>
      </c>
      <c r="H60" s="217">
        <f t="shared" si="4"/>
        <v>581040</v>
      </c>
    </row>
    <row r="61" spans="1:8" ht="18" customHeight="1" x14ac:dyDescent="0.55000000000000004">
      <c r="A61" s="180" t="s">
        <v>267</v>
      </c>
      <c r="B61" s="226"/>
      <c r="C61" s="212"/>
      <c r="D61" s="222"/>
      <c r="E61" s="222"/>
      <c r="F61" s="222"/>
      <c r="G61" s="222"/>
      <c r="H61" s="217">
        <f t="shared" si="4"/>
        <v>0</v>
      </c>
    </row>
    <row r="62" spans="1:8" ht="18" customHeight="1" x14ac:dyDescent="0.55000000000000004">
      <c r="A62" s="180" t="s">
        <v>268</v>
      </c>
      <c r="B62" s="226"/>
      <c r="C62" s="212"/>
      <c r="D62" s="222"/>
      <c r="E62" s="222"/>
      <c r="F62" s="222"/>
      <c r="G62" s="222"/>
      <c r="H62" s="217">
        <f t="shared" si="4"/>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8265189</v>
      </c>
      <c r="E64" s="217">
        <f>SUM(E53:E62)</f>
        <v>0</v>
      </c>
      <c r="F64" s="217">
        <f>SUM(F53:F62)</f>
        <v>0</v>
      </c>
      <c r="G64" s="217">
        <f>SUM(G53:G62)</f>
        <v>2439898</v>
      </c>
      <c r="H64" s="217">
        <f>SUM(H53:H62)</f>
        <v>5825291</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184">
        <v>630929.6</v>
      </c>
      <c r="E68" s="216">
        <f>D68*$E$114</f>
        <v>341777.69303618313</v>
      </c>
      <c r="F68" s="216"/>
      <c r="G68" s="228"/>
      <c r="H68" s="217">
        <f>(D68+E68)-F68-G68</f>
        <v>972707.29303618311</v>
      </c>
      <c r="J68" s="254"/>
    </row>
    <row r="69" spans="1:10" ht="18" customHeight="1" x14ac:dyDescent="0.55000000000000004">
      <c r="A69" s="180" t="s">
        <v>273</v>
      </c>
      <c r="B69" s="176" t="s">
        <v>159</v>
      </c>
      <c r="D69" s="228"/>
      <c r="E69" s="216">
        <f>D69*$E$114</f>
        <v>0</v>
      </c>
      <c r="F69" s="216"/>
      <c r="G69" s="228"/>
      <c r="H69" s="217">
        <f>(D69+E69)-F69-G69</f>
        <v>0</v>
      </c>
    </row>
    <row r="70" spans="1:10" ht="18" customHeight="1" x14ac:dyDescent="0.55000000000000004">
      <c r="A70" s="180" t="s">
        <v>274</v>
      </c>
      <c r="B70" s="193"/>
      <c r="C70" s="179"/>
      <c r="D70" s="224"/>
      <c r="E70" s="216">
        <f>D70*$E$114</f>
        <v>0</v>
      </c>
      <c r="F70" s="225"/>
      <c r="G70" s="224"/>
      <c r="H70" s="217">
        <f>(D70+E70)-F70-G70</f>
        <v>0</v>
      </c>
    </row>
    <row r="71" spans="1:10" ht="18" customHeight="1" x14ac:dyDescent="0.55000000000000004">
      <c r="A71" s="180" t="s">
        <v>275</v>
      </c>
      <c r="B71" s="193"/>
      <c r="C71" s="179"/>
      <c r="D71" s="224"/>
      <c r="E71" s="216">
        <f>D71*$E$114</f>
        <v>0</v>
      </c>
      <c r="F71" s="225"/>
      <c r="G71" s="224"/>
      <c r="H71" s="217">
        <f>(D71+E71)-F71-G71</f>
        <v>0</v>
      </c>
    </row>
    <row r="72" spans="1:10" ht="18" customHeight="1" x14ac:dyDescent="0.55000000000000004">
      <c r="A72" s="180" t="s">
        <v>276</v>
      </c>
      <c r="B72" s="194"/>
      <c r="C72" s="179"/>
      <c r="D72" s="184"/>
      <c r="E72" s="216">
        <f>D72*$E$114</f>
        <v>0</v>
      </c>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630929.6</v>
      </c>
      <c r="E74" s="229">
        <f>SUM(E68:E72)</f>
        <v>341777.69303618313</v>
      </c>
      <c r="F74" s="229">
        <f>SUM(F68:F72)</f>
        <v>0</v>
      </c>
      <c r="G74" s="217">
        <f>SUM(G68:G72)</f>
        <v>0</v>
      </c>
      <c r="H74" s="217">
        <f>SUM(H68:H72)</f>
        <v>972707.29303618311</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184">
        <v>18215.400000000001</v>
      </c>
      <c r="E78" s="230"/>
      <c r="F78" s="220"/>
      <c r="G78" s="184">
        <v>17306</v>
      </c>
      <c r="H78" s="217">
        <f>(D78-F78-G78)</f>
        <v>909.40000000000146</v>
      </c>
    </row>
    <row r="79" spans="1:10" ht="18" customHeight="1" x14ac:dyDescent="0.55000000000000004">
      <c r="A79" s="180" t="s">
        <v>282</v>
      </c>
      <c r="B79" s="176" t="s">
        <v>168</v>
      </c>
      <c r="D79" s="184">
        <v>49621.599999999999</v>
      </c>
      <c r="E79" s="230"/>
      <c r="F79" s="220"/>
      <c r="G79" s="184"/>
      <c r="H79" s="217">
        <f>(D79-F79-G79)</f>
        <v>49621.599999999999</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67837</v>
      </c>
      <c r="E82" s="231"/>
      <c r="F82" s="217">
        <f>SUM(F77:F80)</f>
        <v>0</v>
      </c>
      <c r="G82" s="217">
        <f>SUM(G77:G80)</f>
        <v>17306</v>
      </c>
      <c r="H82" s="217">
        <f>SUM(H77:H80)</f>
        <v>50531</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60">
        <f>D86*$G$114</f>
        <v>0</v>
      </c>
      <c r="F86" s="216"/>
      <c r="G86" s="184"/>
      <c r="H86" s="217">
        <f>(D86+E86)-F86-G86</f>
        <v>0</v>
      </c>
    </row>
    <row r="87" spans="1:8" ht="18" customHeight="1" x14ac:dyDescent="0.55000000000000004">
      <c r="A87" s="180" t="s">
        <v>287</v>
      </c>
      <c r="B87" s="176" t="s">
        <v>177</v>
      </c>
      <c r="D87" s="184">
        <v>48.3</v>
      </c>
      <c r="E87" s="260">
        <f t="shared" ref="E87:E93" si="5">D87*$G$114</f>
        <v>3.8639999999999999</v>
      </c>
      <c r="F87" s="216"/>
      <c r="G87" s="184"/>
      <c r="H87" s="217">
        <f t="shared" ref="H87:H96" si="6">(D87+E87)-F87-G87</f>
        <v>52.163999999999994</v>
      </c>
    </row>
    <row r="88" spans="1:8" ht="18" customHeight="1" x14ac:dyDescent="0.55000000000000004">
      <c r="A88" s="180" t="s">
        <v>288</v>
      </c>
      <c r="B88" s="176" t="s">
        <v>289</v>
      </c>
      <c r="D88" s="184">
        <v>322.7</v>
      </c>
      <c r="E88" s="260">
        <f t="shared" si="5"/>
        <v>25.815999999999999</v>
      </c>
      <c r="F88" s="216"/>
      <c r="G88" s="184"/>
      <c r="H88" s="217">
        <f t="shared" si="6"/>
        <v>348.51599999999996</v>
      </c>
    </row>
    <row r="89" spans="1:8" ht="18" customHeight="1" x14ac:dyDescent="0.55000000000000004">
      <c r="A89" s="180" t="s">
        <v>290</v>
      </c>
      <c r="B89" s="176" t="s">
        <v>181</v>
      </c>
      <c r="D89" s="184"/>
      <c r="E89" s="260">
        <f t="shared" si="5"/>
        <v>0</v>
      </c>
      <c r="F89" s="216"/>
      <c r="G89" s="184"/>
      <c r="H89" s="217">
        <f t="shared" si="6"/>
        <v>0</v>
      </c>
    </row>
    <row r="90" spans="1:8" ht="18" customHeight="1" x14ac:dyDescent="0.55000000000000004">
      <c r="A90" s="180" t="s">
        <v>291</v>
      </c>
      <c r="B90" s="176" t="s">
        <v>183</v>
      </c>
      <c r="D90" s="184"/>
      <c r="E90" s="260">
        <f t="shared" si="5"/>
        <v>0</v>
      </c>
      <c r="F90" s="216"/>
      <c r="G90" s="184"/>
      <c r="H90" s="217">
        <f t="shared" si="6"/>
        <v>0</v>
      </c>
    </row>
    <row r="91" spans="1:8" ht="18" customHeight="1" x14ac:dyDescent="0.55000000000000004">
      <c r="A91" s="180" t="s">
        <v>292</v>
      </c>
      <c r="B91" s="176" t="s">
        <v>185</v>
      </c>
      <c r="D91" s="184">
        <v>54245.1</v>
      </c>
      <c r="E91" s="260">
        <f t="shared" si="5"/>
        <v>4339.6080000000002</v>
      </c>
      <c r="F91" s="216"/>
      <c r="G91" s="184"/>
      <c r="H91" s="217">
        <f t="shared" si="6"/>
        <v>58584.707999999999</v>
      </c>
    </row>
    <row r="92" spans="1:8" ht="18" customHeight="1" x14ac:dyDescent="0.55000000000000004">
      <c r="A92" s="180" t="s">
        <v>293</v>
      </c>
      <c r="B92" s="176" t="s">
        <v>294</v>
      </c>
      <c r="D92" s="233"/>
      <c r="E92" s="260">
        <f t="shared" si="5"/>
        <v>0</v>
      </c>
      <c r="F92" s="234"/>
      <c r="G92" s="233"/>
      <c r="H92" s="217">
        <f t="shared" si="6"/>
        <v>0</v>
      </c>
    </row>
    <row r="93" spans="1:8" ht="18" customHeight="1" x14ac:dyDescent="0.55000000000000004">
      <c r="A93" s="180" t="s">
        <v>295</v>
      </c>
      <c r="B93" s="176" t="s">
        <v>296</v>
      </c>
      <c r="D93" s="184"/>
      <c r="E93" s="260">
        <f t="shared" si="5"/>
        <v>0</v>
      </c>
      <c r="F93" s="216"/>
      <c r="G93" s="184"/>
      <c r="H93" s="217">
        <f t="shared" si="6"/>
        <v>0</v>
      </c>
    </row>
    <row r="94" spans="1:8" ht="18" customHeight="1" x14ac:dyDescent="0.55000000000000004">
      <c r="A94" s="180" t="s">
        <v>297</v>
      </c>
      <c r="B94" s="193"/>
      <c r="D94" s="184"/>
      <c r="E94" s="260"/>
      <c r="F94" s="216"/>
      <c r="G94" s="184"/>
      <c r="H94" s="217">
        <f t="shared" si="6"/>
        <v>0</v>
      </c>
    </row>
    <row r="95" spans="1:8" ht="18" customHeight="1" x14ac:dyDescent="0.55000000000000004">
      <c r="A95" s="180" t="s">
        <v>298</v>
      </c>
      <c r="B95" s="193"/>
      <c r="D95" s="184"/>
      <c r="E95" s="260"/>
      <c r="F95" s="216"/>
      <c r="G95" s="184"/>
      <c r="H95" s="217">
        <f t="shared" si="6"/>
        <v>0</v>
      </c>
    </row>
    <row r="96" spans="1:8" ht="18" customHeight="1" x14ac:dyDescent="0.55000000000000004">
      <c r="A96" s="180" t="s">
        <v>299</v>
      </c>
      <c r="B96" s="193"/>
      <c r="D96" s="184"/>
      <c r="E96" s="260"/>
      <c r="F96" s="216"/>
      <c r="G96" s="184"/>
      <c r="H96" s="217">
        <f t="shared" si="6"/>
        <v>0</v>
      </c>
    </row>
    <row r="97" spans="1:8" ht="18" customHeight="1" x14ac:dyDescent="0.55000000000000004">
      <c r="A97" s="180"/>
    </row>
    <row r="98" spans="1:8" ht="18" customHeight="1" x14ac:dyDescent="0.55000000000000004">
      <c r="A98" s="183" t="s">
        <v>193</v>
      </c>
      <c r="B98" s="179" t="s">
        <v>300</v>
      </c>
      <c r="C98" s="179" t="s">
        <v>248</v>
      </c>
      <c r="D98" s="217">
        <f>SUM(D86:D96)</f>
        <v>54616.1</v>
      </c>
      <c r="E98" s="217">
        <f>SUM(E86:E96)</f>
        <v>4369.2880000000005</v>
      </c>
      <c r="F98" s="217">
        <f>SUM(F86:F96)</f>
        <v>0</v>
      </c>
      <c r="G98" s="217">
        <f>SUM(G86:G96)</f>
        <v>0</v>
      </c>
      <c r="H98" s="217">
        <f>SUM(H86:H96)</f>
        <v>58985.387999999999</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108171.7</v>
      </c>
      <c r="E102" s="216">
        <f>D102*$E$114</f>
        <v>58597.146302538495</v>
      </c>
      <c r="F102" s="216"/>
      <c r="G102" s="184">
        <v>22225</v>
      </c>
      <c r="H102" s="217">
        <f>(D102+E102)-F102-G102</f>
        <v>144543.8463025385</v>
      </c>
    </row>
    <row r="103" spans="1:8" ht="18" customHeight="1" x14ac:dyDescent="0.55000000000000004">
      <c r="A103" s="180" t="s">
        <v>304</v>
      </c>
      <c r="B103" s="176" t="s">
        <v>199</v>
      </c>
      <c r="D103" s="184">
        <v>1285.9000000000001</v>
      </c>
      <c r="E103" s="216">
        <f>D103*$E$114</f>
        <v>696.5784066482662</v>
      </c>
      <c r="F103" s="216"/>
      <c r="G103" s="184"/>
      <c r="H103" s="217">
        <f>(D103+E103)-F103-G103</f>
        <v>1982.4784066482662</v>
      </c>
    </row>
    <row r="104" spans="1:8" ht="18" customHeight="1" x14ac:dyDescent="0.55000000000000004">
      <c r="A104" s="180" t="s">
        <v>305</v>
      </c>
      <c r="B104" s="193"/>
      <c r="D104" s="184"/>
      <c r="E104" s="216">
        <f>D104*$E$114</f>
        <v>0</v>
      </c>
      <c r="F104" s="216"/>
      <c r="G104" s="184"/>
      <c r="H104" s="217">
        <f>(D104+E104)-F104-G104</f>
        <v>0</v>
      </c>
    </row>
    <row r="105" spans="1:8" ht="18" customHeight="1" x14ac:dyDescent="0.55000000000000004">
      <c r="A105" s="180" t="s">
        <v>306</v>
      </c>
      <c r="B105" s="193"/>
      <c r="D105" s="184"/>
      <c r="E105" s="216">
        <f>D105*$E$114</f>
        <v>0</v>
      </c>
      <c r="F105" s="216"/>
      <c r="G105" s="184"/>
      <c r="H105" s="217">
        <f>(D105+E105)-F105-G105</f>
        <v>0</v>
      </c>
    </row>
    <row r="106" spans="1:8" ht="18" customHeight="1" x14ac:dyDescent="0.55000000000000004">
      <c r="A106" s="180" t="s">
        <v>307</v>
      </c>
      <c r="B106" s="193"/>
      <c r="D106" s="184"/>
      <c r="E106" s="216">
        <f>D106*$E$114</f>
        <v>0</v>
      </c>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109457.59999999999</v>
      </c>
      <c r="E108" s="217">
        <f>SUM(E102:E106)</f>
        <v>59293.724709186761</v>
      </c>
      <c r="F108" s="217">
        <f>SUM(F102:F106)</f>
        <v>0</v>
      </c>
      <c r="G108" s="217">
        <f>SUM(G102:G106)</f>
        <v>22225</v>
      </c>
      <c r="H108" s="217">
        <f>SUM(H102:H106)</f>
        <v>146526.32470918677</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f>3671000</f>
        <v>3671000</v>
      </c>
      <c r="G111" s="184">
        <v>0</v>
      </c>
      <c r="H111" s="217">
        <f>F111-G111</f>
        <v>3671000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0.5417049588990327</v>
      </c>
      <c r="F114" s="235" t="s">
        <v>429</v>
      </c>
      <c r="G114" s="264">
        <v>0.08</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f>298228922+1000</f>
        <v>298229922</v>
      </c>
      <c r="F117" s="237"/>
    </row>
    <row r="118" spans="1:7" ht="18" customHeight="1" x14ac:dyDescent="0.55000000000000004">
      <c r="A118" s="180" t="s">
        <v>319</v>
      </c>
      <c r="B118" s="176" t="s">
        <v>320</v>
      </c>
      <c r="E118" s="184">
        <v>25194277</v>
      </c>
      <c r="F118" s="237"/>
    </row>
    <row r="119" spans="1:7" ht="18" customHeight="1" x14ac:dyDescent="0.55000000000000004">
      <c r="A119" s="180" t="s">
        <v>321</v>
      </c>
      <c r="B119" s="179" t="s">
        <v>322</v>
      </c>
      <c r="E119" s="217">
        <f>SUM(E117:E118)</f>
        <v>323424199</v>
      </c>
      <c r="F119" s="238"/>
    </row>
    <row r="120" spans="1:7" ht="18" customHeight="1" x14ac:dyDescent="0.55000000000000004">
      <c r="A120" s="180"/>
      <c r="B120" s="179"/>
      <c r="F120" s="212"/>
    </row>
    <row r="121" spans="1:7" ht="18" customHeight="1" x14ac:dyDescent="0.55000000000000004">
      <c r="A121" s="180" t="s">
        <v>323</v>
      </c>
      <c r="B121" s="179" t="s">
        <v>324</v>
      </c>
      <c r="E121" s="184">
        <f>284774374+9990100+1300</f>
        <v>294765774</v>
      </c>
      <c r="F121" s="237"/>
      <c r="G121" s="263"/>
    </row>
    <row r="122" spans="1:7" ht="18" customHeight="1" x14ac:dyDescent="0.55000000000000004">
      <c r="A122" s="180"/>
      <c r="F122" s="212"/>
    </row>
    <row r="123" spans="1:7" ht="18" customHeight="1" x14ac:dyDescent="0.55000000000000004">
      <c r="A123" s="180" t="s">
        <v>325</v>
      </c>
      <c r="B123" s="179" t="s">
        <v>326</v>
      </c>
      <c r="E123" s="184">
        <f>E119-E121</f>
        <v>28658425</v>
      </c>
      <c r="F123" s="237"/>
    </row>
    <row r="124" spans="1:7" ht="18" customHeight="1" x14ac:dyDescent="0.55000000000000004">
      <c r="A124" s="180"/>
      <c r="F124" s="212"/>
    </row>
    <row r="125" spans="1:7" ht="18" customHeight="1" x14ac:dyDescent="0.55000000000000004">
      <c r="A125" s="180" t="s">
        <v>327</v>
      </c>
      <c r="B125" s="179" t="s">
        <v>328</v>
      </c>
      <c r="E125" s="184">
        <f>32992555-2636500</f>
        <v>30356055</v>
      </c>
      <c r="F125" s="237"/>
      <c r="G125" s="263"/>
    </row>
    <row r="126" spans="1:7" ht="18" customHeight="1" x14ac:dyDescent="0.55000000000000004">
      <c r="A126" s="180"/>
      <c r="F126" s="212"/>
    </row>
    <row r="127" spans="1:7" ht="18" customHeight="1" x14ac:dyDescent="0.55000000000000004">
      <c r="A127" s="180" t="s">
        <v>329</v>
      </c>
      <c r="B127" s="179" t="s">
        <v>330</v>
      </c>
      <c r="E127" s="184">
        <f>+E123+E125</f>
        <v>59014480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v>75295.5</v>
      </c>
      <c r="E131" s="216"/>
      <c r="F131" s="216"/>
      <c r="G131" s="184">
        <v>0</v>
      </c>
      <c r="H131" s="217">
        <f>(D131+E131)-F131-G131</f>
        <v>75295.5</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75295.5</v>
      </c>
      <c r="E137" s="217">
        <f>SUM(E131:E135)</f>
        <v>0</v>
      </c>
      <c r="F137" s="217">
        <f>SUM(F131:F135)</f>
        <v>0</v>
      </c>
      <c r="G137" s="217">
        <f>SUM(G131:G135)</f>
        <v>0</v>
      </c>
      <c r="H137" s="217">
        <f>SUM(H131:H135)</f>
        <v>75295.5</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2452529.1</v>
      </c>
      <c r="E141" s="239">
        <f>E36</f>
        <v>196202.32800000007</v>
      </c>
      <c r="F141" s="239">
        <f>F36</f>
        <v>0</v>
      </c>
      <c r="G141" s="239">
        <f>G36</f>
        <v>891637.5</v>
      </c>
      <c r="H141" s="239">
        <f>H36</f>
        <v>1757093.9280000001</v>
      </c>
    </row>
    <row r="142" spans="1:8" ht="18" customHeight="1" x14ac:dyDescent="0.55000000000000004">
      <c r="A142" s="180" t="s">
        <v>150</v>
      </c>
      <c r="B142" s="179" t="s">
        <v>220</v>
      </c>
      <c r="D142" s="239">
        <f>D49</f>
        <v>814589.3</v>
      </c>
      <c r="E142" s="239">
        <f>E49</f>
        <v>441267.06327609182</v>
      </c>
      <c r="F142" s="239">
        <f>F49</f>
        <v>0</v>
      </c>
      <c r="G142" s="239">
        <f>G49</f>
        <v>0</v>
      </c>
      <c r="H142" s="239">
        <f>H49</f>
        <v>1255856.3632760919</v>
      </c>
    </row>
    <row r="143" spans="1:8" ht="18" customHeight="1" x14ac:dyDescent="0.55000000000000004">
      <c r="A143" s="180" t="s">
        <v>269</v>
      </c>
      <c r="B143" s="179" t="s">
        <v>222</v>
      </c>
      <c r="D143" s="239">
        <f>D64</f>
        <v>8265189</v>
      </c>
      <c r="E143" s="239">
        <f>E64</f>
        <v>0</v>
      </c>
      <c r="F143" s="239">
        <f>F64</f>
        <v>0</v>
      </c>
      <c r="G143" s="239">
        <f>G64</f>
        <v>2439898</v>
      </c>
      <c r="H143" s="239">
        <f>H64</f>
        <v>5825291</v>
      </c>
    </row>
    <row r="144" spans="1:8" ht="18" customHeight="1" x14ac:dyDescent="0.55000000000000004">
      <c r="A144" s="180" t="s">
        <v>161</v>
      </c>
      <c r="B144" s="179" t="s">
        <v>70</v>
      </c>
      <c r="D144" s="239">
        <f>D74</f>
        <v>630929.6</v>
      </c>
      <c r="E144" s="239">
        <f>E74</f>
        <v>341777.69303618313</v>
      </c>
      <c r="F144" s="239">
        <f>F74</f>
        <v>0</v>
      </c>
      <c r="G144" s="239">
        <f>G74</f>
        <v>0</v>
      </c>
      <c r="H144" s="239">
        <f>H74</f>
        <v>972707.29303618311</v>
      </c>
    </row>
    <row r="145" spans="1:8" ht="18" customHeight="1" x14ac:dyDescent="0.55000000000000004">
      <c r="A145" s="180" t="s">
        <v>171</v>
      </c>
      <c r="B145" s="179" t="s">
        <v>69</v>
      </c>
      <c r="D145" s="239">
        <f>D82</f>
        <v>67837</v>
      </c>
      <c r="E145" s="239">
        <f>E82</f>
        <v>0</v>
      </c>
      <c r="F145" s="239">
        <f>F82</f>
        <v>0</v>
      </c>
      <c r="G145" s="239">
        <f>G82</f>
        <v>17306</v>
      </c>
      <c r="H145" s="239">
        <f>H82</f>
        <v>50531</v>
      </c>
    </row>
    <row r="146" spans="1:8" ht="18" customHeight="1" x14ac:dyDescent="0.55000000000000004">
      <c r="A146" s="180" t="s">
        <v>193</v>
      </c>
      <c r="B146" s="179" t="s">
        <v>226</v>
      </c>
      <c r="D146" s="239">
        <f>D98</f>
        <v>54616.1</v>
      </c>
      <c r="E146" s="239">
        <f>E98</f>
        <v>4369.2880000000005</v>
      </c>
      <c r="F146" s="239">
        <f>F98</f>
        <v>0</v>
      </c>
      <c r="G146" s="239">
        <f>G98</f>
        <v>0</v>
      </c>
      <c r="H146" s="239">
        <f>H98</f>
        <v>58985.387999999999</v>
      </c>
    </row>
    <row r="147" spans="1:8" ht="18" customHeight="1" x14ac:dyDescent="0.55000000000000004">
      <c r="A147" s="180" t="s">
        <v>204</v>
      </c>
      <c r="B147" s="179" t="s">
        <v>71</v>
      </c>
      <c r="D147" s="217">
        <f>D108</f>
        <v>109457.59999999999</v>
      </c>
      <c r="E147" s="217">
        <f>E108</f>
        <v>59293.724709186761</v>
      </c>
      <c r="F147" s="217">
        <f>F108</f>
        <v>0</v>
      </c>
      <c r="G147" s="217">
        <f>G108</f>
        <v>22225</v>
      </c>
      <c r="H147" s="217">
        <f>H108</f>
        <v>146526.32470918677</v>
      </c>
    </row>
    <row r="148" spans="1:8" ht="18" customHeight="1" x14ac:dyDescent="0.55000000000000004">
      <c r="A148" s="180" t="s">
        <v>310</v>
      </c>
      <c r="B148" s="179" t="s">
        <v>58</v>
      </c>
      <c r="D148" s="240" t="s">
        <v>245</v>
      </c>
      <c r="E148" s="240" t="s">
        <v>245</v>
      </c>
      <c r="F148" s="240"/>
      <c r="G148" s="240" t="s">
        <v>245</v>
      </c>
      <c r="H148" s="239">
        <f>H111</f>
        <v>3671000</v>
      </c>
    </row>
    <row r="149" spans="1:8" ht="18" customHeight="1" x14ac:dyDescent="0.55000000000000004">
      <c r="A149" s="180" t="s">
        <v>215</v>
      </c>
      <c r="B149" s="179" t="s">
        <v>230</v>
      </c>
      <c r="D149" s="217">
        <f>D137</f>
        <v>75295.5</v>
      </c>
      <c r="E149" s="217">
        <f>E137</f>
        <v>0</v>
      </c>
      <c r="F149" s="217">
        <f>F137</f>
        <v>0</v>
      </c>
      <c r="G149" s="217">
        <f>G137</f>
        <v>0</v>
      </c>
      <c r="H149" s="217">
        <f>H137</f>
        <v>75295.5</v>
      </c>
    </row>
    <row r="150" spans="1:8" ht="18" customHeight="1" x14ac:dyDescent="0.55000000000000004">
      <c r="A150" s="180" t="s">
        <v>103</v>
      </c>
      <c r="B150" s="179" t="s">
        <v>104</v>
      </c>
      <c r="D150" s="217">
        <f>D18</f>
        <v>5996991.9096732885</v>
      </c>
      <c r="E150" s="217">
        <f>E18</f>
        <v>0</v>
      </c>
      <c r="F150" s="217">
        <f>F18</f>
        <v>0</v>
      </c>
      <c r="G150" s="217">
        <f>G18</f>
        <v>4970127.9077339359</v>
      </c>
      <c r="H150" s="217">
        <f>H18</f>
        <v>1026864.0019393526</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18467435.109673288</v>
      </c>
      <c r="E152" s="241">
        <f>SUM(E141:E150)</f>
        <v>1042910.0970214617</v>
      </c>
      <c r="F152" s="241">
        <f>SUM(F141:F150)</f>
        <v>0</v>
      </c>
      <c r="G152" s="241">
        <f>SUM(G141:G150)</f>
        <v>8341194.4077339359</v>
      </c>
      <c r="H152" s="241">
        <f>SUM(H141:H150)</f>
        <v>14840150.798960814</v>
      </c>
    </row>
    <row r="154" spans="1:8" ht="18" customHeight="1" x14ac:dyDescent="0.55000000000000004">
      <c r="A154" s="183" t="s">
        <v>339</v>
      </c>
      <c r="B154" s="179" t="s">
        <v>340</v>
      </c>
      <c r="D154" s="242">
        <f>H152/E121</f>
        <v>5.0345569628313817E-2</v>
      </c>
      <c r="E154" s="404"/>
    </row>
    <row r="155" spans="1:8" ht="18" customHeight="1" x14ac:dyDescent="0.55000000000000004">
      <c r="A155" s="183" t="s">
        <v>341</v>
      </c>
      <c r="B155" s="179" t="s">
        <v>342</v>
      </c>
      <c r="D155" s="242">
        <f>H152/E127</f>
        <v>0.25146626385525744</v>
      </c>
    </row>
  </sheetData>
  <mergeCells count="3">
    <mergeCell ref="C2:D2"/>
    <mergeCell ref="C5:E5"/>
    <mergeCell ref="B13:D13"/>
  </mergeCells>
  <hyperlinks>
    <hyperlink ref="C11" r:id="rId1" xr:uid="{1EB65870-6E3C-41B1-9D37-05F9E5966CAD}"/>
  </hyperlinks>
  <pageMargins left="0.7" right="0.7" top="0.75" bottom="0.75" header="0.3" footer="0.3"/>
  <pageSetup orientation="portrait" horizontalDpi="1200" verticalDpi="1200"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59E9A-650F-40CC-A6E8-6A312C116611}">
  <sheetPr codeName="Sheet47"/>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247" t="s">
        <v>606</v>
      </c>
      <c r="D5" s="247" t="s">
        <v>607</v>
      </c>
      <c r="E5" s="247" t="s">
        <v>524</v>
      </c>
      <c r="F5" s="208"/>
    </row>
    <row r="6" spans="1:8" ht="18" customHeight="1" x14ac:dyDescent="0.55000000000000004">
      <c r="B6" s="180" t="s">
        <v>237</v>
      </c>
      <c r="C6" s="244">
        <v>210051</v>
      </c>
      <c r="D6" s="244"/>
      <c r="E6" s="244"/>
      <c r="F6" s="209"/>
    </row>
    <row r="7" spans="1:8" ht="18" customHeight="1" x14ac:dyDescent="0.55000000000000004">
      <c r="B7" s="180" t="s">
        <v>238</v>
      </c>
      <c r="C7" s="246"/>
      <c r="D7" s="246" t="s">
        <v>247</v>
      </c>
      <c r="E7" s="246"/>
      <c r="F7" s="210"/>
    </row>
    <row r="8" spans="1:8" ht="18" customHeight="1" x14ac:dyDescent="0.55000000000000004">
      <c r="C8" s="211"/>
      <c r="D8" s="211"/>
      <c r="E8" s="211"/>
      <c r="F8" s="212"/>
    </row>
    <row r="9" spans="1:8" ht="18" customHeight="1" x14ac:dyDescent="0.55000000000000004">
      <c r="B9" s="180" t="s">
        <v>239</v>
      </c>
      <c r="C9" s="247" t="s">
        <v>526</v>
      </c>
      <c r="D9" s="247" t="s">
        <v>525</v>
      </c>
      <c r="E9" s="247"/>
      <c r="F9" s="208"/>
    </row>
    <row r="10" spans="1:8" ht="18" customHeight="1" x14ac:dyDescent="0.55000000000000004">
      <c r="B10" s="180" t="s">
        <v>241</v>
      </c>
      <c r="C10" s="248"/>
      <c r="D10" s="248"/>
      <c r="E10" s="248"/>
      <c r="F10" s="213"/>
    </row>
    <row r="11" spans="1:8" ht="18" customHeight="1" x14ac:dyDescent="0.55000000000000004">
      <c r="B11" s="180" t="s">
        <v>243</v>
      </c>
      <c r="C11" s="258" t="s">
        <v>608</v>
      </c>
      <c r="D11" s="247"/>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4783292.8643423887</v>
      </c>
      <c r="E18" s="214"/>
      <c r="F18" s="214"/>
      <c r="G18" s="214">
        <v>3964250.363183809</v>
      </c>
      <c r="H18" s="249">
        <f>(D18+E18)-G18</f>
        <v>819042.50115857972</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152975</v>
      </c>
      <c r="E21" s="216">
        <v>109316</v>
      </c>
      <c r="F21" s="216">
        <v>113852</v>
      </c>
      <c r="G21" s="184">
        <v>126.44</v>
      </c>
      <c r="H21" s="217">
        <f>(D21+E21)-F21-G21</f>
        <v>148312.56</v>
      </c>
    </row>
    <row r="22" spans="1:8" ht="18" customHeight="1" x14ac:dyDescent="0.55000000000000004">
      <c r="A22" s="180" t="s">
        <v>112</v>
      </c>
      <c r="B22" s="176" t="s">
        <v>113</v>
      </c>
      <c r="D22" s="184">
        <v>7846.12</v>
      </c>
      <c r="E22" s="216">
        <v>5606.8373519999996</v>
      </c>
      <c r="F22" s="216"/>
      <c r="G22" s="184"/>
      <c r="H22" s="217">
        <f t="shared" ref="H22:H34" si="0">(D22+E22)-F22-G22</f>
        <v>13452.957351999999</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v>580696</v>
      </c>
      <c r="E24" s="216"/>
      <c r="F24" s="216">
        <v>271378.06</v>
      </c>
      <c r="G24" s="184"/>
      <c r="H24" s="217">
        <f t="shared" si="0"/>
        <v>309317.94</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v>748089.64199999999</v>
      </c>
      <c r="E29" s="216">
        <v>153816.6795732</v>
      </c>
      <c r="F29" s="216"/>
      <c r="G29" s="184"/>
      <c r="H29" s="217">
        <f t="shared" si="0"/>
        <v>901906.32157319994</v>
      </c>
    </row>
    <row r="30" spans="1:8" ht="18" customHeight="1" x14ac:dyDescent="0.55000000000000004">
      <c r="A30" s="180" t="s">
        <v>128</v>
      </c>
      <c r="B30" s="185"/>
      <c r="D30" s="184"/>
      <c r="E30" s="216"/>
      <c r="F30" s="216"/>
      <c r="G30" s="184"/>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1489606.7620000001</v>
      </c>
      <c r="E36" s="217">
        <f>SUM(E21:E34)</f>
        <v>268739.51692520001</v>
      </c>
      <c r="F36" s="217">
        <f>SUM(F21:F34)</f>
        <v>385230.06</v>
      </c>
      <c r="G36" s="217">
        <f>SUM(G21:G34)</f>
        <v>126.44</v>
      </c>
      <c r="H36" s="217">
        <f>SUM(H21:H34)</f>
        <v>1372989.7789252</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352000</v>
      </c>
      <c r="E40" s="216">
        <v>251539</v>
      </c>
      <c r="F40" s="216"/>
      <c r="G40" s="184"/>
      <c r="H40" s="217">
        <f>(D40+E40)-F40-G40</f>
        <v>603539</v>
      </c>
    </row>
    <row r="41" spans="1:8" ht="18" customHeight="1" x14ac:dyDescent="0.55000000000000004">
      <c r="A41" s="180" t="s">
        <v>251</v>
      </c>
      <c r="B41" s="176" t="s">
        <v>141</v>
      </c>
      <c r="D41" s="184">
        <v>520056</v>
      </c>
      <c r="E41" s="216">
        <v>501174.71</v>
      </c>
      <c r="F41" s="216"/>
      <c r="G41" s="184"/>
      <c r="H41" s="217">
        <f t="shared" ref="H41:H47" si="1">(D41+E41)-F41-G41</f>
        <v>1021230.71</v>
      </c>
    </row>
    <row r="42" spans="1:8" ht="18" customHeight="1" x14ac:dyDescent="0.55000000000000004">
      <c r="A42" s="180" t="s">
        <v>252</v>
      </c>
      <c r="B42" s="176" t="s">
        <v>143</v>
      </c>
      <c r="D42" s="184"/>
      <c r="E42" s="216"/>
      <c r="F42" s="216"/>
      <c r="G42" s="184"/>
      <c r="H42" s="217">
        <f t="shared" si="1"/>
        <v>0</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322"/>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872056</v>
      </c>
      <c r="E49" s="217">
        <f>SUM(E40:E47)</f>
        <v>752713.71</v>
      </c>
      <c r="F49" s="217">
        <f>SUM(F40:F47)</f>
        <v>0</v>
      </c>
      <c r="G49" s="217">
        <f>SUM(G40:G47)</f>
        <v>0</v>
      </c>
      <c r="H49" s="217">
        <f>SUM(H40:H47)</f>
        <v>1624769.71</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184">
        <v>9032373</v>
      </c>
      <c r="E53" s="222"/>
      <c r="F53" s="222"/>
      <c r="G53" s="184"/>
      <c r="H53" s="217">
        <f>(D53+E53)-F53-G53</f>
        <v>9032373</v>
      </c>
    </row>
    <row r="54" spans="1:8" ht="18" customHeight="1" x14ac:dyDescent="0.55000000000000004">
      <c r="A54" s="180" t="s">
        <v>259</v>
      </c>
      <c r="B54" s="193" t="s">
        <v>530</v>
      </c>
      <c r="D54" s="184">
        <v>91792.33</v>
      </c>
      <c r="E54" s="216"/>
      <c r="F54" s="216"/>
      <c r="G54" s="184"/>
      <c r="H54" s="217">
        <f t="shared" ref="H54:H62" si="2">(D54+E54)-F54-G54</f>
        <v>91792.33</v>
      </c>
    </row>
    <row r="55" spans="1:8" ht="18" customHeight="1" x14ac:dyDescent="0.55000000000000004">
      <c r="A55" s="180" t="s">
        <v>260</v>
      </c>
      <c r="B55" s="193" t="s">
        <v>609</v>
      </c>
      <c r="D55" s="184">
        <v>17440</v>
      </c>
      <c r="E55" s="216">
        <v>3313</v>
      </c>
      <c r="F55" s="216"/>
      <c r="G55" s="184"/>
      <c r="H55" s="217">
        <f t="shared" si="2"/>
        <v>20753</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9141605.3300000001</v>
      </c>
      <c r="E64" s="217">
        <f>SUM(E53:E62)</f>
        <v>3313</v>
      </c>
      <c r="F64" s="217">
        <f>SUM(F53:F62)</f>
        <v>0</v>
      </c>
      <c r="G64" s="217">
        <f>SUM(G53:G62)</f>
        <v>0</v>
      </c>
      <c r="H64" s="217">
        <f>SUM(H53:H62)</f>
        <v>9144918.3300000001</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c r="E79" s="230"/>
      <c r="F79" s="220"/>
      <c r="G79" s="184"/>
      <c r="H79" s="217">
        <f>(D79-F79-G79)</f>
        <v>0</v>
      </c>
    </row>
    <row r="80" spans="1:10" ht="18" customHeight="1" x14ac:dyDescent="0.55000000000000004">
      <c r="A80" s="180" t="s">
        <v>283</v>
      </c>
      <c r="B80" s="176" t="s">
        <v>170</v>
      </c>
      <c r="D80" s="184">
        <v>638346</v>
      </c>
      <c r="E80" s="230"/>
      <c r="F80" s="220"/>
      <c r="G80" s="184"/>
      <c r="H80" s="217">
        <f>(D80-F80-G80)</f>
        <v>638346</v>
      </c>
    </row>
    <row r="81" spans="1:8" ht="18" customHeight="1" x14ac:dyDescent="0.55000000000000004">
      <c r="A81" s="180"/>
      <c r="H81" s="196"/>
    </row>
    <row r="82" spans="1:8" ht="18" customHeight="1" x14ac:dyDescent="0.55000000000000004">
      <c r="A82" s="180" t="s">
        <v>171</v>
      </c>
      <c r="B82" s="179" t="s">
        <v>284</v>
      </c>
      <c r="C82" s="179" t="s">
        <v>248</v>
      </c>
      <c r="D82" s="217">
        <f>SUM(D77:D80)</f>
        <v>638346</v>
      </c>
      <c r="E82" s="231"/>
      <c r="F82" s="217">
        <f>SUM(F77:F80)</f>
        <v>0</v>
      </c>
      <c r="G82" s="217">
        <f>SUM(G77:G80)</f>
        <v>0</v>
      </c>
      <c r="H82" s="217">
        <f>SUM(H77:H80)</f>
        <v>638346</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c r="E88" s="216"/>
      <c r="F88" s="216"/>
      <c r="G88" s="184"/>
      <c r="H88" s="217">
        <f t="shared" si="3"/>
        <v>0</v>
      </c>
    </row>
    <row r="89" spans="1:8" ht="18" customHeight="1" x14ac:dyDescent="0.55000000000000004">
      <c r="A89" s="180" t="s">
        <v>290</v>
      </c>
      <c r="B89" s="176" t="s">
        <v>181</v>
      </c>
      <c r="D89" s="184">
        <v>29758.61</v>
      </c>
      <c r="E89" s="216"/>
      <c r="F89" s="216"/>
      <c r="G89" s="184"/>
      <c r="H89" s="217">
        <f t="shared" si="3"/>
        <v>29758.61</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c r="E91" s="216"/>
      <c r="F91" s="216"/>
      <c r="G91" s="184"/>
      <c r="H91" s="217">
        <f t="shared" si="3"/>
        <v>0</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t="s">
        <v>610</v>
      </c>
      <c r="D94" s="184">
        <v>330000</v>
      </c>
      <c r="E94" s="216">
        <v>235818</v>
      </c>
      <c r="F94" s="216"/>
      <c r="G94" s="184"/>
      <c r="H94" s="217">
        <f>(D94+E94)-F94-G94</f>
        <v>565818</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359758.61</v>
      </c>
      <c r="E98" s="217">
        <f>SUM(E86:E96)</f>
        <v>235818</v>
      </c>
      <c r="F98" s="217">
        <f>SUM(F86:F96)</f>
        <v>0</v>
      </c>
      <c r="G98" s="217">
        <f>SUM(G86:G96)</f>
        <v>0</v>
      </c>
      <c r="H98" s="217">
        <f>SUM(H86:H96)</f>
        <v>595576.61</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t="s">
        <v>533</v>
      </c>
      <c r="E102" s="216"/>
      <c r="F102" s="216"/>
      <c r="G102" s="184"/>
      <c r="H102" s="217"/>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0</v>
      </c>
      <c r="E108" s="217">
        <f>SUM(E102:E106)</f>
        <v>0</v>
      </c>
      <c r="F108" s="217">
        <f>SUM(F102:F106)</f>
        <v>0</v>
      </c>
      <c r="G108" s="217">
        <f>SUM(G102:G106)</f>
        <v>0</v>
      </c>
      <c r="H108" s="217">
        <f>SUM(H102:H106)</f>
        <v>0</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c r="G111" s="184"/>
      <c r="H111" s="217">
        <v>6776100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0.71460000000000001</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218779000</v>
      </c>
      <c r="F117" s="237"/>
    </row>
    <row r="118" spans="1:7" ht="18" customHeight="1" x14ac:dyDescent="0.55000000000000004">
      <c r="A118" s="180" t="s">
        <v>319</v>
      </c>
      <c r="B118" s="176" t="s">
        <v>320</v>
      </c>
      <c r="E118" s="184">
        <v>20189000</v>
      </c>
      <c r="F118" s="237"/>
    </row>
    <row r="119" spans="1:7" ht="18" customHeight="1" x14ac:dyDescent="0.55000000000000004">
      <c r="A119" s="180" t="s">
        <v>321</v>
      </c>
      <c r="B119" s="179" t="s">
        <v>322</v>
      </c>
      <c r="E119" s="217">
        <f>SUM(E117:E118)</f>
        <v>238968000</v>
      </c>
      <c r="F119" s="238"/>
    </row>
    <row r="120" spans="1:7" ht="18" customHeight="1" x14ac:dyDescent="0.55000000000000004">
      <c r="A120" s="180"/>
      <c r="B120" s="179"/>
      <c r="F120" s="212"/>
    </row>
    <row r="121" spans="1:7" ht="18" customHeight="1" x14ac:dyDescent="0.55000000000000004">
      <c r="A121" s="180" t="s">
        <v>323</v>
      </c>
      <c r="B121" s="179" t="s">
        <v>324</v>
      </c>
      <c r="E121" s="184">
        <v>240162000</v>
      </c>
      <c r="F121" s="237"/>
    </row>
    <row r="122" spans="1:7" ht="18" customHeight="1" x14ac:dyDescent="0.55000000000000004">
      <c r="A122" s="180"/>
      <c r="F122" s="212"/>
    </row>
    <row r="123" spans="1:7" ht="18" customHeight="1" x14ac:dyDescent="0.55000000000000004">
      <c r="A123" s="180" t="s">
        <v>325</v>
      </c>
      <c r="B123" s="179" t="s">
        <v>326</v>
      </c>
      <c r="E123" s="184">
        <v>-1194000</v>
      </c>
      <c r="F123" s="237"/>
    </row>
    <row r="124" spans="1:7" ht="18" customHeight="1" x14ac:dyDescent="0.55000000000000004">
      <c r="A124" s="180"/>
      <c r="F124" s="212"/>
    </row>
    <row r="125" spans="1:7" ht="18" customHeight="1" x14ac:dyDescent="0.55000000000000004">
      <c r="A125" s="180" t="s">
        <v>327</v>
      </c>
      <c r="B125" s="179" t="s">
        <v>328</v>
      </c>
      <c r="E125" s="184">
        <v>5000</v>
      </c>
      <c r="F125" s="237"/>
    </row>
    <row r="126" spans="1:7" ht="18" customHeight="1" x14ac:dyDescent="0.55000000000000004">
      <c r="A126" s="180"/>
      <c r="F126" s="212"/>
    </row>
    <row r="127" spans="1:7" ht="18" customHeight="1" x14ac:dyDescent="0.55000000000000004">
      <c r="A127" s="180" t="s">
        <v>329</v>
      </c>
      <c r="B127" s="179" t="s">
        <v>330</v>
      </c>
      <c r="E127" s="184">
        <v>-1189000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1489606.7620000001</v>
      </c>
      <c r="E141" s="239">
        <f>E36</f>
        <v>268739.51692520001</v>
      </c>
      <c r="F141" s="239">
        <f>F36</f>
        <v>385230.06</v>
      </c>
      <c r="G141" s="239">
        <f>G36</f>
        <v>126.44</v>
      </c>
      <c r="H141" s="239">
        <f>H36</f>
        <v>1372989.7789252</v>
      </c>
    </row>
    <row r="142" spans="1:8" ht="18" customHeight="1" x14ac:dyDescent="0.55000000000000004">
      <c r="A142" s="180" t="s">
        <v>150</v>
      </c>
      <c r="B142" s="179" t="s">
        <v>220</v>
      </c>
      <c r="D142" s="239">
        <f>D49</f>
        <v>872056</v>
      </c>
      <c r="E142" s="239">
        <f>E49</f>
        <v>752713.71</v>
      </c>
      <c r="F142" s="239">
        <f>F49</f>
        <v>0</v>
      </c>
      <c r="G142" s="239">
        <f>G49</f>
        <v>0</v>
      </c>
      <c r="H142" s="239">
        <f>H49</f>
        <v>1624769.71</v>
      </c>
    </row>
    <row r="143" spans="1:8" ht="18" customHeight="1" x14ac:dyDescent="0.55000000000000004">
      <c r="A143" s="180" t="s">
        <v>269</v>
      </c>
      <c r="B143" s="179" t="s">
        <v>222</v>
      </c>
      <c r="D143" s="239">
        <f>D64</f>
        <v>9141605.3300000001</v>
      </c>
      <c r="E143" s="239">
        <f>E64</f>
        <v>3313</v>
      </c>
      <c r="F143" s="239">
        <f>F64</f>
        <v>0</v>
      </c>
      <c r="G143" s="239">
        <f>G64</f>
        <v>0</v>
      </c>
      <c r="H143" s="239">
        <f>H64</f>
        <v>9144918.3300000001</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638346</v>
      </c>
      <c r="E145" s="239">
        <f>E82</f>
        <v>0</v>
      </c>
      <c r="F145" s="239">
        <f>F82</f>
        <v>0</v>
      </c>
      <c r="G145" s="239">
        <f>G82</f>
        <v>0</v>
      </c>
      <c r="H145" s="239">
        <f>H82</f>
        <v>638346</v>
      </c>
    </row>
    <row r="146" spans="1:8" ht="18" customHeight="1" x14ac:dyDescent="0.55000000000000004">
      <c r="A146" s="180" t="s">
        <v>193</v>
      </c>
      <c r="B146" s="179" t="s">
        <v>226</v>
      </c>
      <c r="D146" s="239">
        <f>D98</f>
        <v>359758.61</v>
      </c>
      <c r="E146" s="239">
        <f>E98</f>
        <v>235818</v>
      </c>
      <c r="F146" s="239">
        <f>F98</f>
        <v>0</v>
      </c>
      <c r="G146" s="239">
        <f>G98</f>
        <v>0</v>
      </c>
      <c r="H146" s="239">
        <f>H98</f>
        <v>595576.61</v>
      </c>
    </row>
    <row r="147" spans="1:8" ht="18" customHeight="1" x14ac:dyDescent="0.55000000000000004">
      <c r="A147" s="180" t="s">
        <v>204</v>
      </c>
      <c r="B147" s="179" t="s">
        <v>71</v>
      </c>
      <c r="D147" s="217">
        <f>D108</f>
        <v>0</v>
      </c>
      <c r="E147" s="217">
        <f>E108</f>
        <v>0</v>
      </c>
      <c r="F147" s="217">
        <f>F108</f>
        <v>0</v>
      </c>
      <c r="G147" s="217">
        <f>G108</f>
        <v>0</v>
      </c>
      <c r="H147" s="217">
        <f>H108</f>
        <v>0</v>
      </c>
    </row>
    <row r="148" spans="1:8" ht="18" customHeight="1" x14ac:dyDescent="0.55000000000000004">
      <c r="A148" s="180" t="s">
        <v>310</v>
      </c>
      <c r="B148" s="179" t="s">
        <v>58</v>
      </c>
      <c r="D148" s="240" t="s">
        <v>245</v>
      </c>
      <c r="E148" s="240" t="s">
        <v>245</v>
      </c>
      <c r="F148" s="240"/>
      <c r="G148" s="240" t="s">
        <v>245</v>
      </c>
      <c r="H148" s="239">
        <f>H111</f>
        <v>6776100</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4783292.8643423887</v>
      </c>
      <c r="E150" s="217">
        <f>E18</f>
        <v>0</v>
      </c>
      <c r="F150" s="217">
        <f>F18</f>
        <v>0</v>
      </c>
      <c r="G150" s="217">
        <f>G18</f>
        <v>3964250.363183809</v>
      </c>
      <c r="H150" s="217">
        <f>H18</f>
        <v>819042.50115857972</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17284665.566342387</v>
      </c>
      <c r="E152" s="241">
        <f>SUM(E141:E150)</f>
        <v>1260584.2269251999</v>
      </c>
      <c r="F152" s="241">
        <f>SUM(F141:F150)</f>
        <v>385230.06</v>
      </c>
      <c r="G152" s="241">
        <f>SUM(G141:G150)</f>
        <v>3964376.8031838089</v>
      </c>
      <c r="H152" s="241">
        <f>SUM(H141:H150)</f>
        <v>20971742.930083781</v>
      </c>
    </row>
    <row r="154" spans="1:8" ht="18" customHeight="1" x14ac:dyDescent="0.55000000000000004">
      <c r="A154" s="183" t="s">
        <v>339</v>
      </c>
      <c r="B154" s="179" t="s">
        <v>340</v>
      </c>
      <c r="D154" s="242">
        <f>H152/E121</f>
        <v>8.7323318968378763E-2</v>
      </c>
    </row>
    <row r="155" spans="1:8" ht="18" customHeight="1" x14ac:dyDescent="0.55000000000000004">
      <c r="A155" s="183" t="s">
        <v>341</v>
      </c>
      <c r="B155" s="179" t="s">
        <v>342</v>
      </c>
      <c r="D155" s="242">
        <f>H152/E127</f>
        <v>-17.638135349103266</v>
      </c>
    </row>
  </sheetData>
  <mergeCells count="2">
    <mergeCell ref="C2:D2"/>
    <mergeCell ref="B13:D13"/>
  </mergeCells>
  <hyperlinks>
    <hyperlink ref="C11" r:id="rId1" xr:uid="{71460544-0FE8-4E1D-BE18-A19EAE3E7787}"/>
  </hyperlinks>
  <pageMargins left="0.7" right="0.7" top="0.75" bottom="0.75" header="0.3" footer="0.3"/>
  <pageSetup orientation="portrait" horizontalDpi="1200" verticalDpi="1200"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50CDC-B54C-4E2C-B974-0F1F54DBBAF3}">
  <sheetPr codeName="Sheet48"/>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578125" style="176" customWidth="1"/>
    <col min="4" max="4" width="17.15625" style="176" customWidth="1"/>
    <col min="5" max="6" width="21.15625" style="176" customWidth="1"/>
    <col min="7" max="7" width="19.83984375" style="176" customWidth="1"/>
    <col min="8" max="8" width="17.8398437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01" t="s">
        <v>611</v>
      </c>
      <c r="D5" s="501"/>
      <c r="E5" s="501"/>
      <c r="F5" s="208"/>
    </row>
    <row r="6" spans="1:8" ht="18" customHeight="1" x14ac:dyDescent="0.55000000000000004">
      <c r="B6" s="180" t="s">
        <v>237</v>
      </c>
      <c r="C6" s="243">
        <v>210057</v>
      </c>
      <c r="D6" s="244"/>
      <c r="E6" s="244"/>
      <c r="F6" s="209"/>
    </row>
    <row r="7" spans="1:8" ht="18" customHeight="1" x14ac:dyDescent="0.55000000000000004">
      <c r="B7" s="180" t="s">
        <v>238</v>
      </c>
      <c r="C7" s="245">
        <v>2449</v>
      </c>
      <c r="D7" s="246"/>
      <c r="E7" s="246"/>
      <c r="F7" s="210"/>
    </row>
    <row r="8" spans="1:8" ht="18" customHeight="1" x14ac:dyDescent="0.55000000000000004">
      <c r="B8" s="180"/>
      <c r="C8" s="245"/>
      <c r="D8" s="246"/>
      <c r="E8" s="246"/>
      <c r="F8" s="210"/>
    </row>
    <row r="9" spans="1:8" ht="18" customHeight="1" x14ac:dyDescent="0.55000000000000004">
      <c r="B9" s="180" t="s">
        <v>239</v>
      </c>
      <c r="C9" s="501" t="s">
        <v>473</v>
      </c>
      <c r="D9" s="501"/>
      <c r="E9" s="501"/>
      <c r="F9" s="208"/>
    </row>
    <row r="10" spans="1:8" ht="18" customHeight="1" x14ac:dyDescent="0.55000000000000004">
      <c r="B10" s="180" t="s">
        <v>241</v>
      </c>
      <c r="C10" s="513" t="s">
        <v>395</v>
      </c>
      <c r="D10" s="513"/>
      <c r="E10" s="513"/>
      <c r="F10" s="213"/>
    </row>
    <row r="11" spans="1:8" ht="18" customHeight="1" x14ac:dyDescent="0.55000000000000004">
      <c r="B11" s="180" t="s">
        <v>243</v>
      </c>
      <c r="C11" s="503" t="s">
        <v>612</v>
      </c>
      <c r="D11" s="501"/>
      <c r="E11" s="50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c r="D14" s="405"/>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8680368.9342509843</v>
      </c>
      <c r="E18" s="214"/>
      <c r="F18" s="214"/>
      <c r="G18" s="214">
        <v>7194030.69728301</v>
      </c>
      <c r="H18" s="215">
        <f>(D18+E18)-G18</f>
        <v>1486338.2369679743</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251">
        <v>297851.64220324997</v>
      </c>
      <c r="E21" s="252">
        <v>210359.80726754072</v>
      </c>
      <c r="F21" s="252"/>
      <c r="G21" s="251"/>
      <c r="H21" s="217">
        <f>(D21+E21)-F21-G21</f>
        <v>508211.44947079069</v>
      </c>
    </row>
    <row r="22" spans="1:8" ht="18" customHeight="1" x14ac:dyDescent="0.55000000000000004">
      <c r="A22" s="180" t="s">
        <v>112</v>
      </c>
      <c r="B22" s="176" t="s">
        <v>113</v>
      </c>
      <c r="D22" s="251">
        <v>68443.443849000003</v>
      </c>
      <c r="E22" s="252">
        <v>48338.661322463195</v>
      </c>
      <c r="F22" s="252"/>
      <c r="G22" s="251"/>
      <c r="H22" s="217">
        <f t="shared" ref="H22:H34" si="0">(D22+E22)-F22-G22</f>
        <v>116782.10517146319</v>
      </c>
    </row>
    <row r="23" spans="1:8" ht="18" customHeight="1" x14ac:dyDescent="0.55000000000000004">
      <c r="A23" s="180" t="s">
        <v>114</v>
      </c>
      <c r="B23" s="176" t="s">
        <v>115</v>
      </c>
      <c r="D23" s="251">
        <v>20125</v>
      </c>
      <c r="E23" s="252">
        <v>14213.422125000001</v>
      </c>
      <c r="F23" s="252"/>
      <c r="G23" s="251"/>
      <c r="H23" s="217">
        <f t="shared" si="0"/>
        <v>34338.422124999997</v>
      </c>
    </row>
    <row r="24" spans="1:8" ht="18" customHeight="1" x14ac:dyDescent="0.55000000000000004">
      <c r="A24" s="180" t="s">
        <v>116</v>
      </c>
      <c r="B24" s="176" t="s">
        <v>117</v>
      </c>
      <c r="D24" s="251">
        <v>479806.36</v>
      </c>
      <c r="E24" s="252">
        <v>338866.60039451998</v>
      </c>
      <c r="F24" s="252"/>
      <c r="G24" s="251"/>
      <c r="H24" s="217">
        <f t="shared" si="0"/>
        <v>818672.96039451996</v>
      </c>
    </row>
    <row r="25" spans="1:8" ht="18" customHeight="1" x14ac:dyDescent="0.55000000000000004">
      <c r="A25" s="180" t="s">
        <v>118</v>
      </c>
      <c r="B25" s="176" t="s">
        <v>119</v>
      </c>
      <c r="D25" s="251">
        <v>94467.902910000004</v>
      </c>
      <c r="E25" s="252">
        <v>66718.617705507873</v>
      </c>
      <c r="F25" s="252"/>
      <c r="G25" s="251"/>
      <c r="H25" s="217">
        <f t="shared" si="0"/>
        <v>161186.52061550788</v>
      </c>
    </row>
    <row r="26" spans="1:8" ht="18" customHeight="1" x14ac:dyDescent="0.55000000000000004">
      <c r="A26" s="180" t="s">
        <v>120</v>
      </c>
      <c r="B26" s="176" t="s">
        <v>121</v>
      </c>
      <c r="D26" s="251"/>
      <c r="E26" s="252"/>
      <c r="F26" s="252"/>
      <c r="G26" s="251"/>
      <c r="H26" s="217">
        <f t="shared" si="0"/>
        <v>0</v>
      </c>
    </row>
    <row r="27" spans="1:8" ht="18" customHeight="1" x14ac:dyDescent="0.55000000000000004">
      <c r="A27" s="180" t="s">
        <v>122</v>
      </c>
      <c r="B27" s="176" t="s">
        <v>246</v>
      </c>
      <c r="D27" s="251"/>
      <c r="E27" s="252"/>
      <c r="F27" s="252"/>
      <c r="G27" s="251"/>
      <c r="H27" s="217">
        <f t="shared" si="0"/>
        <v>0</v>
      </c>
    </row>
    <row r="28" spans="1:8" ht="18" customHeight="1" x14ac:dyDescent="0.55000000000000004">
      <c r="A28" s="180" t="s">
        <v>124</v>
      </c>
      <c r="B28" s="176" t="s">
        <v>125</v>
      </c>
      <c r="D28" s="251"/>
      <c r="E28" s="252"/>
      <c r="F28" s="252"/>
      <c r="G28" s="251"/>
      <c r="H28" s="217">
        <f t="shared" si="0"/>
        <v>0</v>
      </c>
    </row>
    <row r="29" spans="1:8" ht="18" customHeight="1" x14ac:dyDescent="0.55000000000000004">
      <c r="A29" s="180" t="s">
        <v>126</v>
      </c>
      <c r="B29" s="176" t="s">
        <v>127</v>
      </c>
      <c r="D29" s="251">
        <v>2908824.1578352503</v>
      </c>
      <c r="E29" s="252">
        <v>1360839.4620538102</v>
      </c>
      <c r="F29" s="252">
        <v>199773.5</v>
      </c>
      <c r="G29" s="251">
        <v>82725.979999999981</v>
      </c>
      <c r="H29" s="217">
        <f t="shared" si="0"/>
        <v>3987164.1398890601</v>
      </c>
    </row>
    <row r="30" spans="1:8" ht="18" customHeight="1" x14ac:dyDescent="0.55000000000000004">
      <c r="A30" s="180" t="s">
        <v>128</v>
      </c>
      <c r="B30" s="185"/>
      <c r="D30" s="251"/>
      <c r="E30" s="252"/>
      <c r="F30" s="252"/>
      <c r="G30" s="251"/>
      <c r="H30" s="217">
        <f t="shared" si="0"/>
        <v>0</v>
      </c>
    </row>
    <row r="31" spans="1:8" ht="18" customHeight="1" x14ac:dyDescent="0.55000000000000004">
      <c r="A31" s="180" t="s">
        <v>130</v>
      </c>
      <c r="B31" s="185"/>
      <c r="D31" s="251"/>
      <c r="E31" s="252"/>
      <c r="F31" s="252"/>
      <c r="G31" s="251"/>
      <c r="H31" s="217">
        <f t="shared" si="0"/>
        <v>0</v>
      </c>
    </row>
    <row r="32" spans="1:8" ht="18" customHeight="1" x14ac:dyDescent="0.55000000000000004">
      <c r="A32" s="180" t="s">
        <v>131</v>
      </c>
      <c r="B32" s="185"/>
      <c r="D32" s="251"/>
      <c r="E32" s="252"/>
      <c r="F32" s="252"/>
      <c r="G32" s="251"/>
      <c r="H32" s="217">
        <f t="shared" si="0"/>
        <v>0</v>
      </c>
    </row>
    <row r="33" spans="1:8" ht="18" customHeight="1" x14ac:dyDescent="0.55000000000000004">
      <c r="A33" s="180" t="s">
        <v>132</v>
      </c>
      <c r="B33" s="185"/>
      <c r="D33" s="251"/>
      <c r="E33" s="252"/>
      <c r="F33" s="252"/>
      <c r="G33" s="251"/>
      <c r="H33" s="217">
        <f t="shared" si="0"/>
        <v>0</v>
      </c>
    </row>
    <row r="34" spans="1:8" ht="18" customHeight="1" x14ac:dyDescent="0.55000000000000004">
      <c r="A34" s="180" t="s">
        <v>133</v>
      </c>
      <c r="B34" s="185"/>
      <c r="D34" s="251"/>
      <c r="E34" s="252"/>
      <c r="F34" s="252"/>
      <c r="G34" s="251"/>
      <c r="H34" s="217">
        <f t="shared" si="0"/>
        <v>0</v>
      </c>
    </row>
    <row r="35" spans="1:8" ht="18" customHeight="1" x14ac:dyDescent="0.55000000000000004">
      <c r="D35" s="275"/>
      <c r="E35" s="275"/>
      <c r="F35" s="275"/>
      <c r="G35" s="275"/>
      <c r="H35" s="383"/>
    </row>
    <row r="36" spans="1:8" ht="18" customHeight="1" x14ac:dyDescent="0.55000000000000004">
      <c r="A36" s="183" t="s">
        <v>134</v>
      </c>
      <c r="B36" s="179" t="s">
        <v>135</v>
      </c>
      <c r="C36" s="179" t="s">
        <v>248</v>
      </c>
      <c r="D36" s="217">
        <f>SUM(D21:D34)</f>
        <v>3869518.5067975</v>
      </c>
      <c r="E36" s="217">
        <f>SUM(E21:E34)</f>
        <v>2039336.5708688421</v>
      </c>
      <c r="F36" s="217">
        <f>SUM(F21:F34)</f>
        <v>199773.5</v>
      </c>
      <c r="G36" s="217">
        <f>SUM(G21:G34)</f>
        <v>82725.979999999981</v>
      </c>
      <c r="H36" s="217">
        <f>SUM(H21:H34)</f>
        <v>5626355.5976663418</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251">
        <v>118074.4</v>
      </c>
      <c r="E40" s="251">
        <v>83390.871520800007</v>
      </c>
      <c r="F40" s="252"/>
      <c r="G40" s="251"/>
      <c r="H40" s="217">
        <f>(D40+E40)-F40-G40</f>
        <v>201465.27152080002</v>
      </c>
    </row>
    <row r="41" spans="1:8" ht="18" customHeight="1" x14ac:dyDescent="0.55000000000000004">
      <c r="A41" s="180" t="s">
        <v>251</v>
      </c>
      <c r="B41" s="176" t="s">
        <v>141</v>
      </c>
      <c r="D41" s="251">
        <v>57879.640893300006</v>
      </c>
      <c r="E41" s="251">
        <v>40877.901538379374</v>
      </c>
      <c r="F41" s="252"/>
      <c r="G41" s="251"/>
      <c r="H41" s="217">
        <f t="shared" ref="H41:H47" si="1">(D41+E41)-F41-G41</f>
        <v>98757.54243167938</v>
      </c>
    </row>
    <row r="42" spans="1:8" ht="18" customHeight="1" x14ac:dyDescent="0.55000000000000004">
      <c r="A42" s="180" t="s">
        <v>252</v>
      </c>
      <c r="B42" s="176" t="s">
        <v>143</v>
      </c>
      <c r="D42" s="251">
        <v>221383.50611805002</v>
      </c>
      <c r="E42" s="251">
        <v>156353.65088041566</v>
      </c>
      <c r="F42" s="252"/>
      <c r="G42" s="251"/>
      <c r="H42" s="217">
        <f t="shared" si="1"/>
        <v>377737.15699846565</v>
      </c>
    </row>
    <row r="43" spans="1:8" ht="18" customHeight="1" x14ac:dyDescent="0.55000000000000004">
      <c r="A43" s="180" t="s">
        <v>253</v>
      </c>
      <c r="B43" s="176" t="s">
        <v>145</v>
      </c>
      <c r="D43" s="251"/>
      <c r="E43" s="252"/>
      <c r="F43" s="252"/>
      <c r="G43" s="251"/>
      <c r="H43" s="217">
        <f t="shared" si="1"/>
        <v>0</v>
      </c>
    </row>
    <row r="44" spans="1:8" ht="18" customHeight="1" x14ac:dyDescent="0.55000000000000004">
      <c r="A44" s="180" t="s">
        <v>146</v>
      </c>
      <c r="B44" s="185"/>
      <c r="D44" s="322"/>
      <c r="E44" s="335"/>
      <c r="F44" s="335"/>
      <c r="G44" s="322"/>
      <c r="H44" s="217">
        <f t="shared" si="1"/>
        <v>0</v>
      </c>
    </row>
    <row r="45" spans="1:8" ht="18" customHeight="1" x14ac:dyDescent="0.55000000000000004">
      <c r="A45" s="180" t="s">
        <v>147</v>
      </c>
      <c r="B45" s="185"/>
      <c r="D45" s="251"/>
      <c r="E45" s="252"/>
      <c r="F45" s="252"/>
      <c r="G45" s="251"/>
      <c r="H45" s="217">
        <f t="shared" si="1"/>
        <v>0</v>
      </c>
    </row>
    <row r="46" spans="1:8" ht="18" customHeight="1" x14ac:dyDescent="0.55000000000000004">
      <c r="A46" s="180" t="s">
        <v>148</v>
      </c>
      <c r="B46" s="185"/>
      <c r="D46" s="251"/>
      <c r="E46" s="252"/>
      <c r="F46" s="252"/>
      <c r="G46" s="251"/>
      <c r="H46" s="217">
        <f t="shared" si="1"/>
        <v>0</v>
      </c>
    </row>
    <row r="47" spans="1:8" ht="18" customHeight="1" x14ac:dyDescent="0.55000000000000004">
      <c r="A47" s="180" t="s">
        <v>149</v>
      </c>
      <c r="B47" s="185"/>
      <c r="D47" s="251"/>
      <c r="E47" s="252"/>
      <c r="F47" s="252"/>
      <c r="G47" s="251"/>
      <c r="H47" s="217">
        <f t="shared" si="1"/>
        <v>0</v>
      </c>
    </row>
    <row r="49" spans="1:8" ht="18" customHeight="1" x14ac:dyDescent="0.55000000000000004">
      <c r="A49" s="183" t="s">
        <v>150</v>
      </c>
      <c r="B49" s="179" t="s">
        <v>254</v>
      </c>
      <c r="C49" s="179" t="s">
        <v>248</v>
      </c>
      <c r="D49" s="217">
        <f>SUM(D40:D47)</f>
        <v>397337.54701135005</v>
      </c>
      <c r="E49" s="217">
        <f>SUM(E40:E47)</f>
        <v>280622.42393959506</v>
      </c>
      <c r="F49" s="217">
        <f>SUM(F40:F47)</f>
        <v>0</v>
      </c>
      <c r="G49" s="217">
        <f>SUM(G40:G47)</f>
        <v>0</v>
      </c>
      <c r="H49" s="217">
        <f>SUM(H40:H47)</f>
        <v>677959.97095094505</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81">
        <v>7711303.96</v>
      </c>
      <c r="E53" s="281"/>
      <c r="F53" s="281"/>
      <c r="G53" s="281"/>
      <c r="H53" s="217">
        <f>(D53+E53)-F53-G53</f>
        <v>7711303.96</v>
      </c>
    </row>
    <row r="54" spans="1:8" ht="18" customHeight="1" x14ac:dyDescent="0.55000000000000004">
      <c r="A54" s="180" t="s">
        <v>259</v>
      </c>
      <c r="B54" s="193" t="s">
        <v>613</v>
      </c>
      <c r="D54" s="285">
        <v>1101745.8799999999</v>
      </c>
      <c r="E54" s="406">
        <v>778115.73997115996</v>
      </c>
      <c r="F54" s="406"/>
      <c r="G54" s="285">
        <v>403023.28</v>
      </c>
      <c r="H54" s="217">
        <f t="shared" ref="H54:H62" si="2">(D54+E54)-F54-G54</f>
        <v>1476838.3399711598</v>
      </c>
    </row>
    <row r="55" spans="1:8" ht="18" customHeight="1" x14ac:dyDescent="0.55000000000000004">
      <c r="A55" s="180" t="s">
        <v>260</v>
      </c>
      <c r="B55" s="194" t="s">
        <v>475</v>
      </c>
      <c r="D55" s="285">
        <v>5180663.4590176512</v>
      </c>
      <c r="E55" s="406"/>
      <c r="F55" s="406"/>
      <c r="G55" s="285"/>
      <c r="H55" s="217">
        <f t="shared" si="2"/>
        <v>5180663.4590176512</v>
      </c>
    </row>
    <row r="56" spans="1:8" ht="18" customHeight="1" x14ac:dyDescent="0.55000000000000004">
      <c r="A56" s="180" t="s">
        <v>261</v>
      </c>
      <c r="B56" s="193" t="s">
        <v>614</v>
      </c>
      <c r="D56" s="285">
        <v>495611.2965</v>
      </c>
      <c r="E56" s="406">
        <v>350028.94743220048</v>
      </c>
      <c r="F56" s="406"/>
      <c r="G56" s="285"/>
      <c r="H56" s="217">
        <f t="shared" si="2"/>
        <v>845640.24393220048</v>
      </c>
    </row>
    <row r="57" spans="1:8" ht="18" customHeight="1" x14ac:dyDescent="0.55000000000000004">
      <c r="A57" s="180" t="s">
        <v>263</v>
      </c>
      <c r="B57" s="193"/>
      <c r="D57" s="285"/>
      <c r="E57" s="406"/>
      <c r="F57" s="406"/>
      <c r="G57" s="285"/>
      <c r="H57" s="217">
        <f t="shared" si="2"/>
        <v>0</v>
      </c>
    </row>
    <row r="58" spans="1:8" ht="18" customHeight="1" x14ac:dyDescent="0.55000000000000004">
      <c r="A58" s="180" t="s">
        <v>264</v>
      </c>
      <c r="B58" s="193"/>
      <c r="D58" s="285"/>
      <c r="E58" s="406"/>
      <c r="F58" s="406"/>
      <c r="G58" s="285"/>
      <c r="H58" s="217">
        <f>(D58+E58)-F58-G58</f>
        <v>0</v>
      </c>
    </row>
    <row r="59" spans="1:8" ht="18" customHeight="1" x14ac:dyDescent="0.55000000000000004">
      <c r="A59" s="180" t="s">
        <v>265</v>
      </c>
      <c r="B59" s="223"/>
      <c r="D59" s="407"/>
      <c r="E59" s="408"/>
      <c r="F59" s="408"/>
      <c r="G59" s="407"/>
      <c r="H59" s="217">
        <f t="shared" si="2"/>
        <v>0</v>
      </c>
    </row>
    <row r="60" spans="1:8" ht="18" customHeight="1" x14ac:dyDescent="0.55000000000000004">
      <c r="A60" s="180" t="s">
        <v>266</v>
      </c>
      <c r="B60" s="226"/>
      <c r="C60" s="212"/>
      <c r="D60" s="281"/>
      <c r="E60" s="281"/>
      <c r="F60" s="281"/>
      <c r="G60" s="281"/>
      <c r="H60" s="217">
        <f t="shared" si="2"/>
        <v>0</v>
      </c>
    </row>
    <row r="61" spans="1:8" ht="18" customHeight="1" x14ac:dyDescent="0.55000000000000004">
      <c r="A61" s="180" t="s">
        <v>267</v>
      </c>
      <c r="B61" s="226"/>
      <c r="C61" s="212"/>
      <c r="D61" s="281"/>
      <c r="E61" s="281"/>
      <c r="F61" s="281"/>
      <c r="G61" s="281"/>
      <c r="H61" s="217">
        <f t="shared" si="2"/>
        <v>0</v>
      </c>
    </row>
    <row r="62" spans="1:8" ht="18" customHeight="1" x14ac:dyDescent="0.55000000000000004">
      <c r="A62" s="180" t="s">
        <v>268</v>
      </c>
      <c r="B62" s="226"/>
      <c r="C62" s="212"/>
      <c r="D62" s="281"/>
      <c r="E62" s="281"/>
      <c r="F62" s="281"/>
      <c r="G62" s="281"/>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14489324.59551765</v>
      </c>
      <c r="E64" s="217">
        <f>SUM(E53:E62)</f>
        <v>1128144.6874033604</v>
      </c>
      <c r="F64" s="217">
        <f>SUM(F53:F62)</f>
        <v>0</v>
      </c>
      <c r="G64" s="217">
        <f>SUM(G53:G62)</f>
        <v>403023.28</v>
      </c>
      <c r="H64" s="217">
        <f>SUM(H53:H62)</f>
        <v>15214446.002921011</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85">
        <v>781943.2</v>
      </c>
      <c r="E68" s="285">
        <v>552252.85860240005</v>
      </c>
      <c r="F68" s="216"/>
      <c r="G68" s="228"/>
      <c r="H68" s="217">
        <f>(D68+E68)-F68-G68</f>
        <v>1334196.0586024001</v>
      </c>
      <c r="J68" s="254"/>
    </row>
    <row r="69" spans="1:10" ht="18" customHeight="1" x14ac:dyDescent="0.55000000000000004">
      <c r="A69" s="180" t="s">
        <v>273</v>
      </c>
      <c r="B69" s="176" t="s">
        <v>159</v>
      </c>
      <c r="D69" s="285">
        <v>17179.085000000003</v>
      </c>
      <c r="E69" s="285">
        <v>12132.849034845003</v>
      </c>
      <c r="F69" s="216"/>
      <c r="G69" s="228"/>
      <c r="H69" s="217">
        <f>(D69+E69)-F69-G69</f>
        <v>29311.934034845006</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799122.28499999992</v>
      </c>
      <c r="E74" s="229">
        <f>SUM(E68:E72)</f>
        <v>564385.70763724507</v>
      </c>
      <c r="F74" s="229">
        <f>SUM(F68:F72)</f>
        <v>0</v>
      </c>
      <c r="G74" s="217">
        <f>SUM(G68:G72)</f>
        <v>0</v>
      </c>
      <c r="H74" s="217">
        <f>SUM(H68:H72)</f>
        <v>1363507.9926372452</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251">
        <v>6420.2062500000002</v>
      </c>
      <c r="E77" s="230"/>
      <c r="F77" s="220"/>
      <c r="G77" s="184"/>
      <c r="H77" s="217">
        <f>(D77-F77-G77)</f>
        <v>6420.2062500000002</v>
      </c>
    </row>
    <row r="78" spans="1:10" ht="18" customHeight="1" x14ac:dyDescent="0.55000000000000004">
      <c r="A78" s="180" t="s">
        <v>281</v>
      </c>
      <c r="B78" s="176" t="s">
        <v>166</v>
      </c>
      <c r="D78" s="251">
        <v>274366.44750000001</v>
      </c>
      <c r="E78" s="230"/>
      <c r="F78" s="220"/>
      <c r="G78" s="184"/>
      <c r="H78" s="217">
        <f>(D78-F78-G78)</f>
        <v>274366.44750000001</v>
      </c>
    </row>
    <row r="79" spans="1:10" ht="18" customHeight="1" x14ac:dyDescent="0.55000000000000004">
      <c r="A79" s="180" t="s">
        <v>282</v>
      </c>
      <c r="B79" s="176" t="s">
        <v>168</v>
      </c>
      <c r="D79" s="251">
        <v>146544.03570855001</v>
      </c>
      <c r="E79" s="230"/>
      <c r="F79" s="220"/>
      <c r="G79" s="184"/>
      <c r="H79" s="217">
        <f>(D79-F79-G79)</f>
        <v>146544.03570855001</v>
      </c>
    </row>
    <row r="80" spans="1:10" ht="18" customHeight="1" x14ac:dyDescent="0.55000000000000004">
      <c r="A80" s="180" t="s">
        <v>283</v>
      </c>
      <c r="B80" s="176" t="s">
        <v>170</v>
      </c>
      <c r="D80" s="251"/>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427330.68945855001</v>
      </c>
      <c r="E82" s="231"/>
      <c r="F82" s="217">
        <f>SUM(F77:F80)</f>
        <v>0</v>
      </c>
      <c r="G82" s="217">
        <f>SUM(G77:G80)</f>
        <v>0</v>
      </c>
      <c r="H82" s="217">
        <f>SUM(H77:H80)</f>
        <v>427330.68945855001</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251">
        <v>73864.779970800009</v>
      </c>
      <c r="E88" s="252">
        <v>52167.517907837304</v>
      </c>
      <c r="F88" s="252"/>
      <c r="G88" s="251"/>
      <c r="H88" s="217">
        <f t="shared" si="3"/>
        <v>126032.29787863731</v>
      </c>
    </row>
    <row r="89" spans="1:8" ht="18" customHeight="1" x14ac:dyDescent="0.55000000000000004">
      <c r="A89" s="180" t="s">
        <v>290</v>
      </c>
      <c r="B89" s="176" t="s">
        <v>181</v>
      </c>
      <c r="D89" s="251"/>
      <c r="E89" s="252"/>
      <c r="F89" s="252"/>
      <c r="G89" s="251"/>
      <c r="H89" s="217">
        <f t="shared" si="3"/>
        <v>0</v>
      </c>
    </row>
    <row r="90" spans="1:8" ht="18" customHeight="1" x14ac:dyDescent="0.55000000000000004">
      <c r="A90" s="180" t="s">
        <v>291</v>
      </c>
      <c r="B90" s="176" t="s">
        <v>183</v>
      </c>
      <c r="D90" s="251"/>
      <c r="E90" s="252"/>
      <c r="F90" s="252"/>
      <c r="G90" s="251"/>
      <c r="H90" s="217">
        <f t="shared" si="3"/>
        <v>0</v>
      </c>
    </row>
    <row r="91" spans="1:8" ht="18" customHeight="1" x14ac:dyDescent="0.55000000000000004">
      <c r="A91" s="180" t="s">
        <v>292</v>
      </c>
      <c r="B91" s="176" t="s">
        <v>185</v>
      </c>
      <c r="D91" s="251">
        <v>167473.37561625001</v>
      </c>
      <c r="E91" s="252">
        <v>118279.24384260588</v>
      </c>
      <c r="F91" s="252"/>
      <c r="G91" s="251"/>
      <c r="H91" s="217">
        <f t="shared" si="3"/>
        <v>285752.61945885589</v>
      </c>
    </row>
    <row r="92" spans="1:8" ht="18" customHeight="1" x14ac:dyDescent="0.55000000000000004">
      <c r="A92" s="180" t="s">
        <v>293</v>
      </c>
      <c r="B92" s="176" t="s">
        <v>294</v>
      </c>
      <c r="D92" s="286">
        <v>77121.928665000014</v>
      </c>
      <c r="E92" s="252">
        <v>54467.901973156913</v>
      </c>
      <c r="F92" s="287"/>
      <c r="G92" s="286"/>
      <c r="H92" s="217">
        <f t="shared" si="3"/>
        <v>131589.83063815691</v>
      </c>
    </row>
    <row r="93" spans="1:8" ht="18" customHeight="1" x14ac:dyDescent="0.55000000000000004">
      <c r="A93" s="180" t="s">
        <v>295</v>
      </c>
      <c r="B93" s="176" t="s">
        <v>296</v>
      </c>
      <c r="D93" s="251"/>
      <c r="E93" s="252"/>
      <c r="F93" s="252"/>
      <c r="G93" s="251"/>
      <c r="H93" s="217">
        <f t="shared" si="3"/>
        <v>0</v>
      </c>
    </row>
    <row r="94" spans="1:8" ht="18" customHeight="1" x14ac:dyDescent="0.55000000000000004">
      <c r="A94" s="180" t="s">
        <v>297</v>
      </c>
      <c r="B94" s="193"/>
      <c r="D94" s="251"/>
      <c r="E94" s="252"/>
      <c r="F94" s="252"/>
      <c r="G94" s="251"/>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318460.08425205003</v>
      </c>
      <c r="E98" s="217">
        <f>SUM(E86:E96)</f>
        <v>224914.6637236001</v>
      </c>
      <c r="F98" s="217">
        <f>SUM(F86:F96)</f>
        <v>0</v>
      </c>
      <c r="G98" s="217">
        <f>SUM(G86:G96)</f>
        <v>0</v>
      </c>
      <c r="H98" s="217">
        <f>SUM(H86:H96)</f>
        <v>543374.74797565013</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251">
        <v>126356.5065594</v>
      </c>
      <c r="E102" s="252">
        <v>89240.16725312217</v>
      </c>
      <c r="F102" s="252"/>
      <c r="G102" s="251"/>
      <c r="H102" s="217">
        <f>(D102+E102)-F102-G102</f>
        <v>215596.67381252217</v>
      </c>
    </row>
    <row r="103" spans="1:8" ht="18" customHeight="1" x14ac:dyDescent="0.55000000000000004">
      <c r="A103" s="180" t="s">
        <v>304</v>
      </c>
      <c r="B103" s="176" t="s">
        <v>199</v>
      </c>
      <c r="D103" s="251">
        <v>103277.48284500001</v>
      </c>
      <c r="E103" s="252">
        <v>72940.445201661176</v>
      </c>
      <c r="F103" s="252"/>
      <c r="G103" s="251"/>
      <c r="H103" s="217">
        <f>(D103+E103)-F103-G103</f>
        <v>176217.9280466612</v>
      </c>
    </row>
    <row r="104" spans="1:8" ht="18" customHeight="1" x14ac:dyDescent="0.55000000000000004">
      <c r="A104" s="180" t="s">
        <v>305</v>
      </c>
      <c r="B104" s="193" t="s">
        <v>615</v>
      </c>
      <c r="D104" s="251">
        <v>85701.699072000003</v>
      </c>
      <c r="E104" s="252">
        <v>60527.424881493505</v>
      </c>
      <c r="F104" s="252"/>
      <c r="G104" s="251"/>
      <c r="H104" s="217">
        <f>(D104+E104)-F104-G104</f>
        <v>146229.12395349352</v>
      </c>
    </row>
    <row r="105" spans="1:8" ht="18" customHeight="1" x14ac:dyDescent="0.55000000000000004">
      <c r="A105" s="180" t="s">
        <v>306</v>
      </c>
      <c r="B105" s="193" t="s">
        <v>478</v>
      </c>
      <c r="D105" s="251">
        <v>7178.0489946382249</v>
      </c>
      <c r="E105" s="252"/>
      <c r="F105" s="252"/>
      <c r="G105" s="251"/>
      <c r="H105" s="217">
        <f>(D105+E105)-F105-G105</f>
        <v>7178.0489946382249</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322513.73747103818</v>
      </c>
      <c r="E108" s="217">
        <f>SUM(E102:E106)</f>
        <v>222708.03733627684</v>
      </c>
      <c r="F108" s="217">
        <f>SUM(F102:F106)</f>
        <v>0</v>
      </c>
      <c r="G108" s="217">
        <f>SUM(G102:G106)</f>
        <v>0</v>
      </c>
      <c r="H108" s="217">
        <f>SUM(H102:H106)</f>
        <v>545221.7748073152</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251">
        <v>12895820.52</v>
      </c>
      <c r="G111" s="251">
        <v>6637131.7221623873</v>
      </c>
      <c r="H111" s="217">
        <f>F111-G111</f>
        <v>6258688.7978376122</v>
      </c>
    </row>
    <row r="112" spans="1:8" ht="18" customHeight="1" x14ac:dyDescent="0.55000000000000004">
      <c r="B112" s="179"/>
      <c r="D112" s="179"/>
      <c r="G112" s="176" t="s">
        <v>247</v>
      </c>
    </row>
    <row r="113" spans="1:7" ht="18" customHeight="1" x14ac:dyDescent="0.55000000000000004">
      <c r="A113" s="183"/>
      <c r="B113" s="179" t="s">
        <v>312</v>
      </c>
    </row>
    <row r="114" spans="1:7" ht="18" customHeight="1" x14ac:dyDescent="0.55000000000000004">
      <c r="A114" s="180" t="s">
        <v>313</v>
      </c>
      <c r="B114" s="176" t="s">
        <v>314</v>
      </c>
      <c r="D114" s="235" t="s">
        <v>428</v>
      </c>
      <c r="E114" s="236">
        <v>0.70625700000000002</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251">
        <v>411518518.00999987</v>
      </c>
      <c r="F117" s="237"/>
    </row>
    <row r="118" spans="1:7" ht="18" customHeight="1" x14ac:dyDescent="0.55000000000000004">
      <c r="A118" s="180" t="s">
        <v>319</v>
      </c>
      <c r="B118" s="176" t="s">
        <v>320</v>
      </c>
      <c r="E118" s="251">
        <v>28988426.439999998</v>
      </c>
      <c r="F118" s="288" t="s">
        <v>616</v>
      </c>
    </row>
    <row r="119" spans="1:7" ht="18" customHeight="1" x14ac:dyDescent="0.55000000000000004">
      <c r="A119" s="180" t="s">
        <v>321</v>
      </c>
      <c r="B119" s="179" t="s">
        <v>322</v>
      </c>
      <c r="E119" s="217">
        <f>SUM(E117:E118)</f>
        <v>440506944.44999987</v>
      </c>
      <c r="F119" s="238"/>
    </row>
    <row r="120" spans="1:7" ht="18" customHeight="1" x14ac:dyDescent="0.55000000000000004">
      <c r="A120" s="180"/>
      <c r="B120" s="179"/>
      <c r="E120" s="275"/>
      <c r="F120" s="212"/>
    </row>
    <row r="121" spans="1:7" ht="18" customHeight="1" x14ac:dyDescent="0.55000000000000004">
      <c r="A121" s="180" t="s">
        <v>323</v>
      </c>
      <c r="B121" s="179" t="s">
        <v>324</v>
      </c>
      <c r="E121" s="251">
        <v>408846143.60999995</v>
      </c>
      <c r="F121" s="237"/>
    </row>
    <row r="122" spans="1:7" ht="18" customHeight="1" x14ac:dyDescent="0.55000000000000004">
      <c r="A122" s="180"/>
      <c r="E122" s="275"/>
      <c r="F122" s="212"/>
    </row>
    <row r="123" spans="1:7" ht="18" customHeight="1" x14ac:dyDescent="0.55000000000000004">
      <c r="A123" s="180" t="s">
        <v>325</v>
      </c>
      <c r="B123" s="179" t="s">
        <v>326</v>
      </c>
      <c r="E123" s="251">
        <f>E119-E121</f>
        <v>31660800.839999914</v>
      </c>
      <c r="F123" s="237"/>
    </row>
    <row r="124" spans="1:7" ht="18" customHeight="1" x14ac:dyDescent="0.55000000000000004">
      <c r="A124" s="180"/>
      <c r="E124" s="275"/>
      <c r="F124" s="212"/>
    </row>
    <row r="125" spans="1:7" ht="18" customHeight="1" x14ac:dyDescent="0.55000000000000004">
      <c r="A125" s="180" t="s">
        <v>327</v>
      </c>
      <c r="B125" s="179" t="s">
        <v>328</v>
      </c>
      <c r="E125" s="251">
        <v>5154361.34</v>
      </c>
      <c r="F125" s="237"/>
    </row>
    <row r="126" spans="1:7" ht="18" customHeight="1" x14ac:dyDescent="0.55000000000000004">
      <c r="A126" s="180"/>
      <c r="E126" s="275"/>
      <c r="F126" s="212"/>
    </row>
    <row r="127" spans="1:7" ht="18" customHeight="1" x14ac:dyDescent="0.55000000000000004">
      <c r="A127" s="180" t="s">
        <v>329</v>
      </c>
      <c r="B127" s="179" t="s">
        <v>330</v>
      </c>
      <c r="E127" s="251">
        <f>E123+E125</f>
        <v>36815162.179999918</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3869518.5067975</v>
      </c>
      <c r="E141" s="239">
        <f>E36</f>
        <v>2039336.5708688421</v>
      </c>
      <c r="F141" s="239">
        <f>F36</f>
        <v>199773.5</v>
      </c>
      <c r="G141" s="239">
        <f>G36</f>
        <v>82725.979999999981</v>
      </c>
      <c r="H141" s="239">
        <f>H36</f>
        <v>5626355.5976663418</v>
      </c>
    </row>
    <row r="142" spans="1:8" ht="18" customHeight="1" x14ac:dyDescent="0.55000000000000004">
      <c r="A142" s="180" t="s">
        <v>150</v>
      </c>
      <c r="B142" s="179" t="s">
        <v>220</v>
      </c>
      <c r="D142" s="239">
        <f>D49</f>
        <v>397337.54701135005</v>
      </c>
      <c r="E142" s="239">
        <f>E49</f>
        <v>280622.42393959506</v>
      </c>
      <c r="F142" s="239">
        <f>F49</f>
        <v>0</v>
      </c>
      <c r="G142" s="239">
        <f>G49</f>
        <v>0</v>
      </c>
      <c r="H142" s="239">
        <f>H49</f>
        <v>677959.97095094505</v>
      </c>
    </row>
    <row r="143" spans="1:8" ht="18" customHeight="1" x14ac:dyDescent="0.55000000000000004">
      <c r="A143" s="180" t="s">
        <v>269</v>
      </c>
      <c r="B143" s="179" t="s">
        <v>222</v>
      </c>
      <c r="D143" s="239">
        <f>D64</f>
        <v>14489324.59551765</v>
      </c>
      <c r="E143" s="239">
        <f>E64</f>
        <v>1128144.6874033604</v>
      </c>
      <c r="F143" s="239">
        <f>F64</f>
        <v>0</v>
      </c>
      <c r="G143" s="239">
        <f>G64</f>
        <v>403023.28</v>
      </c>
      <c r="H143" s="239">
        <f>H64</f>
        <v>15214446.002921011</v>
      </c>
    </row>
    <row r="144" spans="1:8" ht="18" customHeight="1" x14ac:dyDescent="0.55000000000000004">
      <c r="A144" s="180" t="s">
        <v>161</v>
      </c>
      <c r="B144" s="179" t="s">
        <v>70</v>
      </c>
      <c r="D144" s="239">
        <f>D74</f>
        <v>799122.28499999992</v>
      </c>
      <c r="E144" s="239">
        <f>E74</f>
        <v>564385.70763724507</v>
      </c>
      <c r="F144" s="239">
        <f>F74</f>
        <v>0</v>
      </c>
      <c r="G144" s="239">
        <f>G74</f>
        <v>0</v>
      </c>
      <c r="H144" s="239">
        <f>H74</f>
        <v>1363507.9926372452</v>
      </c>
    </row>
    <row r="145" spans="1:8" ht="18" customHeight="1" x14ac:dyDescent="0.55000000000000004">
      <c r="A145" s="180" t="s">
        <v>171</v>
      </c>
      <c r="B145" s="179" t="s">
        <v>69</v>
      </c>
      <c r="D145" s="239">
        <f>D82</f>
        <v>427330.68945855001</v>
      </c>
      <c r="E145" s="239">
        <f>E82</f>
        <v>0</v>
      </c>
      <c r="F145" s="239">
        <f>F82</f>
        <v>0</v>
      </c>
      <c r="G145" s="239">
        <f>G82</f>
        <v>0</v>
      </c>
      <c r="H145" s="239">
        <f>H82</f>
        <v>427330.68945855001</v>
      </c>
    </row>
    <row r="146" spans="1:8" ht="18" customHeight="1" x14ac:dyDescent="0.55000000000000004">
      <c r="A146" s="180" t="s">
        <v>193</v>
      </c>
      <c r="B146" s="179" t="s">
        <v>226</v>
      </c>
      <c r="D146" s="239">
        <f>D98</f>
        <v>318460.08425205003</v>
      </c>
      <c r="E146" s="239">
        <f>E98</f>
        <v>224914.6637236001</v>
      </c>
      <c r="F146" s="239">
        <f>F98</f>
        <v>0</v>
      </c>
      <c r="G146" s="239">
        <f>G98</f>
        <v>0</v>
      </c>
      <c r="H146" s="239">
        <f>H98</f>
        <v>543374.74797565013</v>
      </c>
    </row>
    <row r="147" spans="1:8" ht="18" customHeight="1" x14ac:dyDescent="0.55000000000000004">
      <c r="A147" s="180" t="s">
        <v>204</v>
      </c>
      <c r="B147" s="179" t="s">
        <v>71</v>
      </c>
      <c r="D147" s="217">
        <f>D108</f>
        <v>322513.73747103818</v>
      </c>
      <c r="E147" s="217">
        <f>E108</f>
        <v>222708.03733627684</v>
      </c>
      <c r="F147" s="217">
        <f>F108</f>
        <v>0</v>
      </c>
      <c r="G147" s="217">
        <f>G108</f>
        <v>0</v>
      </c>
      <c r="H147" s="217">
        <f>H108</f>
        <v>545221.7748073152</v>
      </c>
    </row>
    <row r="148" spans="1:8" ht="18" customHeight="1" x14ac:dyDescent="0.55000000000000004">
      <c r="A148" s="180" t="s">
        <v>310</v>
      </c>
      <c r="B148" s="179" t="s">
        <v>58</v>
      </c>
      <c r="D148" s="240" t="s">
        <v>245</v>
      </c>
      <c r="E148" s="240" t="s">
        <v>245</v>
      </c>
      <c r="F148" s="240"/>
      <c r="G148" s="240" t="s">
        <v>245</v>
      </c>
      <c r="H148" s="239">
        <f>H111</f>
        <v>6258688.7978376122</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8680368.9342509843</v>
      </c>
      <c r="E150" s="217">
        <f>E18</f>
        <v>0</v>
      </c>
      <c r="F150" s="217">
        <f>F18</f>
        <v>0</v>
      </c>
      <c r="G150" s="217">
        <f>G18</f>
        <v>7194030.69728301</v>
      </c>
      <c r="H150" s="217">
        <f>H18</f>
        <v>1486338.2369679743</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29303976.379759118</v>
      </c>
      <c r="E152" s="241">
        <f>SUM(E141:E150)</f>
        <v>4460112.0909089195</v>
      </c>
      <c r="F152" s="241">
        <f>SUM(F141:F150)</f>
        <v>199773.5</v>
      </c>
      <c r="G152" s="241">
        <f>SUM(G141:G150)</f>
        <v>7679779.9572830098</v>
      </c>
      <c r="H152" s="241">
        <f>SUM(H141:H150)</f>
        <v>32143223.811222646</v>
      </c>
    </row>
    <row r="154" spans="1:8" ht="18" customHeight="1" x14ac:dyDescent="0.55000000000000004">
      <c r="A154" s="183" t="s">
        <v>339</v>
      </c>
      <c r="B154" s="179" t="s">
        <v>340</v>
      </c>
      <c r="D154" s="242">
        <f>H152/E121</f>
        <v>7.8619364065432407E-2</v>
      </c>
    </row>
    <row r="155" spans="1:8" ht="18" customHeight="1" x14ac:dyDescent="0.55000000000000004">
      <c r="A155" s="183" t="s">
        <v>341</v>
      </c>
      <c r="B155" s="179" t="s">
        <v>342</v>
      </c>
      <c r="D155" s="242">
        <f>H152/E127</f>
        <v>0.87309743887763358</v>
      </c>
    </row>
  </sheetData>
  <mergeCells count="6">
    <mergeCell ref="B13:D13"/>
    <mergeCell ref="C2:D2"/>
    <mergeCell ref="C5:E5"/>
    <mergeCell ref="C9:E9"/>
    <mergeCell ref="C10:E10"/>
    <mergeCell ref="C11:E11"/>
  </mergeCells>
  <pageMargins left="0.7" right="0.7" top="0.75" bottom="0.75" header="0.3" footer="0.3"/>
  <pageSetup orientation="portrait" horizontalDpi="1200" verticalDpi="12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7B905-C166-442E-AC28-4821CD1C8A02}">
  <sheetPr codeName="Sheet49"/>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10" ht="18" customHeight="1" x14ac:dyDescent="0.55000000000000004">
      <c r="C1" s="177"/>
      <c r="D1" s="177"/>
      <c r="E1" s="177"/>
      <c r="F1" s="177"/>
      <c r="G1" s="177"/>
      <c r="H1" s="177"/>
    </row>
    <row r="2" spans="1:10" ht="18" customHeight="1" x14ac:dyDescent="0.55000000000000004">
      <c r="C2" s="496"/>
      <c r="D2" s="496"/>
    </row>
    <row r="3" spans="1:10" ht="18" customHeight="1" x14ac:dyDescent="0.55000000000000004">
      <c r="B3" s="179" t="s">
        <v>235</v>
      </c>
    </row>
    <row r="5" spans="1:10" ht="18" customHeight="1" x14ac:dyDescent="0.55000000000000004">
      <c r="B5" s="180" t="s">
        <v>236</v>
      </c>
      <c r="C5" s="501" t="s">
        <v>617</v>
      </c>
      <c r="D5" s="501"/>
      <c r="E5" s="501"/>
      <c r="F5" s="208"/>
    </row>
    <row r="6" spans="1:10" ht="18" customHeight="1" x14ac:dyDescent="0.55000000000000004">
      <c r="B6" s="180" t="s">
        <v>237</v>
      </c>
      <c r="C6" s="516">
        <v>210058</v>
      </c>
      <c r="D6" s="516"/>
      <c r="E6" s="516"/>
      <c r="F6" s="209"/>
    </row>
    <row r="7" spans="1:10" ht="18" customHeight="1" x14ac:dyDescent="0.55000000000000004">
      <c r="B7" s="180" t="s">
        <v>238</v>
      </c>
      <c r="C7" s="512">
        <v>678</v>
      </c>
      <c r="D7" s="512"/>
      <c r="E7" s="512"/>
      <c r="F7" s="210"/>
    </row>
    <row r="8" spans="1:10" ht="18" customHeight="1" x14ac:dyDescent="0.55000000000000004">
      <c r="C8" s="211"/>
      <c r="D8" s="211"/>
      <c r="E8" s="211"/>
      <c r="F8" s="212"/>
    </row>
    <row r="9" spans="1:10" ht="18" customHeight="1" x14ac:dyDescent="0.55000000000000004">
      <c r="B9" s="180" t="s">
        <v>239</v>
      </c>
      <c r="C9" s="501" t="s">
        <v>618</v>
      </c>
      <c r="D9" s="501"/>
      <c r="E9" s="501"/>
      <c r="F9" s="208"/>
    </row>
    <row r="10" spans="1:10" ht="18" customHeight="1" x14ac:dyDescent="0.55000000000000004">
      <c r="B10" s="180" t="s">
        <v>241</v>
      </c>
      <c r="C10" s="513" t="s">
        <v>619</v>
      </c>
      <c r="D10" s="513"/>
      <c r="E10" s="513"/>
      <c r="F10" s="213"/>
    </row>
    <row r="11" spans="1:10" ht="18" customHeight="1" x14ac:dyDescent="0.55000000000000004">
      <c r="B11" s="180" t="s">
        <v>243</v>
      </c>
      <c r="C11" s="501" t="s">
        <v>620</v>
      </c>
      <c r="D11" s="501"/>
      <c r="E11" s="501"/>
      <c r="F11" s="208"/>
    </row>
    <row r="12" spans="1:10" ht="18" customHeight="1" x14ac:dyDescent="0.55000000000000004">
      <c r="B12" s="180"/>
      <c r="C12" s="180"/>
    </row>
    <row r="13" spans="1:10" ht="24.75" customHeight="1" x14ac:dyDescent="0.55000000000000004">
      <c r="B13" s="493"/>
      <c r="C13" s="494"/>
      <c r="D13" s="495"/>
      <c r="E13" s="177"/>
      <c r="F13" s="177"/>
    </row>
    <row r="14" spans="1:10" ht="18" customHeight="1" x14ac:dyDescent="0.55000000000000004">
      <c r="B14" s="181"/>
    </row>
    <row r="15" spans="1:10" ht="18" customHeight="1" x14ac:dyDescent="0.55000000000000004">
      <c r="B15" s="181"/>
    </row>
    <row r="16" spans="1:10" ht="45" customHeight="1" x14ac:dyDescent="0.55000000000000004">
      <c r="A16" s="178" t="s">
        <v>98</v>
      </c>
      <c r="B16" s="177"/>
      <c r="C16" s="177"/>
      <c r="D16" s="182" t="s">
        <v>99</v>
      </c>
      <c r="E16" s="182" t="s">
        <v>100</v>
      </c>
      <c r="F16" s="182" t="s">
        <v>431</v>
      </c>
      <c r="G16" s="182" t="s">
        <v>432</v>
      </c>
      <c r="H16" s="182" t="s">
        <v>244</v>
      </c>
      <c r="J16" s="176" t="s">
        <v>621</v>
      </c>
    </row>
    <row r="17" spans="1:10" ht="18" customHeight="1" x14ac:dyDescent="0.55000000000000004">
      <c r="A17" s="183" t="s">
        <v>101</v>
      </c>
      <c r="B17" s="179" t="s">
        <v>102</v>
      </c>
    </row>
    <row r="18" spans="1:10" ht="18" customHeight="1" x14ac:dyDescent="0.55000000000000004">
      <c r="A18" s="180" t="s">
        <v>103</v>
      </c>
      <c r="B18" s="176" t="s">
        <v>104</v>
      </c>
      <c r="D18" s="214">
        <v>2403072.4680479327</v>
      </c>
      <c r="E18" s="214"/>
      <c r="F18" s="214"/>
      <c r="G18" s="214">
        <v>1991594.7391035871</v>
      </c>
      <c r="H18" s="249">
        <f>(D18+E18)-G18</f>
        <v>411477.72894434561</v>
      </c>
    </row>
    <row r="19" spans="1:10" ht="45" customHeight="1" x14ac:dyDescent="0.55000000000000004">
      <c r="A19" s="178" t="s">
        <v>105</v>
      </c>
      <c r="B19" s="177"/>
      <c r="C19" s="177"/>
      <c r="D19" s="182" t="s">
        <v>99</v>
      </c>
      <c r="E19" s="182" t="s">
        <v>100</v>
      </c>
      <c r="F19" s="182" t="s">
        <v>431</v>
      </c>
      <c r="G19" s="182" t="s">
        <v>432</v>
      </c>
      <c r="H19" s="182" t="s">
        <v>244</v>
      </c>
    </row>
    <row r="20" spans="1:10" ht="18" customHeight="1" x14ac:dyDescent="0.55000000000000004">
      <c r="A20" s="183" t="s">
        <v>108</v>
      </c>
      <c r="B20" s="179" t="s">
        <v>109</v>
      </c>
    </row>
    <row r="21" spans="1:10" ht="18" customHeight="1" x14ac:dyDescent="0.55000000000000004">
      <c r="A21" s="180" t="s">
        <v>110</v>
      </c>
      <c r="B21" s="176" t="s">
        <v>111</v>
      </c>
      <c r="D21" s="251">
        <v>1225</v>
      </c>
      <c r="E21" s="252">
        <f>D21*0.12</f>
        <v>147</v>
      </c>
      <c r="F21" s="216"/>
      <c r="G21" s="184"/>
      <c r="H21" s="217">
        <f>(D21+E21)-F21-G21</f>
        <v>1372</v>
      </c>
      <c r="J21" s="176">
        <v>33</v>
      </c>
    </row>
    <row r="22" spans="1:10" ht="18" customHeight="1" x14ac:dyDescent="0.55000000000000004">
      <c r="A22" s="180" t="s">
        <v>112</v>
      </c>
      <c r="B22" s="176" t="s">
        <v>113</v>
      </c>
      <c r="D22" s="184"/>
      <c r="E22" s="216"/>
      <c r="F22" s="216"/>
      <c r="G22" s="184"/>
      <c r="H22" s="217">
        <f t="shared" ref="H22:H34" si="0">(D22+E22)-F22-G22</f>
        <v>0</v>
      </c>
    </row>
    <row r="23" spans="1:10" ht="18" customHeight="1" x14ac:dyDescent="0.55000000000000004">
      <c r="A23" s="180" t="s">
        <v>114</v>
      </c>
      <c r="B23" s="176" t="s">
        <v>115</v>
      </c>
      <c r="D23" s="184"/>
      <c r="E23" s="216"/>
      <c r="F23" s="216"/>
      <c r="G23" s="184"/>
      <c r="H23" s="217">
        <f t="shared" si="0"/>
        <v>0</v>
      </c>
    </row>
    <row r="24" spans="1:10" ht="18" customHeight="1" x14ac:dyDescent="0.55000000000000004">
      <c r="A24" s="180" t="s">
        <v>116</v>
      </c>
      <c r="B24" s="176" t="s">
        <v>117</v>
      </c>
      <c r="D24" s="184"/>
      <c r="E24" s="216"/>
      <c r="F24" s="216"/>
      <c r="G24" s="184"/>
      <c r="H24" s="217">
        <f t="shared" si="0"/>
        <v>0</v>
      </c>
    </row>
    <row r="25" spans="1:10" ht="18" customHeight="1" x14ac:dyDescent="0.55000000000000004">
      <c r="A25" s="180" t="s">
        <v>118</v>
      </c>
      <c r="B25" s="176" t="s">
        <v>119</v>
      </c>
      <c r="D25" s="184"/>
      <c r="E25" s="216"/>
      <c r="F25" s="216"/>
      <c r="G25" s="184"/>
      <c r="H25" s="217">
        <f t="shared" si="0"/>
        <v>0</v>
      </c>
    </row>
    <row r="26" spans="1:10" ht="18" customHeight="1" x14ac:dyDescent="0.55000000000000004">
      <c r="A26" s="180" t="s">
        <v>120</v>
      </c>
      <c r="B26" s="176" t="s">
        <v>121</v>
      </c>
      <c r="D26" s="184"/>
      <c r="E26" s="216"/>
      <c r="F26" s="216"/>
      <c r="G26" s="184"/>
      <c r="H26" s="217">
        <f t="shared" si="0"/>
        <v>0</v>
      </c>
    </row>
    <row r="27" spans="1:10" ht="18" customHeight="1" x14ac:dyDescent="0.55000000000000004">
      <c r="A27" s="180" t="s">
        <v>122</v>
      </c>
      <c r="B27" s="176" t="s">
        <v>246</v>
      </c>
      <c r="D27" s="184"/>
      <c r="E27" s="216"/>
      <c r="F27" s="216"/>
      <c r="G27" s="184"/>
      <c r="H27" s="217">
        <f t="shared" si="0"/>
        <v>0</v>
      </c>
    </row>
    <row r="28" spans="1:10" ht="18" customHeight="1" x14ac:dyDescent="0.55000000000000004">
      <c r="A28" s="180" t="s">
        <v>124</v>
      </c>
      <c r="B28" s="176" t="s">
        <v>125</v>
      </c>
      <c r="D28" s="184"/>
      <c r="E28" s="216"/>
      <c r="F28" s="216"/>
      <c r="G28" s="184"/>
      <c r="H28" s="217">
        <f t="shared" si="0"/>
        <v>0</v>
      </c>
    </row>
    <row r="29" spans="1:10" ht="18" customHeight="1" x14ac:dyDescent="0.55000000000000004">
      <c r="A29" s="180" t="s">
        <v>126</v>
      </c>
      <c r="B29" s="176" t="s">
        <v>127</v>
      </c>
      <c r="D29" s="251">
        <v>13889</v>
      </c>
      <c r="E29" s="252">
        <f>D29*0.12</f>
        <v>1666.6799999999998</v>
      </c>
      <c r="F29" s="216"/>
      <c r="G29" s="184"/>
      <c r="H29" s="217">
        <f t="shared" si="0"/>
        <v>15555.68</v>
      </c>
      <c r="J29" s="176">
        <f>12+205+21+100+115</f>
        <v>453</v>
      </c>
    </row>
    <row r="30" spans="1:10" ht="18" customHeight="1" x14ac:dyDescent="0.55000000000000004">
      <c r="A30" s="180" t="s">
        <v>128</v>
      </c>
      <c r="B30" s="193" t="s">
        <v>622</v>
      </c>
      <c r="D30" s="285">
        <f>2588.96+9066.88</f>
        <v>11655.84</v>
      </c>
      <c r="E30" s="252">
        <f>D30*0.12</f>
        <v>1398.7008000000001</v>
      </c>
      <c r="F30" s="216"/>
      <c r="G30" s="184"/>
      <c r="H30" s="217">
        <f t="shared" si="0"/>
        <v>13054.540800000001</v>
      </c>
    </row>
    <row r="31" spans="1:10" ht="18" customHeight="1" x14ac:dyDescent="0.55000000000000004">
      <c r="A31" s="180" t="s">
        <v>130</v>
      </c>
      <c r="B31" s="185"/>
      <c r="D31" s="184"/>
      <c r="E31" s="216"/>
      <c r="F31" s="216"/>
      <c r="G31" s="184"/>
      <c r="H31" s="217">
        <f t="shared" si="0"/>
        <v>0</v>
      </c>
    </row>
    <row r="32" spans="1:10" ht="18" customHeight="1" x14ac:dyDescent="0.55000000000000004">
      <c r="A32" s="180" t="s">
        <v>131</v>
      </c>
      <c r="B32" s="185"/>
      <c r="D32" s="184"/>
      <c r="E32" s="216"/>
      <c r="F32" s="216"/>
      <c r="G32" s="184"/>
      <c r="H32" s="217">
        <f t="shared" si="0"/>
        <v>0</v>
      </c>
    </row>
    <row r="33" spans="1:10" ht="18" customHeight="1" x14ac:dyDescent="0.55000000000000004">
      <c r="A33" s="180" t="s">
        <v>132</v>
      </c>
      <c r="B33" s="185"/>
      <c r="D33" s="184"/>
      <c r="E33" s="216"/>
      <c r="F33" s="216"/>
      <c r="G33" s="184"/>
      <c r="H33" s="217">
        <f t="shared" si="0"/>
        <v>0</v>
      </c>
    </row>
    <row r="34" spans="1:10" ht="18" customHeight="1" x14ac:dyDescent="0.55000000000000004">
      <c r="A34" s="180" t="s">
        <v>133</v>
      </c>
      <c r="B34" s="185"/>
      <c r="D34" s="184"/>
      <c r="E34" s="216"/>
      <c r="F34" s="216"/>
      <c r="G34" s="184"/>
      <c r="H34" s="217">
        <f t="shared" si="0"/>
        <v>0</v>
      </c>
    </row>
    <row r="35" spans="1:10" ht="18" customHeight="1" x14ac:dyDescent="0.55000000000000004">
      <c r="H35" s="186"/>
    </row>
    <row r="36" spans="1:10" ht="18" customHeight="1" x14ac:dyDescent="0.55000000000000004">
      <c r="A36" s="183" t="s">
        <v>134</v>
      </c>
      <c r="B36" s="179" t="s">
        <v>135</v>
      </c>
      <c r="C36" s="179" t="s">
        <v>248</v>
      </c>
      <c r="D36" s="217">
        <f>SUM(D21:D34)</f>
        <v>26769.84</v>
      </c>
      <c r="E36" s="217">
        <f>SUM(E21:E34)</f>
        <v>3212.3807999999999</v>
      </c>
      <c r="F36" s="217">
        <f>SUM(F21:F34)</f>
        <v>0</v>
      </c>
      <c r="G36" s="217">
        <f>SUM(G21:G34)</f>
        <v>0</v>
      </c>
      <c r="H36" s="217">
        <f>SUM(H21:H34)</f>
        <v>29982.220800000003</v>
      </c>
    </row>
    <row r="37" spans="1:10" ht="18" customHeight="1" thickBot="1" x14ac:dyDescent="0.6">
      <c r="B37" s="179"/>
      <c r="D37" s="187"/>
      <c r="E37" s="187"/>
      <c r="F37" s="187"/>
      <c r="G37" s="187"/>
      <c r="H37" s="188"/>
    </row>
    <row r="38" spans="1:10" ht="42.75" customHeight="1" x14ac:dyDescent="0.55000000000000004">
      <c r="D38" s="182" t="s">
        <v>99</v>
      </c>
      <c r="E38" s="182" t="s">
        <v>100</v>
      </c>
      <c r="F38" s="182" t="s">
        <v>431</v>
      </c>
      <c r="G38" s="182" t="s">
        <v>432</v>
      </c>
      <c r="H38" s="182" t="s">
        <v>244</v>
      </c>
    </row>
    <row r="39" spans="1:10" ht="18.75" customHeight="1" x14ac:dyDescent="0.55000000000000004">
      <c r="A39" s="183" t="s">
        <v>249</v>
      </c>
      <c r="B39" s="179" t="s">
        <v>137</v>
      </c>
    </row>
    <row r="40" spans="1:10" ht="18" customHeight="1" x14ac:dyDescent="0.55000000000000004">
      <c r="A40" s="180" t="s">
        <v>250</v>
      </c>
      <c r="B40" s="176" t="s">
        <v>139</v>
      </c>
      <c r="D40" s="251">
        <v>4095450.6815999993</v>
      </c>
      <c r="E40" s="252">
        <v>2218368.6107307621</v>
      </c>
      <c r="F40" s="216"/>
      <c r="G40" s="184"/>
      <c r="H40" s="217">
        <f>(D40+E40)-F40-G40</f>
        <v>6313819.2923307614</v>
      </c>
    </row>
    <row r="41" spans="1:10" ht="18" customHeight="1" x14ac:dyDescent="0.55000000000000004">
      <c r="A41" s="180" t="s">
        <v>251</v>
      </c>
      <c r="B41" s="176" t="s">
        <v>141</v>
      </c>
      <c r="D41" s="184"/>
      <c r="E41" s="216"/>
      <c r="F41" s="216"/>
      <c r="G41" s="184"/>
      <c r="H41" s="217">
        <f t="shared" ref="H41:H47" si="1">(D41+E41)-F41-G41</f>
        <v>0</v>
      </c>
    </row>
    <row r="42" spans="1:10" ht="18" customHeight="1" x14ac:dyDescent="0.55000000000000004">
      <c r="A42" s="180" t="s">
        <v>252</v>
      </c>
      <c r="B42" s="176" t="s">
        <v>143</v>
      </c>
      <c r="D42" s="251">
        <f>464100+96677</f>
        <v>560777</v>
      </c>
      <c r="E42" s="252">
        <f>D42*$E$114</f>
        <v>302819.58</v>
      </c>
      <c r="F42" s="216"/>
      <c r="G42" s="184"/>
      <c r="H42" s="217">
        <f t="shared" si="1"/>
        <v>863596.58000000007</v>
      </c>
      <c r="J42" s="176">
        <v>61</v>
      </c>
    </row>
    <row r="43" spans="1:10" ht="18" customHeight="1" x14ac:dyDescent="0.55000000000000004">
      <c r="A43" s="180" t="s">
        <v>253</v>
      </c>
      <c r="B43" s="176" t="s">
        <v>145</v>
      </c>
      <c r="D43" s="184"/>
      <c r="E43" s="216"/>
      <c r="F43" s="216"/>
      <c r="G43" s="184"/>
      <c r="H43" s="217">
        <f t="shared" si="1"/>
        <v>0</v>
      </c>
    </row>
    <row r="44" spans="1:10" ht="18" customHeight="1" x14ac:dyDescent="0.55000000000000004">
      <c r="A44" s="180" t="s">
        <v>146</v>
      </c>
      <c r="B44" s="185"/>
      <c r="D44" s="219"/>
      <c r="E44" s="220"/>
      <c r="F44" s="220"/>
      <c r="G44" s="219"/>
      <c r="H44" s="217">
        <f t="shared" si="1"/>
        <v>0</v>
      </c>
    </row>
    <row r="45" spans="1:10" ht="18" customHeight="1" x14ac:dyDescent="0.55000000000000004">
      <c r="A45" s="180" t="s">
        <v>147</v>
      </c>
      <c r="B45" s="185"/>
      <c r="D45" s="184"/>
      <c r="E45" s="216"/>
      <c r="F45" s="216"/>
      <c r="G45" s="184"/>
      <c r="H45" s="217">
        <f t="shared" si="1"/>
        <v>0</v>
      </c>
    </row>
    <row r="46" spans="1:10" ht="18" customHeight="1" x14ac:dyDescent="0.55000000000000004">
      <c r="A46" s="180" t="s">
        <v>148</v>
      </c>
      <c r="B46" s="185"/>
      <c r="D46" s="184"/>
      <c r="E46" s="216"/>
      <c r="F46" s="216"/>
      <c r="G46" s="184"/>
      <c r="H46" s="217">
        <f t="shared" si="1"/>
        <v>0</v>
      </c>
    </row>
    <row r="47" spans="1:10"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4656227.6815999988</v>
      </c>
      <c r="E49" s="217">
        <f>SUM(E40:E47)</f>
        <v>2521188.1907307622</v>
      </c>
      <c r="F49" s="217">
        <f>SUM(F40:F47)</f>
        <v>0</v>
      </c>
      <c r="G49" s="217">
        <f>SUM(G40:G47)</f>
        <v>0</v>
      </c>
      <c r="H49" s="217">
        <f>SUM(H40:H47)</f>
        <v>7177415.8723307615</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22"/>
      <c r="E53" s="222"/>
      <c r="F53" s="222"/>
      <c r="G53" s="222"/>
      <c r="H53" s="217">
        <f>(D53+E53)-F53-G53</f>
        <v>0</v>
      </c>
    </row>
    <row r="54" spans="1:8" ht="18" customHeight="1" x14ac:dyDescent="0.55000000000000004">
      <c r="A54" s="180" t="s">
        <v>259</v>
      </c>
      <c r="B54" s="193" t="s">
        <v>623</v>
      </c>
      <c r="D54" s="184"/>
      <c r="E54" s="216"/>
      <c r="F54" s="216"/>
      <c r="G54" s="184"/>
      <c r="H54" s="217">
        <f t="shared" ref="H54:H62" si="2">(D54+E54)-F54-G54</f>
        <v>0</v>
      </c>
    </row>
    <row r="55" spans="1:8" ht="18" customHeight="1" x14ac:dyDescent="0.55000000000000004">
      <c r="A55" s="180" t="s">
        <v>260</v>
      </c>
      <c r="B55" s="193" t="s">
        <v>624</v>
      </c>
      <c r="D55" s="251">
        <v>1891133</v>
      </c>
      <c r="E55" s="252">
        <f>D55*$E$114</f>
        <v>1021211.8200000001</v>
      </c>
      <c r="F55" s="216"/>
      <c r="G55" s="251">
        <v>801401</v>
      </c>
      <c r="H55" s="217">
        <f t="shared" si="2"/>
        <v>2110943.8200000003</v>
      </c>
    </row>
    <row r="56" spans="1:8" ht="18" customHeight="1" x14ac:dyDescent="0.55000000000000004">
      <c r="A56" s="180" t="s">
        <v>261</v>
      </c>
      <c r="B56" s="193" t="s">
        <v>625</v>
      </c>
      <c r="D56" s="251">
        <f>173346+(92374*0.15)+(140386*0.15)</f>
        <v>208260</v>
      </c>
      <c r="E56" s="252">
        <f>D56*$E$114</f>
        <v>112460.40000000001</v>
      </c>
      <c r="F56" s="216"/>
      <c r="G56" s="184"/>
      <c r="H56" s="217">
        <f t="shared" si="2"/>
        <v>320720.40000000002</v>
      </c>
    </row>
    <row r="57" spans="1:8" ht="18" customHeight="1" x14ac:dyDescent="0.55000000000000004">
      <c r="A57" s="180" t="s">
        <v>263</v>
      </c>
      <c r="B57" s="193"/>
      <c r="D57" s="251"/>
      <c r="E57" s="252"/>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2099393</v>
      </c>
      <c r="E64" s="217">
        <f>SUM(E53:E62)</f>
        <v>1133672.22</v>
      </c>
      <c r="F64" s="217">
        <f>SUM(F53:F62)</f>
        <v>0</v>
      </c>
      <c r="G64" s="217">
        <f>SUM(G53:G62)</f>
        <v>801401</v>
      </c>
      <c r="H64" s="217">
        <f>SUM(H53:H62)</f>
        <v>2431664.2200000002</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251">
        <v>10000</v>
      </c>
      <c r="E79" s="409">
        <f>D79*0.12</f>
        <v>1200</v>
      </c>
      <c r="F79" s="220"/>
      <c r="G79" s="184"/>
      <c r="H79" s="217">
        <f>(D79-F79-G79)</f>
        <v>10000</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10000</v>
      </c>
      <c r="E82" s="231"/>
      <c r="F82" s="217">
        <f>SUM(F77:F80)</f>
        <v>0</v>
      </c>
      <c r="G82" s="217">
        <f>SUM(G77:G80)</f>
        <v>0</v>
      </c>
      <c r="H82" s="217">
        <f>SUM(H77:H80)</f>
        <v>10000</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c r="E88" s="216"/>
      <c r="F88" s="216"/>
      <c r="G88" s="184"/>
      <c r="H88" s="217">
        <f t="shared" si="3"/>
        <v>0</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c r="E91" s="216"/>
      <c r="F91" s="216"/>
      <c r="G91" s="184"/>
      <c r="H91" s="217">
        <f t="shared" si="3"/>
        <v>0</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0</v>
      </c>
      <c r="E98" s="217">
        <f>SUM(E86:E96)</f>
        <v>0</v>
      </c>
      <c r="F98" s="217">
        <f>SUM(F86:F96)</f>
        <v>0</v>
      </c>
      <c r="G98" s="217">
        <f>SUM(G86:G96)</f>
        <v>0</v>
      </c>
      <c r="H98" s="217">
        <f>SUM(H86:H96)</f>
        <v>0</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251">
        <v>71097</v>
      </c>
      <c r="E102" s="252">
        <f>D102*$E$114</f>
        <v>38392.380000000005</v>
      </c>
      <c r="F102" s="216"/>
      <c r="G102" s="184"/>
      <c r="H102" s="217">
        <f>(D102+E102)-F102-G102</f>
        <v>109489.38</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71097</v>
      </c>
      <c r="E108" s="217">
        <f>SUM(E102:E106)</f>
        <v>38392.380000000005</v>
      </c>
      <c r="F108" s="217">
        <f>SUM(F102:F106)</f>
        <v>0</v>
      </c>
      <c r="G108" s="217">
        <f>SUM(G102:G106)</f>
        <v>0</v>
      </c>
      <c r="H108" s="217">
        <f>SUM(H102:H106)</f>
        <v>109489.38</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1884000</v>
      </c>
      <c r="G111" s="184"/>
      <c r="H111" s="217">
        <f>F111-G111</f>
        <v>1884000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410">
        <v>0.54</v>
      </c>
      <c r="F114" s="235" t="s">
        <v>429</v>
      </c>
      <c r="G114" s="236">
        <v>0.12</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113034000</v>
      </c>
      <c r="F117" s="237"/>
    </row>
    <row r="118" spans="1:7" ht="18" customHeight="1" x14ac:dyDescent="0.55000000000000004">
      <c r="A118" s="180" t="s">
        <v>319</v>
      </c>
      <c r="B118" s="176" t="s">
        <v>320</v>
      </c>
      <c r="E118" s="184">
        <v>7183000</v>
      </c>
      <c r="F118" s="237"/>
    </row>
    <row r="119" spans="1:7" ht="18" customHeight="1" x14ac:dyDescent="0.55000000000000004">
      <c r="A119" s="180" t="s">
        <v>321</v>
      </c>
      <c r="B119" s="179" t="s">
        <v>322</v>
      </c>
      <c r="E119" s="217">
        <f>SUM(E117:E118)</f>
        <v>120217000</v>
      </c>
      <c r="F119" s="238"/>
    </row>
    <row r="120" spans="1:7" ht="18" customHeight="1" x14ac:dyDescent="0.55000000000000004">
      <c r="A120" s="180"/>
      <c r="B120" s="179"/>
      <c r="F120" s="212"/>
    </row>
    <row r="121" spans="1:7" ht="18" customHeight="1" x14ac:dyDescent="0.55000000000000004">
      <c r="A121" s="180" t="s">
        <v>323</v>
      </c>
      <c r="B121" s="179" t="s">
        <v>324</v>
      </c>
      <c r="E121" s="184">
        <v>111255000</v>
      </c>
      <c r="F121" s="237"/>
    </row>
    <row r="122" spans="1:7" ht="18" customHeight="1" x14ac:dyDescent="0.55000000000000004">
      <c r="A122" s="180"/>
      <c r="F122" s="212"/>
    </row>
    <row r="123" spans="1:7" ht="18" customHeight="1" x14ac:dyDescent="0.55000000000000004">
      <c r="A123" s="180" t="s">
        <v>325</v>
      </c>
      <c r="B123" s="179" t="s">
        <v>326</v>
      </c>
      <c r="E123" s="184">
        <v>8962000</v>
      </c>
      <c r="F123" s="237"/>
    </row>
    <row r="124" spans="1:7" ht="18" customHeight="1" x14ac:dyDescent="0.55000000000000004">
      <c r="A124" s="180"/>
      <c r="F124" s="212"/>
    </row>
    <row r="125" spans="1:7" ht="18" customHeight="1" x14ac:dyDescent="0.55000000000000004">
      <c r="A125" s="180" t="s">
        <v>327</v>
      </c>
      <c r="B125" s="179" t="s">
        <v>328</v>
      </c>
      <c r="E125" s="184">
        <v>8447000</v>
      </c>
      <c r="F125" s="237"/>
    </row>
    <row r="126" spans="1:7" ht="18" customHeight="1" x14ac:dyDescent="0.55000000000000004">
      <c r="A126" s="180"/>
      <c r="F126" s="212"/>
    </row>
    <row r="127" spans="1:7" ht="18" customHeight="1" x14ac:dyDescent="0.55000000000000004">
      <c r="A127" s="180" t="s">
        <v>329</v>
      </c>
      <c r="B127" s="179" t="s">
        <v>330</v>
      </c>
      <c r="E127" s="184">
        <v>17409000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26769.84</v>
      </c>
      <c r="E141" s="239">
        <f>E36</f>
        <v>3212.3807999999999</v>
      </c>
      <c r="F141" s="239">
        <f>F36</f>
        <v>0</v>
      </c>
      <c r="G141" s="239">
        <f>G36</f>
        <v>0</v>
      </c>
      <c r="H141" s="239">
        <f>H36</f>
        <v>29982.220800000003</v>
      </c>
    </row>
    <row r="142" spans="1:8" ht="18" customHeight="1" x14ac:dyDescent="0.55000000000000004">
      <c r="A142" s="180" t="s">
        <v>150</v>
      </c>
      <c r="B142" s="179" t="s">
        <v>220</v>
      </c>
      <c r="D142" s="239">
        <f>D49</f>
        <v>4656227.6815999988</v>
      </c>
      <c r="E142" s="239">
        <f>E49</f>
        <v>2521188.1907307622</v>
      </c>
      <c r="F142" s="239">
        <f>F49</f>
        <v>0</v>
      </c>
      <c r="G142" s="239">
        <f>G49</f>
        <v>0</v>
      </c>
      <c r="H142" s="239">
        <f>H49</f>
        <v>7177415.8723307615</v>
      </c>
    </row>
    <row r="143" spans="1:8" ht="18" customHeight="1" x14ac:dyDescent="0.55000000000000004">
      <c r="A143" s="180" t="s">
        <v>269</v>
      </c>
      <c r="B143" s="179" t="s">
        <v>222</v>
      </c>
      <c r="D143" s="239">
        <f>D64</f>
        <v>2099393</v>
      </c>
      <c r="E143" s="239">
        <f>E64</f>
        <v>1133672.22</v>
      </c>
      <c r="F143" s="239">
        <f>F64</f>
        <v>0</v>
      </c>
      <c r="G143" s="239">
        <f>G64</f>
        <v>801401</v>
      </c>
      <c r="H143" s="239">
        <f>H64</f>
        <v>2431664.2200000002</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10000</v>
      </c>
      <c r="E145" s="239">
        <f>E82</f>
        <v>0</v>
      </c>
      <c r="F145" s="239">
        <f>F82</f>
        <v>0</v>
      </c>
      <c r="G145" s="239">
        <f>G82</f>
        <v>0</v>
      </c>
      <c r="H145" s="239">
        <f>H82</f>
        <v>10000</v>
      </c>
    </row>
    <row r="146" spans="1:8" ht="18" customHeight="1" x14ac:dyDescent="0.55000000000000004">
      <c r="A146" s="180" t="s">
        <v>193</v>
      </c>
      <c r="B146" s="179" t="s">
        <v>226</v>
      </c>
      <c r="D146" s="239">
        <f>D98</f>
        <v>0</v>
      </c>
      <c r="E146" s="239">
        <f>E98</f>
        <v>0</v>
      </c>
      <c r="F146" s="239">
        <f>F98</f>
        <v>0</v>
      </c>
      <c r="G146" s="239">
        <f>G98</f>
        <v>0</v>
      </c>
      <c r="H146" s="239">
        <f>H98</f>
        <v>0</v>
      </c>
    </row>
    <row r="147" spans="1:8" ht="18" customHeight="1" x14ac:dyDescent="0.55000000000000004">
      <c r="A147" s="180" t="s">
        <v>204</v>
      </c>
      <c r="B147" s="179" t="s">
        <v>71</v>
      </c>
      <c r="D147" s="217">
        <f>D108</f>
        <v>71097</v>
      </c>
      <c r="E147" s="217">
        <f>E108</f>
        <v>38392.380000000005</v>
      </c>
      <c r="F147" s="217">
        <f>F108</f>
        <v>0</v>
      </c>
      <c r="G147" s="217">
        <f>G108</f>
        <v>0</v>
      </c>
      <c r="H147" s="217">
        <f>H108</f>
        <v>109489.38</v>
      </c>
    </row>
    <row r="148" spans="1:8" ht="18" customHeight="1" x14ac:dyDescent="0.55000000000000004">
      <c r="A148" s="180" t="s">
        <v>310</v>
      </c>
      <c r="B148" s="179" t="s">
        <v>58</v>
      </c>
      <c r="D148" s="240" t="s">
        <v>245</v>
      </c>
      <c r="E148" s="240" t="s">
        <v>245</v>
      </c>
      <c r="F148" s="240"/>
      <c r="G148" s="240" t="s">
        <v>245</v>
      </c>
      <c r="H148" s="239">
        <f>H111</f>
        <v>1884000</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2403072.4680479327</v>
      </c>
      <c r="E150" s="217">
        <f>E18</f>
        <v>0</v>
      </c>
      <c r="F150" s="217">
        <f>F18</f>
        <v>0</v>
      </c>
      <c r="G150" s="217">
        <f>G18</f>
        <v>1991594.7391035871</v>
      </c>
      <c r="H150" s="217">
        <f>H18</f>
        <v>411477.72894434561</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9266559.9896479324</v>
      </c>
      <c r="E152" s="241">
        <f>SUM(E141:E150)</f>
        <v>3696465.1715307618</v>
      </c>
      <c r="F152" s="241">
        <f>SUM(F141:F150)</f>
        <v>0</v>
      </c>
      <c r="G152" s="241">
        <f>SUM(G141:G150)</f>
        <v>2792995.7391035873</v>
      </c>
      <c r="H152" s="241">
        <f>SUM(H141:H150)</f>
        <v>12054029.42207511</v>
      </c>
    </row>
    <row r="154" spans="1:8" ht="18" customHeight="1" x14ac:dyDescent="0.55000000000000004">
      <c r="A154" s="183" t="s">
        <v>339</v>
      </c>
      <c r="B154" s="179" t="s">
        <v>340</v>
      </c>
      <c r="D154" s="242">
        <f>H152/E121</f>
        <v>0.10834595678463987</v>
      </c>
    </row>
    <row r="155" spans="1:8" ht="18" customHeight="1" x14ac:dyDescent="0.55000000000000004">
      <c r="A155" s="183" t="s">
        <v>341</v>
      </c>
      <c r="B155" s="179" t="s">
        <v>342</v>
      </c>
      <c r="D155" s="242">
        <f>H152/E127</f>
        <v>0.69240217255874026</v>
      </c>
    </row>
  </sheetData>
  <mergeCells count="8">
    <mergeCell ref="C11:E11"/>
    <mergeCell ref="B13:D13"/>
    <mergeCell ref="C2:D2"/>
    <mergeCell ref="C5:E5"/>
    <mergeCell ref="C6:E6"/>
    <mergeCell ref="C7:E7"/>
    <mergeCell ref="C9:E9"/>
    <mergeCell ref="C10:E10"/>
  </mergeCells>
  <pageMargins left="0.7" right="0.7" top="0.75" bottom="0.75" header="0.3" footer="0.3"/>
  <pageSetup orientation="portrait" horizontalDpi="1200" verticalDpi="12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69FBC-305E-47E9-8F80-BD5B53E8CA5D}">
  <sheetPr codeName="Sheet50"/>
  <dimension ref="A1:J155"/>
  <sheetViews>
    <sheetView zoomScaleNormal="100" workbookViewId="0"/>
  </sheetViews>
  <sheetFormatPr defaultColWidth="9" defaultRowHeight="14.4" x14ac:dyDescent="0.55000000000000004"/>
  <cols>
    <col min="1" max="1" width="8.26171875" style="175" customWidth="1"/>
    <col min="2" max="2" width="56.41796875" style="176"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01" t="s">
        <v>626</v>
      </c>
      <c r="D5" s="501"/>
      <c r="E5" s="501"/>
      <c r="F5" s="208"/>
    </row>
    <row r="6" spans="1:8" ht="18" customHeight="1" x14ac:dyDescent="0.55000000000000004">
      <c r="B6" s="180" t="s">
        <v>237</v>
      </c>
      <c r="C6" s="516">
        <v>60</v>
      </c>
      <c r="D6" s="516"/>
      <c r="E6" s="516"/>
      <c r="F6" s="209"/>
    </row>
    <row r="7" spans="1:8" ht="18" customHeight="1" x14ac:dyDescent="0.55000000000000004">
      <c r="B7" s="180" t="s">
        <v>238</v>
      </c>
      <c r="C7" s="245">
        <v>371</v>
      </c>
      <c r="D7" s="246"/>
      <c r="E7" s="246"/>
      <c r="F7" s="210"/>
    </row>
    <row r="8" spans="1:8" ht="18" customHeight="1" x14ac:dyDescent="0.55000000000000004">
      <c r="B8" s="180"/>
      <c r="C8" s="245"/>
      <c r="D8" s="246"/>
      <c r="E8" s="246"/>
      <c r="F8" s="210"/>
    </row>
    <row r="9" spans="1:8" ht="18" customHeight="1" x14ac:dyDescent="0.55000000000000004">
      <c r="B9" s="180" t="s">
        <v>239</v>
      </c>
      <c r="C9" s="501" t="s">
        <v>473</v>
      </c>
      <c r="D9" s="501"/>
      <c r="E9" s="501"/>
      <c r="F9" s="208"/>
    </row>
    <row r="10" spans="1:8" ht="18" customHeight="1" x14ac:dyDescent="0.55000000000000004">
      <c r="B10" s="180" t="s">
        <v>241</v>
      </c>
      <c r="C10" s="513" t="s">
        <v>395</v>
      </c>
      <c r="D10" s="513"/>
      <c r="E10" s="513"/>
      <c r="F10" s="213"/>
    </row>
    <row r="11" spans="1:8" ht="18" customHeight="1" x14ac:dyDescent="0.55000000000000004">
      <c r="B11" s="180" t="s">
        <v>243</v>
      </c>
      <c r="C11" s="503" t="s">
        <v>627</v>
      </c>
      <c r="D11" s="501"/>
      <c r="E11" s="50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976942.31163312949</v>
      </c>
      <c r="E18" s="214"/>
      <c r="F18" s="214"/>
      <c r="G18" s="214">
        <v>809660.62993379054</v>
      </c>
      <c r="H18" s="249">
        <f>(D18+E18)-G18</f>
        <v>167281.68169933895</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251">
        <v>97515.736682999996</v>
      </c>
      <c r="E21" s="252">
        <v>76337.249487038716</v>
      </c>
      <c r="F21" s="252"/>
      <c r="G21" s="251"/>
      <c r="H21" s="217">
        <f>(D21+E21)-F21-G21</f>
        <v>173852.9861700387</v>
      </c>
    </row>
    <row r="22" spans="1:8" ht="18" customHeight="1" x14ac:dyDescent="0.55000000000000004">
      <c r="A22" s="180" t="s">
        <v>112</v>
      </c>
      <c r="B22" s="176" t="s">
        <v>113</v>
      </c>
      <c r="D22" s="251">
        <v>1336.2252119999998</v>
      </c>
      <c r="E22" s="252">
        <v>1046.0235532127974</v>
      </c>
      <c r="F22" s="252"/>
      <c r="G22" s="251"/>
      <c r="H22" s="217">
        <f t="shared" ref="H22:H34" si="0">(D22+E22)-F22-G22</f>
        <v>2382.2487652127975</v>
      </c>
    </row>
    <row r="23" spans="1:8" ht="18" customHeight="1" x14ac:dyDescent="0.55000000000000004">
      <c r="A23" s="180" t="s">
        <v>114</v>
      </c>
      <c r="B23" s="176" t="s">
        <v>115</v>
      </c>
      <c r="D23" s="251"/>
      <c r="E23" s="252"/>
      <c r="F23" s="252"/>
      <c r="G23" s="251"/>
      <c r="H23" s="217">
        <f t="shared" si="0"/>
        <v>0</v>
      </c>
    </row>
    <row r="24" spans="1:8" ht="18" customHeight="1" x14ac:dyDescent="0.55000000000000004">
      <c r="A24" s="180" t="s">
        <v>116</v>
      </c>
      <c r="B24" s="176" t="s">
        <v>117</v>
      </c>
      <c r="D24" s="251"/>
      <c r="E24" s="252"/>
      <c r="F24" s="252"/>
      <c r="G24" s="251"/>
      <c r="H24" s="217">
        <f t="shared" si="0"/>
        <v>0</v>
      </c>
    </row>
    <row r="25" spans="1:8" ht="18" customHeight="1" x14ac:dyDescent="0.55000000000000004">
      <c r="A25" s="180" t="s">
        <v>118</v>
      </c>
      <c r="B25" s="176" t="s">
        <v>119</v>
      </c>
      <c r="D25" s="251">
        <v>154166.71348000001</v>
      </c>
      <c r="E25" s="252">
        <v>120684.75581307089</v>
      </c>
      <c r="F25" s="252"/>
      <c r="G25" s="251">
        <v>166939.75</v>
      </c>
      <c r="H25" s="217">
        <f t="shared" si="0"/>
        <v>107911.7192930709</v>
      </c>
    </row>
    <row r="26" spans="1:8" ht="18" customHeight="1" x14ac:dyDescent="0.55000000000000004">
      <c r="A26" s="180" t="s">
        <v>120</v>
      </c>
      <c r="B26" s="176" t="s">
        <v>121</v>
      </c>
      <c r="D26" s="251"/>
      <c r="E26" s="252"/>
      <c r="F26" s="252"/>
      <c r="G26" s="251"/>
      <c r="H26" s="217">
        <f t="shared" si="0"/>
        <v>0</v>
      </c>
    </row>
    <row r="27" spans="1:8" ht="18" customHeight="1" x14ac:dyDescent="0.55000000000000004">
      <c r="A27" s="180" t="s">
        <v>122</v>
      </c>
      <c r="B27" s="176" t="s">
        <v>246</v>
      </c>
      <c r="D27" s="251"/>
      <c r="E27" s="252"/>
      <c r="F27" s="252"/>
      <c r="G27" s="251"/>
      <c r="H27" s="217">
        <f t="shared" si="0"/>
        <v>0</v>
      </c>
    </row>
    <row r="28" spans="1:8" ht="18" customHeight="1" x14ac:dyDescent="0.55000000000000004">
      <c r="A28" s="180" t="s">
        <v>124</v>
      </c>
      <c r="B28" s="176" t="s">
        <v>125</v>
      </c>
      <c r="D28" s="251"/>
      <c r="E28" s="252"/>
      <c r="F28" s="252"/>
      <c r="G28" s="251"/>
      <c r="H28" s="217">
        <f t="shared" si="0"/>
        <v>0</v>
      </c>
    </row>
    <row r="29" spans="1:8" ht="18" customHeight="1" x14ac:dyDescent="0.55000000000000004">
      <c r="A29" s="180" t="s">
        <v>126</v>
      </c>
      <c r="B29" s="176" t="s">
        <v>127</v>
      </c>
      <c r="D29" s="251">
        <v>213448.85307700004</v>
      </c>
      <c r="E29" s="252">
        <v>165445.06086793458</v>
      </c>
      <c r="F29" s="252"/>
      <c r="G29" s="251">
        <v>20022.141712691999</v>
      </c>
      <c r="H29" s="217">
        <f t="shared" si="0"/>
        <v>358871.77223224263</v>
      </c>
    </row>
    <row r="30" spans="1:8" ht="18" customHeight="1" x14ac:dyDescent="0.55000000000000004">
      <c r="A30" s="180" t="s">
        <v>128</v>
      </c>
      <c r="B30" s="193"/>
      <c r="D30" s="251"/>
      <c r="E30" s="252"/>
      <c r="F30" s="252"/>
      <c r="G30" s="251"/>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466467.528452</v>
      </c>
      <c r="E36" s="217">
        <f>SUM(E21:E34)</f>
        <v>363513.08972125698</v>
      </c>
      <c r="F36" s="217">
        <f>SUM(F21:F34)</f>
        <v>0</v>
      </c>
      <c r="G36" s="217">
        <f>SUM(G21:G34)</f>
        <v>186961.89171269198</v>
      </c>
      <c r="H36" s="217">
        <f>SUM(H21:H34)</f>
        <v>643018.726460565</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251">
        <v>12459.936624400001</v>
      </c>
      <c r="E41" s="216">
        <v>9753.8850963254827</v>
      </c>
      <c r="F41" s="216"/>
      <c r="G41" s="184"/>
      <c r="H41" s="217">
        <f t="shared" ref="H41:H47" si="1">(D41+E41)-F41-G41</f>
        <v>22213.821720725486</v>
      </c>
    </row>
    <row r="42" spans="1:8" ht="18" customHeight="1" x14ac:dyDescent="0.55000000000000004">
      <c r="A42" s="180" t="s">
        <v>252</v>
      </c>
      <c r="B42" s="176" t="s">
        <v>143</v>
      </c>
      <c r="D42" s="251">
        <v>4788.7799372000009</v>
      </c>
      <c r="E42" s="216">
        <v>3748.7517526829165</v>
      </c>
      <c r="F42" s="216"/>
      <c r="G42" s="184"/>
      <c r="H42" s="217">
        <f t="shared" si="1"/>
        <v>8537.5316898829169</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17248.716561600002</v>
      </c>
      <c r="E49" s="217">
        <f>SUM(E40:E47)</f>
        <v>13502.636849008399</v>
      </c>
      <c r="F49" s="217">
        <f>SUM(F40:F47)</f>
        <v>0</v>
      </c>
      <c r="G49" s="217">
        <f>SUM(G40:G47)</f>
        <v>0</v>
      </c>
      <c r="H49" s="217">
        <f>SUM(H40:H47)</f>
        <v>30751.353410608404</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79"/>
      <c r="E53" s="222"/>
      <c r="F53" s="222"/>
      <c r="G53" s="222"/>
      <c r="H53" s="217">
        <f>(D53+E53)-F53-G53</f>
        <v>0</v>
      </c>
    </row>
    <row r="54" spans="1:8" ht="18" customHeight="1" x14ac:dyDescent="0.55000000000000004">
      <c r="A54" s="180" t="s">
        <v>259</v>
      </c>
      <c r="B54" s="313" t="s">
        <v>614</v>
      </c>
      <c r="D54" s="251">
        <v>12604.102000000001</v>
      </c>
      <c r="E54" s="252">
        <v>9866.7406068195996</v>
      </c>
      <c r="F54" s="216"/>
      <c r="G54" s="184"/>
      <c r="H54" s="217">
        <f t="shared" ref="H54:H62" si="2">(D54+E54)-F54-G54</f>
        <v>22470.842606819599</v>
      </c>
    </row>
    <row r="55" spans="1:8" ht="18" customHeight="1" x14ac:dyDescent="0.55000000000000004">
      <c r="A55" s="180" t="s">
        <v>260</v>
      </c>
      <c r="B55" s="193" t="s">
        <v>475</v>
      </c>
      <c r="D55" s="251">
        <v>1023236.3024402963</v>
      </c>
      <c r="E55" s="252"/>
      <c r="F55" s="216"/>
      <c r="G55" s="184"/>
      <c r="H55" s="217">
        <f t="shared" si="2"/>
        <v>1023236.3024402963</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1035840.4044402962</v>
      </c>
      <c r="E64" s="217">
        <f>SUM(E53:E62)</f>
        <v>9866.7406068195996</v>
      </c>
      <c r="F64" s="217">
        <f>SUM(F53:F62)</f>
        <v>0</v>
      </c>
      <c r="G64" s="217">
        <f>SUM(G53:G62)</f>
        <v>0</v>
      </c>
      <c r="H64" s="217">
        <f>SUM(H53:H62)</f>
        <v>1045707.1450471159</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251">
        <v>6977.53</v>
      </c>
      <c r="E78" s="230"/>
      <c r="F78" s="220"/>
      <c r="G78" s="184"/>
      <c r="H78" s="217">
        <f>(D78-F78-G78)</f>
        <v>6977.53</v>
      </c>
    </row>
    <row r="79" spans="1:10" ht="18" customHeight="1" x14ac:dyDescent="0.55000000000000004">
      <c r="A79" s="180" t="s">
        <v>282</v>
      </c>
      <c r="B79" s="176" t="s">
        <v>168</v>
      </c>
      <c r="D79" s="251">
        <v>16732.866610000001</v>
      </c>
      <c r="E79" s="230"/>
      <c r="F79" s="220"/>
      <c r="G79" s="184"/>
      <c r="H79" s="217">
        <f>(D79-F79-G79)</f>
        <v>16732.866610000001</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23710.39661</v>
      </c>
      <c r="E82" s="231"/>
      <c r="F82" s="217">
        <f>SUM(F77:F80)</f>
        <v>0</v>
      </c>
      <c r="G82" s="217">
        <f>SUM(G77:G80)</f>
        <v>0</v>
      </c>
      <c r="H82" s="217">
        <f>SUM(H77:H80)</f>
        <v>23710.39661</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251">
        <v>1699.0456000000001</v>
      </c>
      <c r="E88" s="252">
        <v>1330.0465367828801</v>
      </c>
      <c r="F88" s="216"/>
      <c r="G88" s="184"/>
      <c r="H88" s="217">
        <f t="shared" si="3"/>
        <v>3029.0921367828805</v>
      </c>
    </row>
    <row r="89" spans="1:8" ht="18" customHeight="1" x14ac:dyDescent="0.55000000000000004">
      <c r="A89" s="180" t="s">
        <v>290</v>
      </c>
      <c r="B89" s="176" t="s">
        <v>181</v>
      </c>
      <c r="D89" s="251"/>
      <c r="E89" s="252"/>
      <c r="F89" s="216"/>
      <c r="G89" s="184"/>
      <c r="H89" s="217">
        <f t="shared" si="3"/>
        <v>0</v>
      </c>
    </row>
    <row r="90" spans="1:8" ht="18" customHeight="1" x14ac:dyDescent="0.55000000000000004">
      <c r="A90" s="180" t="s">
        <v>291</v>
      </c>
      <c r="B90" s="176" t="s">
        <v>183</v>
      </c>
      <c r="D90" s="251"/>
      <c r="E90" s="252"/>
      <c r="F90" s="216"/>
      <c r="G90" s="184"/>
      <c r="H90" s="217">
        <f t="shared" si="3"/>
        <v>0</v>
      </c>
    </row>
    <row r="91" spans="1:8" ht="18" customHeight="1" x14ac:dyDescent="0.55000000000000004">
      <c r="A91" s="180" t="s">
        <v>292</v>
      </c>
      <c r="B91" s="176" t="s">
        <v>185</v>
      </c>
      <c r="D91" s="251">
        <v>4246.0442010000006</v>
      </c>
      <c r="E91" s="252">
        <v>3323.8874722179794</v>
      </c>
      <c r="F91" s="216"/>
      <c r="G91" s="184"/>
      <c r="H91" s="217">
        <f t="shared" si="3"/>
        <v>7569.9316732179796</v>
      </c>
    </row>
    <row r="92" spans="1:8" ht="18" customHeight="1" x14ac:dyDescent="0.55000000000000004">
      <c r="A92" s="180" t="s">
        <v>293</v>
      </c>
      <c r="B92" s="176" t="s">
        <v>294</v>
      </c>
      <c r="D92" s="286">
        <v>1961.3206200000002</v>
      </c>
      <c r="E92" s="252">
        <v>1535.360615484276</v>
      </c>
      <c r="F92" s="234"/>
      <c r="G92" s="233"/>
      <c r="H92" s="217">
        <f t="shared" si="3"/>
        <v>3496.6812354842759</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7906.4104210000014</v>
      </c>
      <c r="E98" s="217">
        <f>SUM(E86:E96)</f>
        <v>6189.2946244851355</v>
      </c>
      <c r="F98" s="217">
        <f>SUM(F86:F96)</f>
        <v>0</v>
      </c>
      <c r="G98" s="217">
        <f>SUM(G86:G96)</f>
        <v>0</v>
      </c>
      <c r="H98" s="217">
        <f>SUM(H86:H96)</f>
        <v>14095.705045485138</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251">
        <v>3602.0616432000002</v>
      </c>
      <c r="E102" s="252">
        <v>2819.7651751174953</v>
      </c>
      <c r="F102" s="216"/>
      <c r="G102" s="184"/>
      <c r="H102" s="217">
        <f>(D102+E102)-F102-G102</f>
        <v>6421.8268183174951</v>
      </c>
    </row>
    <row r="103" spans="1:8" ht="18" customHeight="1" x14ac:dyDescent="0.55000000000000004">
      <c r="A103" s="180" t="s">
        <v>304</v>
      </c>
      <c r="B103" s="176" t="s">
        <v>199</v>
      </c>
      <c r="D103" s="251">
        <v>2604.2511600000003</v>
      </c>
      <c r="E103" s="252">
        <v>2038.6593722209682</v>
      </c>
      <c r="F103" s="216"/>
      <c r="G103" s="184"/>
      <c r="H103" s="217">
        <f>(D103+E103)-F103-G103</f>
        <v>4642.9105322209689</v>
      </c>
    </row>
    <row r="104" spans="1:8" ht="18" customHeight="1" x14ac:dyDescent="0.55000000000000004">
      <c r="A104" s="180" t="s">
        <v>305</v>
      </c>
      <c r="B104" s="193" t="s">
        <v>477</v>
      </c>
      <c r="D104" s="251">
        <v>2179.5164159999999</v>
      </c>
      <c r="E104" s="252">
        <v>1706.1686048698366</v>
      </c>
      <c r="F104" s="216"/>
      <c r="G104" s="184"/>
      <c r="H104" s="217">
        <f>(D104+E104)-F104-G104</f>
        <v>3885.6850208698365</v>
      </c>
    </row>
    <row r="105" spans="1:8" ht="18" customHeight="1" x14ac:dyDescent="0.55000000000000004">
      <c r="A105" s="180" t="s">
        <v>306</v>
      </c>
      <c r="B105" s="193" t="s">
        <v>478</v>
      </c>
      <c r="D105" s="251">
        <v>2025</v>
      </c>
      <c r="E105" s="252"/>
      <c r="F105" s="216"/>
      <c r="G105" s="184"/>
      <c r="H105" s="217">
        <f>(D105+E105)-F105-G105</f>
        <v>2025</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10410.829219200001</v>
      </c>
      <c r="E108" s="217">
        <f>SUM(E102:E106)</f>
        <v>6564.5931522083001</v>
      </c>
      <c r="F108" s="217">
        <f>SUM(F102:F106)</f>
        <v>0</v>
      </c>
      <c r="G108" s="217">
        <f>SUM(G102:G106)</f>
        <v>0</v>
      </c>
      <c r="H108" s="217">
        <f>SUM(H102:H106)</f>
        <v>16975.422371408298</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251">
        <v>400333.99</v>
      </c>
      <c r="G111" s="251">
        <v>400333.99</v>
      </c>
      <c r="H111" s="217">
        <f>F111-G111</f>
        <v>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0.78281979999999995</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251">
        <v>47126318.720000006</v>
      </c>
      <c r="F117" s="237"/>
    </row>
    <row r="118" spans="1:7" ht="18" customHeight="1" x14ac:dyDescent="0.55000000000000004">
      <c r="A118" s="180" t="s">
        <v>319</v>
      </c>
      <c r="B118" s="176" t="s">
        <v>320</v>
      </c>
      <c r="E118" s="251">
        <v>4206338.580000001</v>
      </c>
      <c r="F118" s="288" t="s">
        <v>628</v>
      </c>
    </row>
    <row r="119" spans="1:7" ht="18" customHeight="1" x14ac:dyDescent="0.55000000000000004">
      <c r="A119" s="180" t="s">
        <v>321</v>
      </c>
      <c r="B119" s="179" t="s">
        <v>322</v>
      </c>
      <c r="E119" s="217">
        <f>SUM(E117:E118)</f>
        <v>51332657.300000004</v>
      </c>
      <c r="F119" s="238"/>
    </row>
    <row r="120" spans="1:7" ht="18" customHeight="1" x14ac:dyDescent="0.55000000000000004">
      <c r="A120" s="180"/>
      <c r="B120" s="179"/>
      <c r="E120" s="275"/>
      <c r="F120" s="212"/>
    </row>
    <row r="121" spans="1:7" ht="18" customHeight="1" x14ac:dyDescent="0.55000000000000004">
      <c r="A121" s="180" t="s">
        <v>323</v>
      </c>
      <c r="B121" s="179" t="s">
        <v>324</v>
      </c>
      <c r="E121" s="251">
        <v>51160793.519999996</v>
      </c>
      <c r="F121" s="237"/>
    </row>
    <row r="122" spans="1:7" ht="18" customHeight="1" x14ac:dyDescent="0.55000000000000004">
      <c r="A122" s="180"/>
      <c r="E122" s="275"/>
      <c r="F122" s="212"/>
    </row>
    <row r="123" spans="1:7" ht="18" customHeight="1" x14ac:dyDescent="0.55000000000000004">
      <c r="A123" s="180" t="s">
        <v>325</v>
      </c>
      <c r="B123" s="179" t="s">
        <v>326</v>
      </c>
      <c r="E123" s="411">
        <f>E119-E121</f>
        <v>171863.78000000864</v>
      </c>
      <c r="F123" s="237"/>
    </row>
    <row r="124" spans="1:7" ht="18" customHeight="1" x14ac:dyDescent="0.55000000000000004">
      <c r="A124" s="180"/>
      <c r="E124" s="275"/>
      <c r="F124" s="212"/>
    </row>
    <row r="125" spans="1:7" ht="18" customHeight="1" x14ac:dyDescent="0.55000000000000004">
      <c r="A125" s="180" t="s">
        <v>327</v>
      </c>
      <c r="B125" s="179" t="s">
        <v>328</v>
      </c>
      <c r="E125" s="251"/>
      <c r="F125" s="237"/>
    </row>
    <row r="126" spans="1:7" ht="18" customHeight="1" x14ac:dyDescent="0.55000000000000004">
      <c r="A126" s="180"/>
      <c r="E126" s="275"/>
      <c r="F126" s="212"/>
    </row>
    <row r="127" spans="1:7" ht="18" customHeight="1" x14ac:dyDescent="0.55000000000000004">
      <c r="A127" s="180" t="s">
        <v>329</v>
      </c>
      <c r="B127" s="179" t="s">
        <v>330</v>
      </c>
      <c r="E127" s="411">
        <f>E123</f>
        <v>171863.78000000864</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466467.528452</v>
      </c>
      <c r="E141" s="239">
        <f>E36</f>
        <v>363513.08972125698</v>
      </c>
      <c r="F141" s="239">
        <f>F36</f>
        <v>0</v>
      </c>
      <c r="G141" s="239">
        <f>G36</f>
        <v>186961.89171269198</v>
      </c>
      <c r="H141" s="239">
        <f>H36</f>
        <v>643018.726460565</v>
      </c>
    </row>
    <row r="142" spans="1:8" ht="18" customHeight="1" x14ac:dyDescent="0.55000000000000004">
      <c r="A142" s="180" t="s">
        <v>150</v>
      </c>
      <c r="B142" s="179" t="s">
        <v>220</v>
      </c>
      <c r="D142" s="239">
        <f>D49</f>
        <v>17248.716561600002</v>
      </c>
      <c r="E142" s="239">
        <f>E49</f>
        <v>13502.636849008399</v>
      </c>
      <c r="F142" s="239">
        <f>F49</f>
        <v>0</v>
      </c>
      <c r="G142" s="239">
        <f>G49</f>
        <v>0</v>
      </c>
      <c r="H142" s="239">
        <f>H49</f>
        <v>30751.353410608404</v>
      </c>
    </row>
    <row r="143" spans="1:8" ht="18" customHeight="1" x14ac:dyDescent="0.55000000000000004">
      <c r="A143" s="180" t="s">
        <v>269</v>
      </c>
      <c r="B143" s="179" t="s">
        <v>222</v>
      </c>
      <c r="D143" s="239">
        <f>D64</f>
        <v>1035840.4044402962</v>
      </c>
      <c r="E143" s="239">
        <f>E64</f>
        <v>9866.7406068195996</v>
      </c>
      <c r="F143" s="239">
        <f>F64</f>
        <v>0</v>
      </c>
      <c r="G143" s="239">
        <f>G64</f>
        <v>0</v>
      </c>
      <c r="H143" s="239">
        <f>H64</f>
        <v>1045707.1450471159</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23710.39661</v>
      </c>
      <c r="E145" s="239">
        <f>E82</f>
        <v>0</v>
      </c>
      <c r="F145" s="239">
        <f>F82</f>
        <v>0</v>
      </c>
      <c r="G145" s="239">
        <f>G82</f>
        <v>0</v>
      </c>
      <c r="H145" s="239">
        <f>H82</f>
        <v>23710.39661</v>
      </c>
    </row>
    <row r="146" spans="1:8" ht="18" customHeight="1" x14ac:dyDescent="0.55000000000000004">
      <c r="A146" s="180" t="s">
        <v>193</v>
      </c>
      <c r="B146" s="179" t="s">
        <v>226</v>
      </c>
      <c r="D146" s="239">
        <f>D98</f>
        <v>7906.4104210000014</v>
      </c>
      <c r="E146" s="239">
        <f>E98</f>
        <v>6189.2946244851355</v>
      </c>
      <c r="F146" s="239">
        <f>F98</f>
        <v>0</v>
      </c>
      <c r="G146" s="239">
        <f>G98</f>
        <v>0</v>
      </c>
      <c r="H146" s="239">
        <f>H98</f>
        <v>14095.705045485138</v>
      </c>
    </row>
    <row r="147" spans="1:8" ht="18" customHeight="1" x14ac:dyDescent="0.55000000000000004">
      <c r="A147" s="180" t="s">
        <v>204</v>
      </c>
      <c r="B147" s="179" t="s">
        <v>71</v>
      </c>
      <c r="D147" s="217">
        <f>D108</f>
        <v>10410.829219200001</v>
      </c>
      <c r="E147" s="217">
        <f>E108</f>
        <v>6564.5931522083001</v>
      </c>
      <c r="F147" s="217">
        <f>F108</f>
        <v>0</v>
      </c>
      <c r="G147" s="217">
        <f>G108</f>
        <v>0</v>
      </c>
      <c r="H147" s="217">
        <f>H108</f>
        <v>16975.422371408298</v>
      </c>
    </row>
    <row r="148" spans="1:8" ht="18" customHeight="1" x14ac:dyDescent="0.55000000000000004">
      <c r="A148" s="180" t="s">
        <v>310</v>
      </c>
      <c r="B148" s="179" t="s">
        <v>58</v>
      </c>
      <c r="D148" s="240" t="s">
        <v>245</v>
      </c>
      <c r="E148" s="240" t="s">
        <v>245</v>
      </c>
      <c r="F148" s="240"/>
      <c r="G148" s="240" t="s">
        <v>245</v>
      </c>
      <c r="H148" s="239">
        <f>H111</f>
        <v>0</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976942.31163312949</v>
      </c>
      <c r="E150" s="217">
        <f>E18</f>
        <v>0</v>
      </c>
      <c r="F150" s="217">
        <f>F18</f>
        <v>0</v>
      </c>
      <c r="G150" s="217">
        <f>G18</f>
        <v>809660.62993379054</v>
      </c>
      <c r="H150" s="217">
        <f>H18</f>
        <v>167281.68169933895</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2538526.5973372255</v>
      </c>
      <c r="E152" s="241">
        <f>SUM(E141:E150)</f>
        <v>399636.35495377844</v>
      </c>
      <c r="F152" s="241">
        <f>SUM(F141:F150)</f>
        <v>0</v>
      </c>
      <c r="G152" s="241">
        <f>SUM(G141:G150)</f>
        <v>996622.52164648252</v>
      </c>
      <c r="H152" s="241">
        <f>SUM(H141:H150)</f>
        <v>1941540.4306445215</v>
      </c>
    </row>
    <row r="154" spans="1:8" ht="18" customHeight="1" x14ac:dyDescent="0.55000000000000004">
      <c r="A154" s="183" t="s">
        <v>339</v>
      </c>
      <c r="B154" s="179" t="s">
        <v>340</v>
      </c>
      <c r="D154" s="242">
        <f>H152/E121</f>
        <v>3.7949771632950262E-2</v>
      </c>
    </row>
    <row r="155" spans="1:8" ht="18" customHeight="1" x14ac:dyDescent="0.55000000000000004">
      <c r="A155" s="183" t="s">
        <v>341</v>
      </c>
      <c r="B155" s="179" t="s">
        <v>342</v>
      </c>
      <c r="D155" s="242">
        <f>H152/E127</f>
        <v>11.29697269921809</v>
      </c>
    </row>
  </sheetData>
  <mergeCells count="7">
    <mergeCell ref="B13:D13"/>
    <mergeCell ref="C2:D2"/>
    <mergeCell ref="C5:E5"/>
    <mergeCell ref="C6:E6"/>
    <mergeCell ref="C9:E9"/>
    <mergeCell ref="C10:E10"/>
    <mergeCell ref="C11:E11"/>
  </mergeCells>
  <hyperlinks>
    <hyperlink ref="C11" r:id="rId1" xr:uid="{DE3A0ACA-A9D9-4EB4-88AE-F8A17B72C69E}"/>
  </hyperlinks>
  <pageMargins left="0.7" right="0.7" top="0.75" bottom="0.75" header="0.3" footer="0.3"/>
  <pageSetup orientation="portrait"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C0649-BB48-4DCC-899F-2C2D3C634848}">
  <sheetPr codeName="Sheet6">
    <tabColor theme="3" tint="0.59999389629810485"/>
    <pageSetUpPr fitToPage="1"/>
  </sheetPr>
  <dimension ref="A1:H56"/>
  <sheetViews>
    <sheetView workbookViewId="0">
      <selection activeCell="C54" sqref="C54"/>
    </sheetView>
  </sheetViews>
  <sheetFormatPr defaultColWidth="9.26171875" defaultRowHeight="12.3" x14ac:dyDescent="0.4"/>
  <cols>
    <col min="1" max="1" width="18.41796875" style="52" customWidth="1"/>
    <col min="2" max="2" width="51.68359375" style="52" bestFit="1" customWidth="1"/>
    <col min="3" max="3" width="19.26171875" style="52" customWidth="1"/>
    <col min="4" max="6" width="20.578125" style="52" customWidth="1"/>
    <col min="7" max="7" width="23.26171875" style="52" customWidth="1"/>
    <col min="8" max="8" width="25" style="52" customWidth="1"/>
    <col min="9" max="9" width="9.26171875" style="52" customWidth="1"/>
    <col min="10" max="16384" width="9.26171875" style="52"/>
  </cols>
  <sheetData>
    <row r="1" spans="1:8" ht="23.1" x14ac:dyDescent="0.85">
      <c r="A1" s="1" t="s">
        <v>715</v>
      </c>
      <c r="B1" s="91"/>
      <c r="C1" s="91"/>
      <c r="D1" s="92"/>
      <c r="E1" s="92"/>
      <c r="F1" s="92"/>
      <c r="G1" s="93"/>
      <c r="H1" s="94"/>
    </row>
    <row r="2" spans="1:8" ht="29.5" customHeight="1" x14ac:dyDescent="0.55000000000000004">
      <c r="A2" s="95" t="s">
        <v>90</v>
      </c>
      <c r="B2" s="95" t="s">
        <v>1</v>
      </c>
      <c r="C2" s="96" t="s">
        <v>74</v>
      </c>
      <c r="D2" s="97" t="s">
        <v>91</v>
      </c>
      <c r="E2" s="97" t="s">
        <v>713</v>
      </c>
      <c r="F2" s="97" t="s">
        <v>714</v>
      </c>
      <c r="G2" s="96" t="s">
        <v>92</v>
      </c>
      <c r="H2" s="98" t="s">
        <v>76</v>
      </c>
    </row>
    <row r="3" spans="1:8" ht="14.4" x14ac:dyDescent="0.55000000000000004">
      <c r="A3" s="8">
        <v>210001</v>
      </c>
      <c r="B3" s="8" t="s">
        <v>5</v>
      </c>
      <c r="C3" s="9">
        <v>3502400</v>
      </c>
      <c r="D3" s="9">
        <v>369067.10000000003</v>
      </c>
      <c r="E3" s="9">
        <v>369067</v>
      </c>
      <c r="F3" s="9">
        <v>579419.5</v>
      </c>
      <c r="G3" s="9">
        <v>5964504.3399999999</v>
      </c>
      <c r="H3" s="99">
        <f>C3+D3+E3+F3+G3</f>
        <v>10784457.939999999</v>
      </c>
    </row>
    <row r="4" spans="1:8" ht="14.4" x14ac:dyDescent="0.55000000000000004">
      <c r="A4" s="11" t="s">
        <v>6</v>
      </c>
      <c r="B4" s="8" t="s">
        <v>7</v>
      </c>
      <c r="C4" s="9">
        <v>128109106.84954114</v>
      </c>
      <c r="D4" s="9">
        <v>1557658.2</v>
      </c>
      <c r="E4" s="9">
        <v>1557658</v>
      </c>
      <c r="F4" s="9">
        <v>731786.95904999995</v>
      </c>
      <c r="G4" s="9">
        <v>20877000</v>
      </c>
      <c r="H4" s="99">
        <f t="shared" ref="H4:H54" si="0">C4+D4+E4+F4+G4</f>
        <v>152833210.00859115</v>
      </c>
    </row>
    <row r="5" spans="1:8" ht="14.4" x14ac:dyDescent="0.55000000000000004">
      <c r="A5" s="11" t="s">
        <v>8</v>
      </c>
      <c r="B5" s="8" t="s">
        <v>9</v>
      </c>
      <c r="C5" s="9">
        <v>5333622.3581779627</v>
      </c>
      <c r="D5" s="9">
        <v>398235.4</v>
      </c>
      <c r="E5" s="9">
        <v>398235</v>
      </c>
      <c r="F5" s="9">
        <v>1062087.9605999999</v>
      </c>
      <c r="G5" s="9">
        <v>10022746.237809654</v>
      </c>
      <c r="H5" s="99">
        <f t="shared" si="0"/>
        <v>17214926.956587616</v>
      </c>
    </row>
    <row r="6" spans="1:8" ht="14.4" x14ac:dyDescent="0.55000000000000004">
      <c r="A6" s="8">
        <v>210004</v>
      </c>
      <c r="B6" s="8" t="s">
        <v>10</v>
      </c>
      <c r="C6" s="9">
        <v>2432375.1135000004</v>
      </c>
      <c r="D6" s="12">
        <v>518074.4</v>
      </c>
      <c r="E6" s="12">
        <v>518074.4</v>
      </c>
      <c r="F6" s="12">
        <v>368246.94264999998</v>
      </c>
      <c r="G6" s="9">
        <v>24306971.979999997</v>
      </c>
      <c r="H6" s="99">
        <f t="shared" si="0"/>
        <v>28143742.836149998</v>
      </c>
    </row>
    <row r="7" spans="1:8" ht="14.4" x14ac:dyDescent="0.55000000000000004">
      <c r="A7" s="8">
        <v>210005</v>
      </c>
      <c r="B7" s="8" t="s">
        <v>11</v>
      </c>
      <c r="C7" s="9">
        <v>0</v>
      </c>
      <c r="D7" s="12">
        <v>354397.7</v>
      </c>
      <c r="E7" s="12">
        <v>354397.7</v>
      </c>
      <c r="F7" s="12">
        <v>431550</v>
      </c>
      <c r="G7" s="9">
        <v>4832900</v>
      </c>
      <c r="H7" s="99">
        <f t="shared" si="0"/>
        <v>5973245.4000000004</v>
      </c>
    </row>
    <row r="8" spans="1:8" ht="14.4" x14ac:dyDescent="0.55000000000000004">
      <c r="A8" s="8">
        <v>210006</v>
      </c>
      <c r="B8" s="8" t="s">
        <v>12</v>
      </c>
      <c r="C8" s="9">
        <v>0</v>
      </c>
      <c r="D8" s="12">
        <v>108110.1</v>
      </c>
      <c r="E8" s="12">
        <v>108110.1</v>
      </c>
      <c r="F8" s="12">
        <v>0</v>
      </c>
      <c r="G8" s="9">
        <v>1430000</v>
      </c>
      <c r="H8" s="99">
        <f t="shared" si="0"/>
        <v>1646220.2</v>
      </c>
    </row>
    <row r="9" spans="1:8" ht="14.4" x14ac:dyDescent="0.55000000000000004">
      <c r="A9" s="8">
        <v>210008</v>
      </c>
      <c r="B9" s="8" t="s">
        <v>13</v>
      </c>
      <c r="C9" s="9">
        <v>4893835.5060227271</v>
      </c>
      <c r="D9" s="12">
        <v>553679.5</v>
      </c>
      <c r="E9" s="12">
        <v>553680</v>
      </c>
      <c r="F9" s="12">
        <v>76574.011799999993</v>
      </c>
      <c r="G9" s="9">
        <v>22257214</v>
      </c>
      <c r="H9" s="99">
        <f t="shared" si="0"/>
        <v>28334983.017822728</v>
      </c>
    </row>
    <row r="10" spans="1:8" ht="14.4" x14ac:dyDescent="0.55000000000000004">
      <c r="A10" s="8">
        <v>210009</v>
      </c>
      <c r="B10" s="8" t="s">
        <v>14</v>
      </c>
      <c r="C10" s="13">
        <v>125062232.0771354</v>
      </c>
      <c r="D10" s="12">
        <v>2474648</v>
      </c>
      <c r="E10" s="12">
        <v>2474648</v>
      </c>
      <c r="F10" s="12">
        <v>1679876.83965</v>
      </c>
      <c r="G10" s="9">
        <v>37793300</v>
      </c>
      <c r="H10" s="99">
        <f t="shared" si="0"/>
        <v>169484704.91678542</v>
      </c>
    </row>
    <row r="11" spans="1:8" ht="14.4" x14ac:dyDescent="0.55000000000000004">
      <c r="A11" s="8">
        <v>210010</v>
      </c>
      <c r="B11" s="8" t="s">
        <v>15</v>
      </c>
      <c r="C11" s="13">
        <v>0</v>
      </c>
      <c r="D11" s="12">
        <v>45196.5</v>
      </c>
      <c r="E11" s="12">
        <v>45196.5</v>
      </c>
      <c r="F11" s="12">
        <v>0</v>
      </c>
      <c r="G11" s="9">
        <v>682626.2200000002</v>
      </c>
      <c r="H11" s="99">
        <f t="shared" si="0"/>
        <v>773019.2200000002</v>
      </c>
    </row>
    <row r="12" spans="1:8" ht="14.4" x14ac:dyDescent="0.55000000000000004">
      <c r="A12" s="8">
        <v>210011</v>
      </c>
      <c r="B12" s="8" t="s">
        <v>16</v>
      </c>
      <c r="C12" s="13">
        <v>7239785.0069185011</v>
      </c>
      <c r="D12" s="12">
        <v>430110.5</v>
      </c>
      <c r="E12" s="12">
        <v>430110.5</v>
      </c>
      <c r="F12" s="12">
        <v>247549.28425</v>
      </c>
      <c r="G12" s="9">
        <v>15371696.41</v>
      </c>
      <c r="H12" s="99">
        <f t="shared" si="0"/>
        <v>23719251.7011685</v>
      </c>
    </row>
    <row r="13" spans="1:8" ht="14.4" x14ac:dyDescent="0.55000000000000004">
      <c r="A13" s="8">
        <v>210012</v>
      </c>
      <c r="B13" s="8" t="s">
        <v>17</v>
      </c>
      <c r="C13" s="13">
        <v>19450627.834635604</v>
      </c>
      <c r="D13" s="12">
        <v>790819</v>
      </c>
      <c r="E13" s="12">
        <v>790819</v>
      </c>
      <c r="F13" s="12">
        <v>415927.32254999998</v>
      </c>
      <c r="G13" s="9">
        <v>3243100</v>
      </c>
      <c r="H13" s="99">
        <f t="shared" si="0"/>
        <v>24691293.157185603</v>
      </c>
    </row>
    <row r="14" spans="1:8" ht="14.4" x14ac:dyDescent="0.55000000000000004">
      <c r="A14" s="8">
        <v>210013</v>
      </c>
      <c r="B14" s="8" t="s">
        <v>18</v>
      </c>
      <c r="C14" s="13">
        <v>0</v>
      </c>
      <c r="D14" s="12">
        <v>111845</v>
      </c>
      <c r="E14" s="12">
        <v>111845</v>
      </c>
      <c r="F14" s="12">
        <v>0</v>
      </c>
      <c r="G14" s="9">
        <v>545409.95000000007</v>
      </c>
      <c r="H14" s="99">
        <f t="shared" si="0"/>
        <v>769099.95000000007</v>
      </c>
    </row>
    <row r="15" spans="1:8" ht="14.4" x14ac:dyDescent="0.55000000000000004">
      <c r="A15" s="8">
        <v>210015</v>
      </c>
      <c r="B15" s="8" t="s">
        <v>19</v>
      </c>
      <c r="C15" s="13">
        <v>10768726.094649073</v>
      </c>
      <c r="D15" s="12">
        <v>554968.6</v>
      </c>
      <c r="E15" s="12">
        <v>554968.6</v>
      </c>
      <c r="F15" s="12">
        <v>78112.045249999996</v>
      </c>
      <c r="G15" s="9">
        <v>9875731.7999999989</v>
      </c>
      <c r="H15" s="99">
        <f t="shared" si="0"/>
        <v>21832507.139899071</v>
      </c>
    </row>
    <row r="16" spans="1:8" ht="14.4" x14ac:dyDescent="0.55000000000000004">
      <c r="A16" s="8">
        <v>210016</v>
      </c>
      <c r="B16" s="8" t="s">
        <v>20</v>
      </c>
      <c r="C16" s="13">
        <v>0</v>
      </c>
      <c r="D16" s="12">
        <v>302988.40000000002</v>
      </c>
      <c r="E16" s="12">
        <v>302988.40000000002</v>
      </c>
      <c r="F16" s="12">
        <v>216030.19274999999</v>
      </c>
      <c r="G16" s="9">
        <v>11912200.75</v>
      </c>
      <c r="H16" s="99">
        <f t="shared" si="0"/>
        <v>12734207.74275</v>
      </c>
    </row>
    <row r="17" spans="1:8" ht="14.4" x14ac:dyDescent="0.55000000000000004">
      <c r="A17" s="8">
        <v>210017</v>
      </c>
      <c r="B17" s="8" t="s">
        <v>21</v>
      </c>
      <c r="C17" s="13">
        <v>0</v>
      </c>
      <c r="D17" s="12">
        <v>63470.1</v>
      </c>
      <c r="E17" s="12">
        <v>63470.1</v>
      </c>
      <c r="F17" s="12">
        <v>0</v>
      </c>
      <c r="G17" s="9">
        <v>2866759.5121730058</v>
      </c>
      <c r="H17" s="99">
        <f t="shared" si="0"/>
        <v>2993699.712173006</v>
      </c>
    </row>
    <row r="18" spans="1:8" ht="14.4" x14ac:dyDescent="0.55000000000000004">
      <c r="A18" s="8">
        <v>210018</v>
      </c>
      <c r="B18" s="8" t="s">
        <v>22</v>
      </c>
      <c r="C18" s="13">
        <v>0</v>
      </c>
      <c r="D18" s="12">
        <v>180055.4</v>
      </c>
      <c r="E18" s="12">
        <v>180055.4</v>
      </c>
      <c r="F18" s="12">
        <v>0</v>
      </c>
      <c r="G18" s="9">
        <v>3346776.2100000004</v>
      </c>
      <c r="H18" s="99">
        <f t="shared" si="0"/>
        <v>3706887.0100000002</v>
      </c>
    </row>
    <row r="19" spans="1:8" ht="14.4" x14ac:dyDescent="0.55000000000000004">
      <c r="A19" s="8">
        <v>210019</v>
      </c>
      <c r="B19" s="8" t="s">
        <v>23</v>
      </c>
      <c r="C19" s="13">
        <v>0</v>
      </c>
      <c r="D19" s="12">
        <v>455207.8</v>
      </c>
      <c r="E19" s="12">
        <v>455207.8</v>
      </c>
      <c r="F19" s="12">
        <v>888956.25</v>
      </c>
      <c r="G19" s="9">
        <v>12739920.999999998</v>
      </c>
      <c r="H19" s="99">
        <f t="shared" si="0"/>
        <v>14539292.849999998</v>
      </c>
    </row>
    <row r="20" spans="1:8" ht="14.4" x14ac:dyDescent="0.55000000000000004">
      <c r="A20" s="8">
        <v>210022</v>
      </c>
      <c r="B20" s="8" t="s">
        <v>24</v>
      </c>
      <c r="C20" s="13">
        <v>531821.10035620374</v>
      </c>
      <c r="D20" s="12">
        <v>336635.10000000003</v>
      </c>
      <c r="E20" s="12">
        <v>336635.10000000003</v>
      </c>
      <c r="F20" s="12">
        <v>338404.21594999998</v>
      </c>
      <c r="G20" s="9">
        <v>5868370</v>
      </c>
      <c r="H20" s="99">
        <f t="shared" si="0"/>
        <v>7411865.5163062038</v>
      </c>
    </row>
    <row r="21" spans="1:8" ht="14.4" x14ac:dyDescent="0.55000000000000004">
      <c r="A21" s="8">
        <v>210023</v>
      </c>
      <c r="B21" s="8" t="s">
        <v>25</v>
      </c>
      <c r="C21" s="13">
        <v>4368064.4138142802</v>
      </c>
      <c r="D21" s="12">
        <v>639656.5</v>
      </c>
      <c r="E21" s="12">
        <v>639656.5</v>
      </c>
      <c r="F21" s="12">
        <v>0</v>
      </c>
      <c r="G21" s="9">
        <v>3806489.0800000005</v>
      </c>
      <c r="H21" s="99">
        <f t="shared" si="0"/>
        <v>9453866.4938142803</v>
      </c>
    </row>
    <row r="22" spans="1:8" ht="14.4" x14ac:dyDescent="0.55000000000000004">
      <c r="A22" s="8">
        <v>210024</v>
      </c>
      <c r="B22" s="8" t="s">
        <v>26</v>
      </c>
      <c r="C22" s="13">
        <v>11605785.932645733</v>
      </c>
      <c r="D22" s="12">
        <v>420493</v>
      </c>
      <c r="E22" s="12">
        <v>420493</v>
      </c>
      <c r="F22" s="12">
        <v>58690.27</v>
      </c>
      <c r="G22" s="9">
        <v>7263944.6399999997</v>
      </c>
      <c r="H22" s="99">
        <f t="shared" si="0"/>
        <v>19769406.842645731</v>
      </c>
    </row>
    <row r="23" spans="1:8" ht="14.4" x14ac:dyDescent="0.55000000000000004">
      <c r="A23" s="8">
        <v>210027</v>
      </c>
      <c r="B23" s="8" t="s">
        <v>27</v>
      </c>
      <c r="C23" s="13">
        <v>0</v>
      </c>
      <c r="D23" s="12">
        <v>336123.5</v>
      </c>
      <c r="E23" s="12">
        <v>336123.5</v>
      </c>
      <c r="F23" s="12">
        <v>568667</v>
      </c>
      <c r="G23" s="9">
        <v>12026960</v>
      </c>
      <c r="H23" s="99">
        <f t="shared" si="0"/>
        <v>13267874</v>
      </c>
    </row>
    <row r="24" spans="1:8" ht="14.4" x14ac:dyDescent="0.55000000000000004">
      <c r="A24" s="8">
        <v>210028</v>
      </c>
      <c r="B24" s="8" t="s">
        <v>28</v>
      </c>
      <c r="C24" s="13">
        <v>0</v>
      </c>
      <c r="D24" s="12">
        <v>190672.2</v>
      </c>
      <c r="E24" s="12">
        <v>190672.2</v>
      </c>
      <c r="F24" s="12">
        <v>82925.668300000005</v>
      </c>
      <c r="G24" s="9">
        <v>3483120.0799999996</v>
      </c>
      <c r="H24" s="99">
        <f t="shared" si="0"/>
        <v>3947390.1482999995</v>
      </c>
    </row>
    <row r="25" spans="1:8" ht="14.4" x14ac:dyDescent="0.55000000000000004">
      <c r="A25" s="8">
        <v>210029</v>
      </c>
      <c r="B25" s="8" t="s">
        <v>29</v>
      </c>
      <c r="C25" s="13">
        <v>26222960.926284961</v>
      </c>
      <c r="D25" s="12">
        <v>691568.3</v>
      </c>
      <c r="E25" s="12">
        <v>691568.3</v>
      </c>
      <c r="F25" s="12">
        <v>486570.79570000002</v>
      </c>
      <c r="G25" s="9">
        <v>22241000</v>
      </c>
      <c r="H25" s="99">
        <f t="shared" si="0"/>
        <v>50333668.321984962</v>
      </c>
    </row>
    <row r="26" spans="1:8" ht="14.4" x14ac:dyDescent="0.55000000000000004">
      <c r="A26" s="8">
        <v>210030</v>
      </c>
      <c r="B26" s="8" t="s">
        <v>30</v>
      </c>
      <c r="C26" s="13">
        <v>0</v>
      </c>
      <c r="D26" s="12">
        <v>50208.1</v>
      </c>
      <c r="E26" s="12">
        <v>50208.1</v>
      </c>
      <c r="F26" s="12">
        <v>0</v>
      </c>
      <c r="G26" s="9">
        <v>619435.73</v>
      </c>
      <c r="H26" s="99">
        <f t="shared" si="0"/>
        <v>719851.92999999993</v>
      </c>
    </row>
    <row r="27" spans="1:8" ht="14.4" x14ac:dyDescent="0.55000000000000004">
      <c r="A27" s="8">
        <v>210032</v>
      </c>
      <c r="B27" s="8" t="s">
        <v>31</v>
      </c>
      <c r="C27" s="13">
        <v>0</v>
      </c>
      <c r="D27" s="12">
        <v>164257.70000000001</v>
      </c>
      <c r="E27" s="12">
        <v>164257.70000000001</v>
      </c>
      <c r="F27" s="12">
        <v>0</v>
      </c>
      <c r="G27" s="9">
        <v>1763814.2200000028</v>
      </c>
      <c r="H27" s="99">
        <f t="shared" si="0"/>
        <v>2092329.6200000029</v>
      </c>
    </row>
    <row r="28" spans="1:8" ht="14.4" x14ac:dyDescent="0.55000000000000004">
      <c r="A28" s="8">
        <v>210033</v>
      </c>
      <c r="B28" s="8" t="s">
        <v>32</v>
      </c>
      <c r="C28" s="13">
        <v>0</v>
      </c>
      <c r="D28" s="12">
        <v>233904</v>
      </c>
      <c r="E28" s="12">
        <v>233904</v>
      </c>
      <c r="F28" s="12">
        <v>32599.4794</v>
      </c>
      <c r="G28" s="9">
        <v>857000</v>
      </c>
      <c r="H28" s="99">
        <f t="shared" si="0"/>
        <v>1357407.4794000001</v>
      </c>
    </row>
    <row r="29" spans="1:8" ht="14.4" x14ac:dyDescent="0.55000000000000004">
      <c r="A29" s="8">
        <v>210034</v>
      </c>
      <c r="B29" s="8" t="s">
        <v>33</v>
      </c>
      <c r="C29" s="13">
        <v>2256718.4282901748</v>
      </c>
      <c r="D29" s="12">
        <v>187755.80000000002</v>
      </c>
      <c r="E29" s="12">
        <v>187755.80000000002</v>
      </c>
      <c r="F29" s="12">
        <v>25817.263449999999</v>
      </c>
      <c r="G29" s="9">
        <v>3598222.98</v>
      </c>
      <c r="H29" s="99">
        <f t="shared" si="0"/>
        <v>6256270.2717401739</v>
      </c>
    </row>
    <row r="30" spans="1:8" ht="14.4" x14ac:dyDescent="0.55000000000000004">
      <c r="A30" s="8">
        <v>210035</v>
      </c>
      <c r="B30" s="8" t="s">
        <v>34</v>
      </c>
      <c r="C30" s="13">
        <v>0</v>
      </c>
      <c r="D30" s="12">
        <v>155775.1</v>
      </c>
      <c r="E30" s="12">
        <v>155775.1</v>
      </c>
      <c r="F30" s="12">
        <v>210154</v>
      </c>
      <c r="G30" s="9">
        <v>1355000</v>
      </c>
      <c r="H30" s="99">
        <f t="shared" si="0"/>
        <v>1876704.2</v>
      </c>
    </row>
    <row r="31" spans="1:8" ht="14.4" x14ac:dyDescent="0.55000000000000004">
      <c r="A31" s="8">
        <v>210037</v>
      </c>
      <c r="B31" s="8" t="s">
        <v>35</v>
      </c>
      <c r="C31" s="13">
        <v>0</v>
      </c>
      <c r="D31" s="12">
        <v>231728.1</v>
      </c>
      <c r="E31" s="12">
        <v>231728.1</v>
      </c>
      <c r="F31" s="12">
        <v>0</v>
      </c>
      <c r="G31" s="9">
        <v>3056991.0899999994</v>
      </c>
      <c r="H31" s="99">
        <f t="shared" si="0"/>
        <v>3520447.2899999996</v>
      </c>
    </row>
    <row r="32" spans="1:8" ht="14.4" x14ac:dyDescent="0.55000000000000004">
      <c r="A32" s="8">
        <v>210038</v>
      </c>
      <c r="B32" s="8" t="s">
        <v>36</v>
      </c>
      <c r="C32" s="13">
        <v>3690815.6101339846</v>
      </c>
      <c r="D32" s="12">
        <v>230207.7</v>
      </c>
      <c r="E32" s="12">
        <v>230207.7</v>
      </c>
      <c r="F32" s="12">
        <v>540815.92075000005</v>
      </c>
      <c r="G32" s="9">
        <v>3929000</v>
      </c>
      <c r="H32" s="99">
        <f t="shared" si="0"/>
        <v>8621046.930883985</v>
      </c>
    </row>
    <row r="33" spans="1:8" ht="14.4" x14ac:dyDescent="0.55000000000000004">
      <c r="A33" s="8">
        <v>210039</v>
      </c>
      <c r="B33" s="8" t="s">
        <v>37</v>
      </c>
      <c r="C33" s="13">
        <v>0</v>
      </c>
      <c r="D33" s="12">
        <v>153315.1</v>
      </c>
      <c r="E33" s="12">
        <v>153315.1</v>
      </c>
      <c r="F33" s="12">
        <v>0</v>
      </c>
      <c r="G33" s="9">
        <v>3510406</v>
      </c>
      <c r="H33" s="99">
        <f t="shared" si="0"/>
        <v>3817036.2</v>
      </c>
    </row>
    <row r="34" spans="1:8" ht="14.4" x14ac:dyDescent="0.55000000000000004">
      <c r="A34" s="8">
        <v>210040</v>
      </c>
      <c r="B34" s="8" t="s">
        <v>38</v>
      </c>
      <c r="C34" s="13">
        <v>0</v>
      </c>
      <c r="D34" s="12">
        <v>271508.90000000002</v>
      </c>
      <c r="E34" s="12">
        <v>271508.90000000002</v>
      </c>
      <c r="F34" s="12">
        <v>37507.539499999999</v>
      </c>
      <c r="G34" s="9">
        <v>1379379</v>
      </c>
      <c r="H34" s="99">
        <f t="shared" si="0"/>
        <v>1959904.3395</v>
      </c>
    </row>
    <row r="35" spans="1:8" ht="14.4" x14ac:dyDescent="0.55000000000000004">
      <c r="A35" s="8">
        <v>210043</v>
      </c>
      <c r="B35" s="8" t="s">
        <v>39</v>
      </c>
      <c r="C35" s="9">
        <v>730772.74507387949</v>
      </c>
      <c r="D35" s="9">
        <v>448592.9</v>
      </c>
      <c r="E35" s="9">
        <v>448592.9</v>
      </c>
      <c r="F35" s="9">
        <v>0</v>
      </c>
      <c r="G35" s="9">
        <v>6901000</v>
      </c>
      <c r="H35" s="99">
        <f t="shared" si="0"/>
        <v>8528958.5450738799</v>
      </c>
    </row>
    <row r="36" spans="1:8" ht="14.4" x14ac:dyDescent="0.55000000000000004">
      <c r="A36" s="8">
        <v>210044</v>
      </c>
      <c r="B36" s="8" t="s">
        <v>40</v>
      </c>
      <c r="C36" s="9">
        <v>8130175.6796619669</v>
      </c>
      <c r="D36" s="9">
        <v>477483.5</v>
      </c>
      <c r="E36" s="9">
        <v>477483.5</v>
      </c>
      <c r="F36" s="9">
        <v>66711.657699999996</v>
      </c>
      <c r="G36" s="9">
        <v>4545000</v>
      </c>
      <c r="H36" s="99">
        <f t="shared" si="0"/>
        <v>13696854.337361967</v>
      </c>
    </row>
    <row r="37" spans="1:8" ht="14.4" x14ac:dyDescent="0.55000000000000004">
      <c r="A37" s="8">
        <v>210045</v>
      </c>
      <c r="B37" s="8" t="s">
        <v>41</v>
      </c>
      <c r="C37" s="9">
        <v>0</v>
      </c>
      <c r="D37" s="9">
        <v>16060.2</v>
      </c>
      <c r="E37" s="9">
        <v>16060.2</v>
      </c>
      <c r="F37" s="9">
        <v>0</v>
      </c>
      <c r="G37" s="22">
        <v>166400</v>
      </c>
      <c r="H37" s="99">
        <f t="shared" si="0"/>
        <v>198520.4</v>
      </c>
    </row>
    <row r="38" spans="1:8" ht="14.4" x14ac:dyDescent="0.55000000000000004">
      <c r="A38" s="8">
        <v>210048</v>
      </c>
      <c r="B38" s="8" t="s">
        <v>42</v>
      </c>
      <c r="C38" s="9">
        <v>0</v>
      </c>
      <c r="D38" s="9">
        <v>307991.7</v>
      </c>
      <c r="E38" s="9">
        <v>307991.7</v>
      </c>
      <c r="F38" s="9">
        <v>323488.61035000003</v>
      </c>
      <c r="G38" s="9">
        <v>5129000</v>
      </c>
      <c r="H38" s="99">
        <f t="shared" si="0"/>
        <v>6068472.0103500001</v>
      </c>
    </row>
    <row r="39" spans="1:8" ht="14.4" x14ac:dyDescent="0.55000000000000004">
      <c r="A39" s="8">
        <v>210049</v>
      </c>
      <c r="B39" s="8" t="s">
        <v>43</v>
      </c>
      <c r="C39" s="9">
        <v>0</v>
      </c>
      <c r="D39" s="9">
        <v>323916.5</v>
      </c>
      <c r="E39" s="9">
        <v>323916.5</v>
      </c>
      <c r="F39" s="9">
        <v>0</v>
      </c>
      <c r="G39" s="9">
        <v>3671000</v>
      </c>
      <c r="H39" s="99">
        <f t="shared" si="0"/>
        <v>4318833</v>
      </c>
    </row>
    <row r="40" spans="1:8" ht="14.4" x14ac:dyDescent="0.55000000000000004">
      <c r="A40" s="8">
        <v>210051</v>
      </c>
      <c r="B40" s="8" t="s">
        <v>44</v>
      </c>
      <c r="C40" s="9">
        <v>0</v>
      </c>
      <c r="D40" s="9">
        <v>256445.2</v>
      </c>
      <c r="E40" s="9">
        <v>256445.2</v>
      </c>
      <c r="F40" s="9">
        <v>113852.24795</v>
      </c>
      <c r="G40" s="9">
        <v>6776100</v>
      </c>
      <c r="H40" s="99">
        <f t="shared" si="0"/>
        <v>7402842.6479500001</v>
      </c>
    </row>
    <row r="41" spans="1:8" ht="14.4" x14ac:dyDescent="0.55000000000000004">
      <c r="A41" s="8">
        <v>210056</v>
      </c>
      <c r="B41" s="14" t="s">
        <v>45</v>
      </c>
      <c r="C41" s="9">
        <v>2953444.3136479068</v>
      </c>
      <c r="D41" s="9">
        <v>256874.4</v>
      </c>
      <c r="E41" s="9">
        <v>256874.4</v>
      </c>
      <c r="F41" s="9">
        <v>37256.304100000001</v>
      </c>
      <c r="G41" s="9">
        <v>5827941.2599999998</v>
      </c>
      <c r="H41" s="99">
        <f t="shared" si="0"/>
        <v>9332390.6777479053</v>
      </c>
    </row>
    <row r="42" spans="1:8" ht="14.4" x14ac:dyDescent="0.55000000000000004">
      <c r="A42" s="8">
        <v>210057</v>
      </c>
      <c r="B42" s="14" t="s">
        <v>46</v>
      </c>
      <c r="C42" s="9">
        <v>20870</v>
      </c>
      <c r="D42" s="9">
        <v>470396.8</v>
      </c>
      <c r="E42" s="9">
        <v>470396.8</v>
      </c>
      <c r="F42" s="9">
        <v>333748.33435000002</v>
      </c>
      <c r="G42" s="9">
        <v>7659260.9999999981</v>
      </c>
      <c r="H42" s="99">
        <f t="shared" si="0"/>
        <v>8954672.9343499988</v>
      </c>
    </row>
    <row r="43" spans="1:8" ht="14.4" x14ac:dyDescent="0.55000000000000004">
      <c r="A43" s="8">
        <v>210058</v>
      </c>
      <c r="B43" s="14" t="s">
        <v>47</v>
      </c>
      <c r="C43" s="9">
        <v>4095450.6815999993</v>
      </c>
      <c r="D43" s="9">
        <v>124572.6</v>
      </c>
      <c r="E43" s="9">
        <v>124572.6</v>
      </c>
      <c r="F43" s="9">
        <v>0</v>
      </c>
      <c r="G43" s="9">
        <v>1884000</v>
      </c>
      <c r="H43" s="99">
        <f t="shared" si="0"/>
        <v>6228595.881599999</v>
      </c>
    </row>
    <row r="44" spans="1:8" ht="14.4" x14ac:dyDescent="0.55000000000000004">
      <c r="A44" s="8">
        <v>210060</v>
      </c>
      <c r="B44" s="14" t="s">
        <v>48</v>
      </c>
      <c r="C44" s="9">
        <v>0</v>
      </c>
      <c r="D44" s="9">
        <v>53090.934000000001</v>
      </c>
      <c r="E44" s="9">
        <v>53090.934000000001</v>
      </c>
      <c r="F44" s="9">
        <v>149559.58025</v>
      </c>
      <c r="G44" s="9">
        <v>613542.59</v>
      </c>
      <c r="H44" s="99">
        <f t="shared" si="0"/>
        <v>869284.03824999998</v>
      </c>
    </row>
    <row r="45" spans="1:8" ht="14.4" x14ac:dyDescent="0.55000000000000004">
      <c r="A45" s="8">
        <v>210061</v>
      </c>
      <c r="B45" s="14" t="s">
        <v>49</v>
      </c>
      <c r="C45" s="9">
        <v>0</v>
      </c>
      <c r="D45" s="9">
        <v>110793</v>
      </c>
      <c r="E45" s="9">
        <v>110793</v>
      </c>
      <c r="F45" s="9">
        <v>296318.75</v>
      </c>
      <c r="G45" s="9">
        <v>1099600</v>
      </c>
      <c r="H45" s="99">
        <f t="shared" si="0"/>
        <v>1617504.75</v>
      </c>
    </row>
    <row r="46" spans="1:8" ht="14.4" x14ac:dyDescent="0.55000000000000004">
      <c r="A46" s="8">
        <v>210062</v>
      </c>
      <c r="B46" s="14" t="s">
        <v>50</v>
      </c>
      <c r="C46" s="9">
        <v>0</v>
      </c>
      <c r="D46" s="9">
        <v>273965.09999999998</v>
      </c>
      <c r="E46" s="9">
        <v>273965.09999999998</v>
      </c>
      <c r="F46" s="9">
        <v>794940.0429</v>
      </c>
      <c r="G46" s="9">
        <v>5579397.3100000005</v>
      </c>
      <c r="H46" s="99">
        <f t="shared" si="0"/>
        <v>6922267.5529000005</v>
      </c>
    </row>
    <row r="47" spans="1:8" ht="14.4" x14ac:dyDescent="0.55000000000000004">
      <c r="A47" s="8">
        <v>210063</v>
      </c>
      <c r="B47" s="14" t="s">
        <v>51</v>
      </c>
      <c r="C47" s="9">
        <v>0</v>
      </c>
      <c r="D47" s="9">
        <v>389173.60000000003</v>
      </c>
      <c r="E47" s="9">
        <v>389173.60000000003</v>
      </c>
      <c r="F47" s="9">
        <v>54168.028250000003</v>
      </c>
      <c r="G47" s="9">
        <v>6367648.54</v>
      </c>
      <c r="H47" s="99">
        <f t="shared" si="0"/>
        <v>7200163.7682499997</v>
      </c>
    </row>
    <row r="48" spans="1:8" ht="14.4" x14ac:dyDescent="0.55000000000000004">
      <c r="A48" s="8">
        <v>210064</v>
      </c>
      <c r="B48" s="14" t="s">
        <v>52</v>
      </c>
      <c r="C48" s="9">
        <v>0</v>
      </c>
      <c r="D48" s="9">
        <v>60471.3</v>
      </c>
      <c r="E48" s="9">
        <v>60471.3</v>
      </c>
      <c r="F48" s="9">
        <v>0</v>
      </c>
      <c r="G48" s="9">
        <v>918967</v>
      </c>
      <c r="H48" s="99">
        <f t="shared" si="0"/>
        <v>1039909.6</v>
      </c>
    </row>
    <row r="49" spans="1:8" ht="14.4" x14ac:dyDescent="0.55000000000000004">
      <c r="A49" s="8">
        <v>210065</v>
      </c>
      <c r="B49" s="14" t="s">
        <v>53</v>
      </c>
      <c r="C49" s="9">
        <v>0</v>
      </c>
      <c r="D49" s="9">
        <v>111194.1</v>
      </c>
      <c r="E49" s="9">
        <v>111194.1</v>
      </c>
      <c r="F49" s="9">
        <v>82402.530249999996</v>
      </c>
      <c r="G49" s="9">
        <v>4743424.8000000007</v>
      </c>
      <c r="H49" s="99">
        <f t="shared" si="0"/>
        <v>5048215.5302500008</v>
      </c>
    </row>
    <row r="50" spans="1:8" ht="14.4" x14ac:dyDescent="0.55000000000000004">
      <c r="A50" s="8">
        <v>213300</v>
      </c>
      <c r="B50" s="14" t="s">
        <v>54</v>
      </c>
      <c r="C50" s="9">
        <v>0</v>
      </c>
      <c r="D50" s="9">
        <v>66001.5</v>
      </c>
      <c r="E50" s="9">
        <v>0</v>
      </c>
      <c r="F50" s="9">
        <v>0</v>
      </c>
      <c r="G50" s="9">
        <v>33672.57999999998</v>
      </c>
      <c r="H50" s="99">
        <f t="shared" si="0"/>
        <v>99674.079999999987</v>
      </c>
    </row>
    <row r="51" spans="1:8" ht="14.4" x14ac:dyDescent="0.55000000000000004">
      <c r="A51" s="8">
        <v>214000</v>
      </c>
      <c r="B51" s="14" t="s">
        <v>55</v>
      </c>
      <c r="C51" s="9">
        <v>2499789.6100000003</v>
      </c>
      <c r="D51" s="9">
        <v>159882.5</v>
      </c>
      <c r="E51" s="9">
        <v>0</v>
      </c>
      <c r="F51" s="9">
        <v>0</v>
      </c>
      <c r="G51" s="9">
        <v>4629792.5399999991</v>
      </c>
      <c r="H51" s="99">
        <f t="shared" si="0"/>
        <v>7289464.6499999994</v>
      </c>
    </row>
    <row r="52" spans="1:8" ht="14.4" x14ac:dyDescent="0.55000000000000004">
      <c r="A52" s="8">
        <v>214020</v>
      </c>
      <c r="B52" s="14" t="s">
        <v>694</v>
      </c>
      <c r="C52" s="9">
        <v>0</v>
      </c>
      <c r="D52" s="9">
        <v>0</v>
      </c>
      <c r="E52" s="9">
        <v>0</v>
      </c>
      <c r="F52" s="9">
        <v>0</v>
      </c>
      <c r="G52" s="9">
        <v>37631.85</v>
      </c>
      <c r="H52" s="99">
        <f t="shared" si="0"/>
        <v>37631.85</v>
      </c>
    </row>
    <row r="53" spans="1:8" ht="14.4" x14ac:dyDescent="0.55000000000000004">
      <c r="A53" s="8">
        <v>213029</v>
      </c>
      <c r="B53" s="14" t="s">
        <v>56</v>
      </c>
      <c r="C53" s="9">
        <v>0</v>
      </c>
      <c r="D53" s="9">
        <v>63254.853999999999</v>
      </c>
      <c r="E53" s="9">
        <v>0</v>
      </c>
      <c r="F53" s="9">
        <v>0</v>
      </c>
      <c r="G53" s="9">
        <v>0</v>
      </c>
      <c r="H53" s="99">
        <f t="shared" si="0"/>
        <v>63254.853999999999</v>
      </c>
    </row>
    <row r="54" spans="1:8" ht="14.4" x14ac:dyDescent="0.55000000000000004">
      <c r="A54" s="100"/>
      <c r="B54" s="101" t="s">
        <v>57</v>
      </c>
      <c r="C54" s="102">
        <f>SUM(C3:C53)</f>
        <v>373899380.28208959</v>
      </c>
      <c r="D54" s="102">
        <f>SUM(D3:D53)</f>
        <v>17532501.487999998</v>
      </c>
      <c r="E54" s="102">
        <f>SUM(E3:E53)</f>
        <v>17243362.434</v>
      </c>
      <c r="F54" s="102">
        <f>SUM(F3:F53)</f>
        <v>11410715.547699997</v>
      </c>
      <c r="G54" s="103">
        <f>SUM(G3:G53)</f>
        <v>329411370.69998264</v>
      </c>
      <c r="H54" s="104">
        <f t="shared" si="0"/>
        <v>749497330.45177221</v>
      </c>
    </row>
    <row r="56" spans="1:8" x14ac:dyDescent="0.4">
      <c r="G56" s="439"/>
    </row>
  </sheetData>
  <pageMargins left="0.7" right="0.7" top="0.75" bottom="0.75" header="0.3" footer="0.3"/>
  <pageSetup scale="65"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7BF6E-0F75-45B5-BC5E-FCE50B445EC8}">
  <sheetPr codeName="Sheet51"/>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22.839843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65">
      <c r="B5" s="180" t="s">
        <v>236</v>
      </c>
      <c r="C5" s="412" t="s">
        <v>49</v>
      </c>
      <c r="D5" s="247"/>
      <c r="E5" s="247"/>
      <c r="F5" s="208"/>
    </row>
    <row r="6" spans="1:8" ht="18" customHeight="1" x14ac:dyDescent="0.55000000000000004">
      <c r="B6" s="180" t="s">
        <v>237</v>
      </c>
      <c r="C6" s="244">
        <v>61</v>
      </c>
      <c r="D6" s="244"/>
      <c r="E6" s="244"/>
      <c r="F6" s="209"/>
    </row>
    <row r="7" spans="1:8" ht="18" customHeight="1" x14ac:dyDescent="0.55000000000000004">
      <c r="B7" s="180" t="s">
        <v>238</v>
      </c>
      <c r="C7" s="246">
        <v>990</v>
      </c>
      <c r="D7" s="246"/>
      <c r="E7" s="246"/>
      <c r="F7" s="210"/>
    </row>
    <row r="8" spans="1:8" ht="18" customHeight="1" x14ac:dyDescent="0.55000000000000004">
      <c r="C8" s="211"/>
      <c r="D8" s="211"/>
      <c r="E8" s="211"/>
      <c r="F8" s="212"/>
    </row>
    <row r="9" spans="1:8" ht="18" customHeight="1" x14ac:dyDescent="0.55000000000000004">
      <c r="B9" s="180" t="s">
        <v>239</v>
      </c>
      <c r="C9" s="247" t="s">
        <v>629</v>
      </c>
      <c r="D9" s="247"/>
      <c r="E9" s="247"/>
      <c r="F9" s="208"/>
    </row>
    <row r="10" spans="1:8" ht="18" customHeight="1" x14ac:dyDescent="0.55000000000000004">
      <c r="B10" s="180" t="s">
        <v>241</v>
      </c>
      <c r="C10" s="248" t="s">
        <v>630</v>
      </c>
      <c r="D10" s="248"/>
      <c r="E10" s="248"/>
      <c r="F10" s="213"/>
    </row>
    <row r="11" spans="1:8" ht="18" customHeight="1" x14ac:dyDescent="0.55000000000000004">
      <c r="B11" s="180" t="s">
        <v>243</v>
      </c>
      <c r="C11" s="258" t="s">
        <v>631</v>
      </c>
      <c r="D11" s="247"/>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2126717.8686666549</v>
      </c>
      <c r="E18" s="214"/>
      <c r="F18" s="214"/>
      <c r="G18" s="214">
        <v>1762560.2952518279</v>
      </c>
      <c r="H18" s="249">
        <f>(D18+E18)-G18</f>
        <v>364157.573414827</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77471</v>
      </c>
      <c r="E21" s="216">
        <f>+D21*$G$114</f>
        <v>9683.875</v>
      </c>
      <c r="F21" s="216"/>
      <c r="G21" s="184"/>
      <c r="H21" s="217">
        <f>(D21+E21)-F21-G21</f>
        <v>87154.875</v>
      </c>
    </row>
    <row r="22" spans="1:8" ht="18" customHeight="1" x14ac:dyDescent="0.55000000000000004">
      <c r="A22" s="180" t="s">
        <v>112</v>
      </c>
      <c r="B22" s="176" t="s">
        <v>113</v>
      </c>
      <c r="D22" s="184">
        <v>10123</v>
      </c>
      <c r="E22" s="216">
        <f>+D22*$G$114</f>
        <v>1265.375</v>
      </c>
      <c r="F22" s="216"/>
      <c r="G22" s="184"/>
      <c r="H22" s="217">
        <f t="shared" ref="H22:H34" si="0">(D22+E22)-F22-G22</f>
        <v>11388.375</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c r="E24" s="216"/>
      <c r="F24" s="216"/>
      <c r="G24" s="184"/>
      <c r="H24" s="217">
        <f t="shared" si="0"/>
        <v>0</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v>1698</v>
      </c>
      <c r="E27" s="216">
        <f>+D27*$G$114</f>
        <v>212.25</v>
      </c>
      <c r="F27" s="216"/>
      <c r="G27" s="184"/>
      <c r="H27" s="217">
        <f t="shared" si="0"/>
        <v>1910.25</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v>14715</v>
      </c>
      <c r="E29" s="216">
        <f>+D29*$G$114</f>
        <v>1839.375</v>
      </c>
      <c r="F29" s="216"/>
      <c r="G29" s="184"/>
      <c r="H29" s="217">
        <f t="shared" si="0"/>
        <v>16554.375</v>
      </c>
    </row>
    <row r="30" spans="1:8" ht="18" customHeight="1" x14ac:dyDescent="0.55000000000000004">
      <c r="A30" s="180" t="s">
        <v>128</v>
      </c>
      <c r="B30" s="185"/>
      <c r="D30" s="184"/>
      <c r="E30" s="216"/>
      <c r="F30" s="216"/>
      <c r="G30" s="184"/>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104007</v>
      </c>
      <c r="E36" s="217">
        <f>SUM(E21:E34)</f>
        <v>13000.875</v>
      </c>
      <c r="F36" s="217">
        <f>SUM(F21:F34)</f>
        <v>0</v>
      </c>
      <c r="G36" s="217">
        <f>SUM(G21:G34)</f>
        <v>0</v>
      </c>
      <c r="H36" s="217">
        <f>SUM(H21:H34)</f>
        <v>117007.875</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v>8738</v>
      </c>
      <c r="E41" s="216">
        <f>+D41*$G$114</f>
        <v>1092.25</v>
      </c>
      <c r="F41" s="216"/>
      <c r="G41" s="184"/>
      <c r="H41" s="217">
        <f t="shared" ref="H41:H47" si="1">(D41+E41)-F41-G41</f>
        <v>9830.25</v>
      </c>
    </row>
    <row r="42" spans="1:8" ht="18" customHeight="1" x14ac:dyDescent="0.55000000000000004">
      <c r="A42" s="180" t="s">
        <v>252</v>
      </c>
      <c r="B42" s="176" t="s">
        <v>143</v>
      </c>
      <c r="D42" s="184">
        <v>287051</v>
      </c>
      <c r="E42" s="216">
        <f>+D42*$G$114</f>
        <v>35881.375</v>
      </c>
      <c r="F42" s="216"/>
      <c r="G42" s="184"/>
      <c r="H42" s="217">
        <f t="shared" si="1"/>
        <v>322932.375</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295789</v>
      </c>
      <c r="E49" s="217">
        <f>SUM(E40:E47)</f>
        <v>36973.625</v>
      </c>
      <c r="F49" s="217">
        <f>SUM(F40:F47)</f>
        <v>0</v>
      </c>
      <c r="G49" s="217">
        <f>SUM(G40:G47)</f>
        <v>0</v>
      </c>
      <c r="H49" s="217">
        <f>SUM(H40:H47)</f>
        <v>332762.625</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22">
        <v>39750</v>
      </c>
      <c r="E53" s="222"/>
      <c r="F53" s="222"/>
      <c r="G53" s="222"/>
      <c r="H53" s="217">
        <f>(D53+E53)-F53-G53</f>
        <v>39750</v>
      </c>
    </row>
    <row r="54" spans="1:8" ht="18" customHeight="1" x14ac:dyDescent="0.55000000000000004">
      <c r="A54" s="180" t="s">
        <v>259</v>
      </c>
      <c r="B54" s="193" t="s">
        <v>632</v>
      </c>
      <c r="D54" s="184">
        <v>274793</v>
      </c>
      <c r="E54" s="216">
        <f>+D54*$G$114</f>
        <v>34349.125</v>
      </c>
      <c r="F54" s="216"/>
      <c r="G54" s="184">
        <v>53251</v>
      </c>
      <c r="H54" s="217">
        <f t="shared" ref="H54:H62" si="2">(D54+E54)-F54-G54</f>
        <v>255891.125</v>
      </c>
    </row>
    <row r="55" spans="1:8" ht="18" customHeight="1" x14ac:dyDescent="0.55000000000000004">
      <c r="A55" s="180" t="s">
        <v>260</v>
      </c>
      <c r="B55" s="194" t="s">
        <v>633</v>
      </c>
      <c r="D55" s="184">
        <v>36605</v>
      </c>
      <c r="E55" s="216">
        <f>+D55*$G$114</f>
        <v>4575.625</v>
      </c>
      <c r="F55" s="216"/>
      <c r="G55" s="184">
        <v>15276</v>
      </c>
      <c r="H55" s="217">
        <f t="shared" si="2"/>
        <v>25904.625</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351148</v>
      </c>
      <c r="E64" s="217">
        <f>SUM(E53:E62)</f>
        <v>38924.75</v>
      </c>
      <c r="F64" s="217">
        <f>SUM(F53:F62)</f>
        <v>0</v>
      </c>
      <c r="G64" s="217">
        <f>SUM(G53:G62)</f>
        <v>68527</v>
      </c>
      <c r="H64" s="217">
        <f>SUM(H53:H62)</f>
        <v>321545.75</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c r="E79" s="230"/>
      <c r="F79" s="220"/>
      <c r="G79" s="184"/>
      <c r="H79" s="217">
        <f>(D79-F79-G79)</f>
        <v>0</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0</v>
      </c>
      <c r="E82" s="231"/>
      <c r="F82" s="217">
        <f>SUM(F77:F80)</f>
        <v>0</v>
      </c>
      <c r="G82" s="217">
        <f>SUM(G77:G80)</f>
        <v>0</v>
      </c>
      <c r="H82" s="217">
        <f>SUM(H77:H80)</f>
        <v>0</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c r="E88" s="216"/>
      <c r="F88" s="216"/>
      <c r="G88" s="184"/>
      <c r="H88" s="217">
        <f t="shared" si="3"/>
        <v>0</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c r="E91" s="216"/>
      <c r="F91" s="216"/>
      <c r="G91" s="184"/>
      <c r="H91" s="217">
        <f t="shared" si="3"/>
        <v>0</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0</v>
      </c>
      <c r="E98" s="217">
        <f>SUM(E86:E96)</f>
        <v>0</v>
      </c>
      <c r="F98" s="217">
        <f>SUM(F86:F96)</f>
        <v>0</v>
      </c>
      <c r="G98" s="217">
        <f>SUM(G86:G96)</f>
        <v>0</v>
      </c>
      <c r="H98" s="217">
        <f>SUM(H86:H96)</f>
        <v>0</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137935</v>
      </c>
      <c r="E102" s="216"/>
      <c r="F102" s="216"/>
      <c r="G102" s="184"/>
      <c r="H102" s="217">
        <f>(D102+E102)-F102-G102</f>
        <v>137935</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137935</v>
      </c>
      <c r="E108" s="217">
        <f>SUM(E102:E106)</f>
        <v>0</v>
      </c>
      <c r="F108" s="217">
        <f>SUM(F102:F106)</f>
        <v>0</v>
      </c>
      <c r="G108" s="217">
        <f>SUM(G102:G106)</f>
        <v>0</v>
      </c>
      <c r="H108" s="217">
        <f>SUM(H102:H106)</f>
        <v>137935</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1217677</v>
      </c>
      <c r="G111" s="184"/>
      <c r="H111" s="217">
        <f>F111-G111</f>
        <v>1217677</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f>(8137.6+20332+9545+1365.5)/(51587.8)</f>
        <v>0.76336071706876429</v>
      </c>
      <c r="F114" s="235" t="s">
        <v>429</v>
      </c>
      <c r="G114" s="236">
        <v>0.125</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136584839</v>
      </c>
      <c r="F117" s="237"/>
    </row>
    <row r="118" spans="1:7" ht="18" customHeight="1" x14ac:dyDescent="0.55000000000000004">
      <c r="A118" s="180" t="s">
        <v>319</v>
      </c>
      <c r="B118" s="176" t="s">
        <v>320</v>
      </c>
      <c r="E118" s="184">
        <v>8353672</v>
      </c>
      <c r="F118" s="237"/>
    </row>
    <row r="119" spans="1:7" ht="18" customHeight="1" x14ac:dyDescent="0.55000000000000004">
      <c r="A119" s="180" t="s">
        <v>321</v>
      </c>
      <c r="B119" s="179" t="s">
        <v>322</v>
      </c>
      <c r="E119" s="217">
        <f>SUM(E117:E118)</f>
        <v>144938511</v>
      </c>
      <c r="F119" s="238"/>
    </row>
    <row r="120" spans="1:7" ht="18" customHeight="1" x14ac:dyDescent="0.55000000000000004">
      <c r="A120" s="180"/>
      <c r="B120" s="179"/>
      <c r="F120" s="212"/>
    </row>
    <row r="121" spans="1:7" ht="18" customHeight="1" x14ac:dyDescent="0.55000000000000004">
      <c r="A121" s="180" t="s">
        <v>323</v>
      </c>
      <c r="B121" s="179" t="s">
        <v>324</v>
      </c>
      <c r="E121" s="184">
        <v>146641248</v>
      </c>
      <c r="F121" s="237"/>
    </row>
    <row r="122" spans="1:7" ht="18" customHeight="1" x14ac:dyDescent="0.55000000000000004">
      <c r="A122" s="180"/>
      <c r="F122" s="212"/>
    </row>
    <row r="123" spans="1:7" ht="18" customHeight="1" x14ac:dyDescent="0.55000000000000004">
      <c r="A123" s="180" t="s">
        <v>325</v>
      </c>
      <c r="B123" s="179" t="s">
        <v>326</v>
      </c>
      <c r="E123" s="184">
        <f>+E119-E121</f>
        <v>-1702737</v>
      </c>
      <c r="F123" s="237"/>
    </row>
    <row r="124" spans="1:7" ht="18" customHeight="1" x14ac:dyDescent="0.55000000000000004">
      <c r="A124" s="180"/>
      <c r="F124" s="212"/>
    </row>
    <row r="125" spans="1:7" ht="18" customHeight="1" x14ac:dyDescent="0.55000000000000004">
      <c r="A125" s="180" t="s">
        <v>327</v>
      </c>
      <c r="B125" s="179" t="s">
        <v>328</v>
      </c>
      <c r="E125" s="184">
        <v>8458572</v>
      </c>
      <c r="F125" s="237"/>
    </row>
    <row r="126" spans="1:7" ht="18" customHeight="1" x14ac:dyDescent="0.55000000000000004">
      <c r="A126" s="180"/>
      <c r="F126" s="212"/>
    </row>
    <row r="127" spans="1:7" ht="18" customHeight="1" x14ac:dyDescent="0.55000000000000004">
      <c r="A127" s="180" t="s">
        <v>329</v>
      </c>
      <c r="B127" s="179" t="s">
        <v>330</v>
      </c>
      <c r="E127" s="184">
        <f>+E125+E123</f>
        <v>6755835</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104007</v>
      </c>
      <c r="E141" s="239">
        <f>E36</f>
        <v>13000.875</v>
      </c>
      <c r="F141" s="239">
        <f>F36</f>
        <v>0</v>
      </c>
      <c r="G141" s="239">
        <f>G36</f>
        <v>0</v>
      </c>
      <c r="H141" s="239">
        <f>H36</f>
        <v>117007.875</v>
      </c>
    </row>
    <row r="142" spans="1:8" ht="18" customHeight="1" x14ac:dyDescent="0.55000000000000004">
      <c r="A142" s="180" t="s">
        <v>150</v>
      </c>
      <c r="B142" s="179" t="s">
        <v>220</v>
      </c>
      <c r="D142" s="239">
        <f>D49</f>
        <v>295789</v>
      </c>
      <c r="E142" s="239">
        <f>E49</f>
        <v>36973.625</v>
      </c>
      <c r="F142" s="239">
        <f>F49</f>
        <v>0</v>
      </c>
      <c r="G142" s="239">
        <f>G49</f>
        <v>0</v>
      </c>
      <c r="H142" s="239">
        <f>H49</f>
        <v>332762.625</v>
      </c>
    </row>
    <row r="143" spans="1:8" ht="18" customHeight="1" x14ac:dyDescent="0.55000000000000004">
      <c r="A143" s="180" t="s">
        <v>269</v>
      </c>
      <c r="B143" s="179" t="s">
        <v>222</v>
      </c>
      <c r="D143" s="239">
        <f>D64</f>
        <v>351148</v>
      </c>
      <c r="E143" s="239">
        <f>E64</f>
        <v>38924.75</v>
      </c>
      <c r="F143" s="239">
        <f>F64</f>
        <v>0</v>
      </c>
      <c r="G143" s="239">
        <f>G64</f>
        <v>68527</v>
      </c>
      <c r="H143" s="239">
        <f>H64</f>
        <v>321545.75</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0</v>
      </c>
      <c r="E145" s="239">
        <f>E82</f>
        <v>0</v>
      </c>
      <c r="F145" s="239">
        <f>F82</f>
        <v>0</v>
      </c>
      <c r="G145" s="239">
        <f>G82</f>
        <v>0</v>
      </c>
      <c r="H145" s="239">
        <f>H82</f>
        <v>0</v>
      </c>
    </row>
    <row r="146" spans="1:8" ht="18" customHeight="1" x14ac:dyDescent="0.55000000000000004">
      <c r="A146" s="180" t="s">
        <v>193</v>
      </c>
      <c r="B146" s="179" t="s">
        <v>226</v>
      </c>
      <c r="D146" s="239">
        <f>D98</f>
        <v>0</v>
      </c>
      <c r="E146" s="239">
        <f>E98</f>
        <v>0</v>
      </c>
      <c r="F146" s="239">
        <f>F98</f>
        <v>0</v>
      </c>
      <c r="G146" s="239">
        <f>G98</f>
        <v>0</v>
      </c>
      <c r="H146" s="239">
        <f>H98</f>
        <v>0</v>
      </c>
    </row>
    <row r="147" spans="1:8" ht="18" customHeight="1" x14ac:dyDescent="0.55000000000000004">
      <c r="A147" s="180" t="s">
        <v>204</v>
      </c>
      <c r="B147" s="179" t="s">
        <v>71</v>
      </c>
      <c r="D147" s="217">
        <f>D108</f>
        <v>137935</v>
      </c>
      <c r="E147" s="217">
        <f>E108</f>
        <v>0</v>
      </c>
      <c r="F147" s="217">
        <f>F108</f>
        <v>0</v>
      </c>
      <c r="G147" s="217">
        <f>G108</f>
        <v>0</v>
      </c>
      <c r="H147" s="217">
        <f>H108</f>
        <v>137935</v>
      </c>
    </row>
    <row r="148" spans="1:8" ht="18" customHeight="1" x14ac:dyDescent="0.55000000000000004">
      <c r="A148" s="180" t="s">
        <v>310</v>
      </c>
      <c r="B148" s="179" t="s">
        <v>58</v>
      </c>
      <c r="D148" s="240" t="s">
        <v>245</v>
      </c>
      <c r="E148" s="240" t="s">
        <v>245</v>
      </c>
      <c r="F148" s="240"/>
      <c r="G148" s="240" t="s">
        <v>245</v>
      </c>
      <c r="H148" s="239">
        <f>H111</f>
        <v>1217677</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2126717.8686666549</v>
      </c>
      <c r="E150" s="217">
        <f>E18</f>
        <v>0</v>
      </c>
      <c r="F150" s="217">
        <f>F18</f>
        <v>0</v>
      </c>
      <c r="G150" s="217">
        <f>G18</f>
        <v>1762560.2952518279</v>
      </c>
      <c r="H150" s="217">
        <f>H18</f>
        <v>364157.573414827</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3015596.8686666549</v>
      </c>
      <c r="E152" s="241">
        <f>SUM(E141:E150)</f>
        <v>88899.25</v>
      </c>
      <c r="F152" s="241">
        <f>SUM(F141:F150)</f>
        <v>0</v>
      </c>
      <c r="G152" s="241">
        <f>SUM(G141:G150)</f>
        <v>1831087.2952518279</v>
      </c>
      <c r="H152" s="241">
        <f>SUM(H141:H150)</f>
        <v>2491085.8234148268</v>
      </c>
    </row>
    <row r="154" spans="1:8" ht="18" customHeight="1" x14ac:dyDescent="0.55000000000000004">
      <c r="A154" s="183" t="s">
        <v>339</v>
      </c>
      <c r="B154" s="179" t="s">
        <v>340</v>
      </c>
      <c r="D154" s="242">
        <f>H152/E121</f>
        <v>1.698762017774717E-2</v>
      </c>
    </row>
    <row r="155" spans="1:8" ht="18" customHeight="1" x14ac:dyDescent="0.55000000000000004">
      <c r="A155" s="183" t="s">
        <v>341</v>
      </c>
      <c r="B155" s="179" t="s">
        <v>342</v>
      </c>
      <c r="D155" s="242">
        <f>H152/E127</f>
        <v>0.36873100414898036</v>
      </c>
    </row>
  </sheetData>
  <mergeCells count="2">
    <mergeCell ref="C2:D2"/>
    <mergeCell ref="B13:D13"/>
  </mergeCells>
  <hyperlinks>
    <hyperlink ref="C11" r:id="rId1" xr:uid="{55BC3DC2-4B5D-434E-9F08-06FCA3951BDD}"/>
  </hyperlinks>
  <pageMargins left="0.7" right="0.7" top="0.75" bottom="0.75" header="0.3" footer="0.3"/>
  <pageSetup orientation="portrait" horizontalDpi="1200" verticalDpi="1200"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2AF78-A972-4403-A298-2693A0A56830}">
  <sheetPr codeName="Sheet52"/>
  <dimension ref="A1:J155"/>
  <sheetViews>
    <sheetView zoomScaleNormal="100" workbookViewId="0"/>
  </sheetViews>
  <sheetFormatPr defaultColWidth="9" defaultRowHeight="14.4" x14ac:dyDescent="0.55000000000000004"/>
  <cols>
    <col min="1" max="1" width="8.26171875" style="175" customWidth="1"/>
    <col min="2" max="2" width="55.26171875" style="176" bestFit="1" customWidth="1"/>
    <col min="3" max="3" width="12.26171875" style="176" customWidth="1"/>
    <col min="4" max="4" width="17.15625" style="176" customWidth="1"/>
    <col min="5" max="6" width="21.15625" style="176" customWidth="1"/>
    <col min="7" max="7" width="19.68359375" style="176" customWidth="1"/>
    <col min="8" max="8" width="17.6835937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524" t="s">
        <v>699</v>
      </c>
      <c r="D2" s="515"/>
      <c r="E2" s="515"/>
      <c r="F2" s="515"/>
      <c r="G2" s="515"/>
    </row>
    <row r="3" spans="1:8" ht="18" customHeight="1" x14ac:dyDescent="0.55000000000000004">
      <c r="B3" s="179" t="s">
        <v>235</v>
      </c>
    </row>
    <row r="5" spans="1:8" ht="18" customHeight="1" x14ac:dyDescent="0.55000000000000004">
      <c r="B5" s="180" t="s">
        <v>236</v>
      </c>
      <c r="C5" s="501" t="s">
        <v>700</v>
      </c>
      <c r="D5" s="501"/>
      <c r="E5" s="501"/>
      <c r="F5" s="208"/>
    </row>
    <row r="6" spans="1:8" ht="18" customHeight="1" x14ac:dyDescent="0.55000000000000004">
      <c r="B6" s="180" t="s">
        <v>237</v>
      </c>
      <c r="C6" s="516">
        <v>210062</v>
      </c>
      <c r="D6" s="516"/>
      <c r="E6" s="516"/>
      <c r="F6" s="209"/>
    </row>
    <row r="7" spans="1:8" ht="18" customHeight="1" x14ac:dyDescent="0.55000000000000004">
      <c r="B7" s="180" t="s">
        <v>238</v>
      </c>
      <c r="C7" s="245"/>
      <c r="D7" s="245"/>
      <c r="E7" s="245"/>
      <c r="F7" s="210"/>
    </row>
    <row r="8" spans="1:8" ht="18" customHeight="1" x14ac:dyDescent="0.55000000000000004">
      <c r="C8" s="255"/>
      <c r="D8" s="255"/>
      <c r="E8" s="255"/>
      <c r="F8" s="212"/>
    </row>
    <row r="9" spans="1:8" ht="18" customHeight="1" x14ac:dyDescent="0.55000000000000004">
      <c r="B9" s="180" t="s">
        <v>239</v>
      </c>
      <c r="C9" s="501" t="s">
        <v>701</v>
      </c>
      <c r="D9" s="501"/>
      <c r="E9" s="501"/>
      <c r="F9" s="208"/>
    </row>
    <row r="10" spans="1:8" ht="18" customHeight="1" x14ac:dyDescent="0.55000000000000004">
      <c r="B10" s="180" t="s">
        <v>241</v>
      </c>
      <c r="C10" s="513" t="s">
        <v>702</v>
      </c>
      <c r="D10" s="513"/>
      <c r="E10" s="513"/>
      <c r="F10" s="213"/>
    </row>
    <row r="11" spans="1:8" ht="18" customHeight="1" x14ac:dyDescent="0.55000000000000004">
      <c r="B11" s="180" t="s">
        <v>243</v>
      </c>
      <c r="C11" s="521" t="s">
        <v>703</v>
      </c>
      <c r="D11" s="501"/>
      <c r="E11" s="50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5092540.3339397088</v>
      </c>
      <c r="E18" s="214"/>
      <c r="F18" s="214"/>
      <c r="G18" s="214">
        <v>4220545.4361457266</v>
      </c>
      <c r="H18" s="249">
        <f>(D18+E18)-G18</f>
        <v>871994.89779398218</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27459</v>
      </c>
      <c r="E21" s="216"/>
      <c r="F21" s="216"/>
      <c r="G21" s="184"/>
      <c r="H21" s="217">
        <v>27459</v>
      </c>
    </row>
    <row r="22" spans="1:8" ht="18" customHeight="1" x14ac:dyDescent="0.55000000000000004">
      <c r="A22" s="180" t="s">
        <v>112</v>
      </c>
      <c r="B22" s="176" t="s">
        <v>113</v>
      </c>
      <c r="D22" s="184"/>
      <c r="E22" s="216"/>
      <c r="F22" s="216"/>
      <c r="G22" s="184"/>
      <c r="H22" s="217">
        <v>0</v>
      </c>
    </row>
    <row r="23" spans="1:8" ht="18" customHeight="1" x14ac:dyDescent="0.55000000000000004">
      <c r="A23" s="180" t="s">
        <v>114</v>
      </c>
      <c r="B23" s="176" t="s">
        <v>115</v>
      </c>
      <c r="D23" s="184"/>
      <c r="E23" s="216"/>
      <c r="F23" s="216"/>
      <c r="G23" s="184"/>
      <c r="H23" s="217">
        <v>0</v>
      </c>
    </row>
    <row r="24" spans="1:8" ht="18" customHeight="1" x14ac:dyDescent="0.55000000000000004">
      <c r="A24" s="180" t="s">
        <v>116</v>
      </c>
      <c r="B24" s="176" t="s">
        <v>117</v>
      </c>
      <c r="D24" s="184">
        <v>125745</v>
      </c>
      <c r="E24" s="216">
        <v>124362</v>
      </c>
      <c r="F24" s="216"/>
      <c r="G24" s="184"/>
      <c r="H24" s="217">
        <v>250107</v>
      </c>
    </row>
    <row r="25" spans="1:8" ht="18" customHeight="1" x14ac:dyDescent="0.55000000000000004">
      <c r="A25" s="180" t="s">
        <v>118</v>
      </c>
      <c r="B25" s="176" t="s">
        <v>119</v>
      </c>
      <c r="D25" s="184"/>
      <c r="E25" s="216"/>
      <c r="F25" s="216"/>
      <c r="G25" s="184"/>
      <c r="H25" s="217">
        <v>0</v>
      </c>
    </row>
    <row r="26" spans="1:8" ht="18" customHeight="1" x14ac:dyDescent="0.55000000000000004">
      <c r="A26" s="180" t="s">
        <v>120</v>
      </c>
      <c r="B26" s="176" t="s">
        <v>121</v>
      </c>
      <c r="D26" s="184"/>
      <c r="E26" s="216"/>
      <c r="F26" s="216"/>
      <c r="G26" s="184"/>
      <c r="H26" s="217">
        <v>0</v>
      </c>
    </row>
    <row r="27" spans="1:8" ht="18" customHeight="1" x14ac:dyDescent="0.55000000000000004">
      <c r="A27" s="180" t="s">
        <v>122</v>
      </c>
      <c r="B27" s="176" t="s">
        <v>246</v>
      </c>
      <c r="D27" s="184"/>
      <c r="E27" s="216"/>
      <c r="F27" s="216"/>
      <c r="G27" s="184"/>
      <c r="H27" s="217">
        <v>0</v>
      </c>
    </row>
    <row r="28" spans="1:8" ht="18" customHeight="1" x14ac:dyDescent="0.55000000000000004">
      <c r="A28" s="180" t="s">
        <v>124</v>
      </c>
      <c r="B28" s="176" t="s">
        <v>125</v>
      </c>
      <c r="D28" s="184"/>
      <c r="E28" s="216"/>
      <c r="F28" s="216"/>
      <c r="G28" s="184"/>
      <c r="H28" s="217">
        <v>0</v>
      </c>
    </row>
    <row r="29" spans="1:8" ht="18" customHeight="1" x14ac:dyDescent="0.55000000000000004">
      <c r="A29" s="180" t="s">
        <v>126</v>
      </c>
      <c r="B29" s="176" t="s">
        <v>127</v>
      </c>
      <c r="D29" s="184">
        <v>500807</v>
      </c>
      <c r="E29" s="216">
        <v>151997</v>
      </c>
      <c r="F29" s="216"/>
      <c r="G29" s="184"/>
      <c r="H29" s="217">
        <v>652804</v>
      </c>
    </row>
    <row r="30" spans="1:8" ht="18" customHeight="1" x14ac:dyDescent="0.55000000000000004">
      <c r="A30" s="180" t="s">
        <v>128</v>
      </c>
      <c r="B30" s="185"/>
      <c r="D30" s="184"/>
      <c r="E30" s="216"/>
      <c r="F30" s="216"/>
      <c r="G30" s="184"/>
      <c r="H30" s="217">
        <v>0</v>
      </c>
    </row>
    <row r="31" spans="1:8" ht="18" customHeight="1" x14ac:dyDescent="0.55000000000000004">
      <c r="A31" s="180" t="s">
        <v>130</v>
      </c>
      <c r="B31" s="185"/>
      <c r="D31" s="184"/>
      <c r="E31" s="216"/>
      <c r="F31" s="216"/>
      <c r="G31" s="184"/>
      <c r="H31" s="217">
        <v>0</v>
      </c>
    </row>
    <row r="32" spans="1:8" ht="18" customHeight="1" x14ac:dyDescent="0.55000000000000004">
      <c r="A32" s="180" t="s">
        <v>131</v>
      </c>
      <c r="B32" s="185"/>
      <c r="D32" s="184"/>
      <c r="E32" s="216"/>
      <c r="F32" s="216"/>
      <c r="G32" s="184"/>
      <c r="H32" s="217">
        <v>0</v>
      </c>
    </row>
    <row r="33" spans="1:8" ht="18" customHeight="1" x14ac:dyDescent="0.55000000000000004">
      <c r="A33" s="180" t="s">
        <v>132</v>
      </c>
      <c r="B33" s="185"/>
      <c r="D33" s="184"/>
      <c r="E33" s="216"/>
      <c r="F33" s="216"/>
      <c r="G33" s="184"/>
      <c r="H33" s="217">
        <v>0</v>
      </c>
    </row>
    <row r="34" spans="1:8" ht="18" customHeight="1" x14ac:dyDescent="0.55000000000000004">
      <c r="A34" s="180" t="s">
        <v>133</v>
      </c>
      <c r="B34" s="185"/>
      <c r="D34" s="184"/>
      <c r="E34" s="216"/>
      <c r="F34" s="216"/>
      <c r="G34" s="184"/>
      <c r="H34" s="217">
        <v>0</v>
      </c>
    </row>
    <row r="35" spans="1:8" ht="18" customHeight="1" x14ac:dyDescent="0.55000000000000004">
      <c r="H35" s="186"/>
    </row>
    <row r="36" spans="1:8" ht="18" customHeight="1" x14ac:dyDescent="0.55000000000000004">
      <c r="A36" s="183" t="s">
        <v>134</v>
      </c>
      <c r="B36" s="179" t="s">
        <v>135</v>
      </c>
      <c r="C36" s="179" t="s">
        <v>248</v>
      </c>
      <c r="D36" s="217">
        <v>654011</v>
      </c>
      <c r="E36" s="217">
        <v>276359</v>
      </c>
      <c r="F36" s="217">
        <v>0</v>
      </c>
      <c r="G36" s="217">
        <v>0</v>
      </c>
      <c r="H36" s="217">
        <v>930370</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6042</v>
      </c>
      <c r="E40" s="216">
        <v>5976</v>
      </c>
      <c r="F40" s="216"/>
      <c r="G40" s="184"/>
      <c r="H40" s="217">
        <v>12018</v>
      </c>
    </row>
    <row r="41" spans="1:8" ht="18" customHeight="1" x14ac:dyDescent="0.55000000000000004">
      <c r="A41" s="180" t="s">
        <v>251</v>
      </c>
      <c r="B41" s="176" t="s">
        <v>141</v>
      </c>
      <c r="D41" s="184">
        <v>87294</v>
      </c>
      <c r="E41" s="216">
        <v>86334</v>
      </c>
      <c r="F41" s="216"/>
      <c r="G41" s="184"/>
      <c r="H41" s="217">
        <v>173628</v>
      </c>
    </row>
    <row r="42" spans="1:8" ht="18" customHeight="1" x14ac:dyDescent="0.55000000000000004">
      <c r="A42" s="180" t="s">
        <v>252</v>
      </c>
      <c r="B42" s="176" t="s">
        <v>143</v>
      </c>
      <c r="D42" s="184"/>
      <c r="E42" s="216"/>
      <c r="F42" s="216"/>
      <c r="G42" s="184"/>
      <c r="H42" s="217">
        <v>0</v>
      </c>
    </row>
    <row r="43" spans="1:8" ht="18" customHeight="1" x14ac:dyDescent="0.55000000000000004">
      <c r="A43" s="180" t="s">
        <v>253</v>
      </c>
      <c r="B43" s="176" t="s">
        <v>145</v>
      </c>
      <c r="D43" s="184"/>
      <c r="E43" s="216"/>
      <c r="F43" s="216"/>
      <c r="G43" s="184"/>
      <c r="H43" s="217">
        <v>0</v>
      </c>
    </row>
    <row r="44" spans="1:8" ht="18" customHeight="1" x14ac:dyDescent="0.55000000000000004">
      <c r="A44" s="180" t="s">
        <v>146</v>
      </c>
      <c r="B44" s="185"/>
      <c r="D44" s="219"/>
      <c r="E44" s="220"/>
      <c r="F44" s="220"/>
      <c r="G44" s="219"/>
      <c r="H44" s="217">
        <v>0</v>
      </c>
    </row>
    <row r="45" spans="1:8" ht="18" customHeight="1" x14ac:dyDescent="0.55000000000000004">
      <c r="A45" s="180" t="s">
        <v>147</v>
      </c>
      <c r="B45" s="185"/>
      <c r="D45" s="184"/>
      <c r="E45" s="216"/>
      <c r="F45" s="216"/>
      <c r="G45" s="184"/>
      <c r="H45" s="217">
        <v>0</v>
      </c>
    </row>
    <row r="46" spans="1:8" ht="18" customHeight="1" x14ac:dyDescent="0.55000000000000004">
      <c r="A46" s="180" t="s">
        <v>148</v>
      </c>
      <c r="B46" s="185"/>
      <c r="D46" s="184"/>
      <c r="E46" s="216"/>
      <c r="F46" s="216"/>
      <c r="G46" s="184"/>
      <c r="H46" s="217">
        <v>0</v>
      </c>
    </row>
    <row r="47" spans="1:8" ht="18" customHeight="1" x14ac:dyDescent="0.55000000000000004">
      <c r="A47" s="180" t="s">
        <v>149</v>
      </c>
      <c r="B47" s="185"/>
      <c r="D47" s="184"/>
      <c r="E47" s="216"/>
      <c r="F47" s="216"/>
      <c r="G47" s="184"/>
      <c r="H47" s="217">
        <v>0</v>
      </c>
    </row>
    <row r="49" spans="1:8" ht="18" customHeight="1" x14ac:dyDescent="0.55000000000000004">
      <c r="A49" s="183" t="s">
        <v>150</v>
      </c>
      <c r="B49" s="179" t="s">
        <v>254</v>
      </c>
      <c r="C49" s="179" t="s">
        <v>248</v>
      </c>
      <c r="D49" s="217">
        <v>93336</v>
      </c>
      <c r="E49" s="217">
        <v>92310</v>
      </c>
      <c r="F49" s="217">
        <v>0</v>
      </c>
      <c r="G49" s="217">
        <v>0</v>
      </c>
      <c r="H49" s="217">
        <v>185646</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184">
        <v>14608279</v>
      </c>
      <c r="E53" s="222"/>
      <c r="F53" s="222"/>
      <c r="G53" s="184">
        <v>6477917</v>
      </c>
      <c r="H53" s="217">
        <v>8130362</v>
      </c>
    </row>
    <row r="54" spans="1:8" ht="18" customHeight="1" x14ac:dyDescent="0.55000000000000004">
      <c r="A54" s="180" t="s">
        <v>259</v>
      </c>
      <c r="B54" s="193"/>
      <c r="D54" s="184"/>
      <c r="E54" s="216"/>
      <c r="F54" s="216"/>
      <c r="G54" s="184"/>
      <c r="H54" s="217">
        <v>0</v>
      </c>
    </row>
    <row r="55" spans="1:8" ht="18" customHeight="1" x14ac:dyDescent="0.55000000000000004">
      <c r="A55" s="180" t="s">
        <v>260</v>
      </c>
      <c r="B55" s="194"/>
      <c r="D55" s="184"/>
      <c r="E55" s="216"/>
      <c r="F55" s="216"/>
      <c r="G55" s="184"/>
      <c r="H55" s="217">
        <v>0</v>
      </c>
    </row>
    <row r="56" spans="1:8" ht="18" customHeight="1" x14ac:dyDescent="0.55000000000000004">
      <c r="A56" s="180" t="s">
        <v>261</v>
      </c>
      <c r="B56" s="193"/>
      <c r="D56" s="184"/>
      <c r="E56" s="216"/>
      <c r="F56" s="216"/>
      <c r="G56" s="184"/>
      <c r="H56" s="217">
        <v>0</v>
      </c>
    </row>
    <row r="57" spans="1:8" ht="18" customHeight="1" x14ac:dyDescent="0.55000000000000004">
      <c r="A57" s="180" t="s">
        <v>263</v>
      </c>
      <c r="B57" s="193"/>
      <c r="D57" s="184"/>
      <c r="E57" s="216"/>
      <c r="F57" s="216"/>
      <c r="G57" s="184"/>
      <c r="H57" s="217">
        <v>0</v>
      </c>
    </row>
    <row r="58" spans="1:8" ht="18" customHeight="1" x14ac:dyDescent="0.55000000000000004">
      <c r="A58" s="180" t="s">
        <v>264</v>
      </c>
      <c r="B58" s="193"/>
      <c r="D58" s="184"/>
      <c r="E58" s="216"/>
      <c r="F58" s="216"/>
      <c r="G58" s="184"/>
      <c r="H58" s="217">
        <v>0</v>
      </c>
    </row>
    <row r="59" spans="1:8" ht="18" customHeight="1" x14ac:dyDescent="0.55000000000000004">
      <c r="A59" s="180" t="s">
        <v>265</v>
      </c>
      <c r="B59" s="223"/>
      <c r="D59" s="224"/>
      <c r="E59" s="225"/>
      <c r="F59" s="225"/>
      <c r="G59" s="224"/>
      <c r="H59" s="217">
        <v>0</v>
      </c>
    </row>
    <row r="60" spans="1:8" ht="18" customHeight="1" x14ac:dyDescent="0.55000000000000004">
      <c r="A60" s="180" t="s">
        <v>266</v>
      </c>
      <c r="B60" s="226"/>
      <c r="C60" s="212"/>
      <c r="D60" s="224"/>
      <c r="E60" s="222"/>
      <c r="F60" s="222"/>
      <c r="G60" s="222"/>
      <c r="H60" s="217">
        <v>0</v>
      </c>
    </row>
    <row r="61" spans="1:8" ht="18" customHeight="1" x14ac:dyDescent="0.55000000000000004">
      <c r="A61" s="180" t="s">
        <v>267</v>
      </c>
      <c r="B61" s="226"/>
      <c r="C61" s="212"/>
      <c r="D61" s="222"/>
      <c r="E61" s="222"/>
      <c r="F61" s="222"/>
      <c r="G61" s="222"/>
      <c r="H61" s="217">
        <v>0</v>
      </c>
    </row>
    <row r="62" spans="1:8" ht="18" customHeight="1" x14ac:dyDescent="0.55000000000000004">
      <c r="A62" s="180" t="s">
        <v>268</v>
      </c>
      <c r="B62" s="226"/>
      <c r="C62" s="212"/>
      <c r="D62" s="222"/>
      <c r="E62" s="222"/>
      <c r="F62" s="222"/>
      <c r="G62" s="222"/>
      <c r="H62" s="217">
        <v>0</v>
      </c>
    </row>
    <row r="63" spans="1:8" ht="18" customHeight="1" x14ac:dyDescent="0.55000000000000004">
      <c r="A63" s="180"/>
      <c r="E63" s="227"/>
      <c r="F63" s="192"/>
    </row>
    <row r="64" spans="1:8" ht="18" customHeight="1" x14ac:dyDescent="0.55000000000000004">
      <c r="A64" s="180" t="s">
        <v>269</v>
      </c>
      <c r="B64" s="179" t="s">
        <v>270</v>
      </c>
      <c r="C64" s="179" t="s">
        <v>248</v>
      </c>
      <c r="D64" s="217">
        <v>14608279</v>
      </c>
      <c r="E64" s="217">
        <v>0</v>
      </c>
      <c r="F64" s="217">
        <v>0</v>
      </c>
      <c r="G64" s="217">
        <v>6477917</v>
      </c>
      <c r="H64" s="217">
        <v>8130362</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v>0</v>
      </c>
      <c r="J68" s="254"/>
    </row>
    <row r="69" spans="1:10" ht="18" customHeight="1" x14ac:dyDescent="0.55000000000000004">
      <c r="A69" s="180" t="s">
        <v>273</v>
      </c>
      <c r="B69" s="176" t="s">
        <v>159</v>
      </c>
      <c r="D69" s="228"/>
      <c r="E69" s="216"/>
      <c r="F69" s="216"/>
      <c r="G69" s="228"/>
      <c r="H69" s="217">
        <v>0</v>
      </c>
    </row>
    <row r="70" spans="1:10" ht="18" customHeight="1" x14ac:dyDescent="0.55000000000000004">
      <c r="A70" s="180" t="s">
        <v>274</v>
      </c>
      <c r="B70" s="193"/>
      <c r="C70" s="179"/>
      <c r="D70" s="224"/>
      <c r="E70" s="216"/>
      <c r="F70" s="225"/>
      <c r="G70" s="224"/>
      <c r="H70" s="217">
        <v>0</v>
      </c>
    </row>
    <row r="71" spans="1:10" ht="18" customHeight="1" x14ac:dyDescent="0.55000000000000004">
      <c r="A71" s="180" t="s">
        <v>275</v>
      </c>
      <c r="B71" s="193"/>
      <c r="C71" s="179"/>
      <c r="D71" s="224"/>
      <c r="E71" s="216"/>
      <c r="F71" s="225"/>
      <c r="G71" s="224"/>
      <c r="H71" s="217">
        <v>0</v>
      </c>
    </row>
    <row r="72" spans="1:10" ht="18" customHeight="1" x14ac:dyDescent="0.55000000000000004">
      <c r="A72" s="180" t="s">
        <v>276</v>
      </c>
      <c r="B72" s="194"/>
      <c r="C72" s="179"/>
      <c r="D72" s="184"/>
      <c r="E72" s="216"/>
      <c r="F72" s="216"/>
      <c r="G72" s="184"/>
      <c r="H72" s="217">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v>0</v>
      </c>
      <c r="E74" s="229">
        <v>0</v>
      </c>
      <c r="F74" s="229">
        <v>0</v>
      </c>
      <c r="G74" s="217">
        <v>0</v>
      </c>
      <c r="H74" s="217">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12538</v>
      </c>
      <c r="E77" s="230"/>
      <c r="F77" s="220"/>
      <c r="G77" s="184"/>
      <c r="H77" s="217">
        <v>12538</v>
      </c>
    </row>
    <row r="78" spans="1:10" ht="18" customHeight="1" x14ac:dyDescent="0.55000000000000004">
      <c r="A78" s="180" t="s">
        <v>281</v>
      </c>
      <c r="B78" s="176" t="s">
        <v>166</v>
      </c>
      <c r="D78" s="184"/>
      <c r="E78" s="230"/>
      <c r="F78" s="220"/>
      <c r="G78" s="184"/>
      <c r="H78" s="217">
        <v>0</v>
      </c>
    </row>
    <row r="79" spans="1:10" ht="18" customHeight="1" x14ac:dyDescent="0.55000000000000004">
      <c r="A79" s="180" t="s">
        <v>282</v>
      </c>
      <c r="B79" s="176" t="s">
        <v>168</v>
      </c>
      <c r="D79" s="184">
        <v>143987</v>
      </c>
      <c r="E79" s="230"/>
      <c r="F79" s="220"/>
      <c r="G79" s="184"/>
      <c r="H79" s="217">
        <v>143987</v>
      </c>
    </row>
    <row r="80" spans="1:10" ht="18" customHeight="1" x14ac:dyDescent="0.55000000000000004">
      <c r="A80" s="180" t="s">
        <v>283</v>
      </c>
      <c r="B80" s="176" t="s">
        <v>170</v>
      </c>
      <c r="D80" s="184"/>
      <c r="E80" s="230"/>
      <c r="F80" s="220"/>
      <c r="G80" s="184"/>
      <c r="H80" s="217">
        <v>0</v>
      </c>
    </row>
    <row r="81" spans="1:8" ht="18" customHeight="1" x14ac:dyDescent="0.55000000000000004">
      <c r="A81" s="180"/>
      <c r="H81" s="196"/>
    </row>
    <row r="82" spans="1:8" ht="18" customHeight="1" x14ac:dyDescent="0.55000000000000004">
      <c r="A82" s="180" t="s">
        <v>171</v>
      </c>
      <c r="B82" s="179" t="s">
        <v>284</v>
      </c>
      <c r="C82" s="179" t="s">
        <v>248</v>
      </c>
      <c r="D82" s="217">
        <v>156525</v>
      </c>
      <c r="E82" s="231"/>
      <c r="F82" s="217">
        <v>0</v>
      </c>
      <c r="G82" s="217">
        <v>0</v>
      </c>
      <c r="H82" s="217">
        <v>156525</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v>0</v>
      </c>
    </row>
    <row r="87" spans="1:8" ht="18" customHeight="1" x14ac:dyDescent="0.55000000000000004">
      <c r="A87" s="180" t="s">
        <v>287</v>
      </c>
      <c r="B87" s="176" t="s">
        <v>177</v>
      </c>
      <c r="D87" s="184"/>
      <c r="E87" s="216"/>
      <c r="F87" s="216"/>
      <c r="G87" s="184"/>
      <c r="H87" s="217">
        <v>0</v>
      </c>
    </row>
    <row r="88" spans="1:8" ht="18" customHeight="1" x14ac:dyDescent="0.55000000000000004">
      <c r="A88" s="180" t="s">
        <v>288</v>
      </c>
      <c r="B88" s="176" t="s">
        <v>289</v>
      </c>
      <c r="D88" s="184"/>
      <c r="E88" s="216"/>
      <c r="F88" s="216"/>
      <c r="G88" s="184"/>
      <c r="H88" s="217">
        <v>0</v>
      </c>
    </row>
    <row r="89" spans="1:8" ht="18" customHeight="1" x14ac:dyDescent="0.55000000000000004">
      <c r="A89" s="180" t="s">
        <v>290</v>
      </c>
      <c r="B89" s="176" t="s">
        <v>181</v>
      </c>
      <c r="D89" s="184"/>
      <c r="E89" s="216"/>
      <c r="F89" s="216"/>
      <c r="G89" s="184"/>
      <c r="H89" s="217">
        <v>0</v>
      </c>
    </row>
    <row r="90" spans="1:8" ht="18" customHeight="1" x14ac:dyDescent="0.55000000000000004">
      <c r="A90" s="180" t="s">
        <v>291</v>
      </c>
      <c r="B90" s="176" t="s">
        <v>183</v>
      </c>
      <c r="D90" s="184"/>
      <c r="E90" s="216"/>
      <c r="F90" s="216"/>
      <c r="G90" s="184"/>
      <c r="H90" s="217">
        <v>0</v>
      </c>
    </row>
    <row r="91" spans="1:8" ht="18" customHeight="1" x14ac:dyDescent="0.55000000000000004">
      <c r="A91" s="180" t="s">
        <v>292</v>
      </c>
      <c r="B91" s="176" t="s">
        <v>185</v>
      </c>
      <c r="D91" s="184">
        <v>2871</v>
      </c>
      <c r="E91" s="216">
        <v>2839</v>
      </c>
      <c r="F91" s="216"/>
      <c r="G91" s="184"/>
      <c r="H91" s="217">
        <v>5710</v>
      </c>
    </row>
    <row r="92" spans="1:8" ht="18" customHeight="1" x14ac:dyDescent="0.55000000000000004">
      <c r="A92" s="180" t="s">
        <v>293</v>
      </c>
      <c r="B92" s="176" t="s">
        <v>294</v>
      </c>
      <c r="D92" s="233">
        <v>42701</v>
      </c>
      <c r="E92" s="216"/>
      <c r="F92" s="234"/>
      <c r="G92" s="233"/>
      <c r="H92" s="217">
        <v>42701</v>
      </c>
    </row>
    <row r="93" spans="1:8" ht="18" customHeight="1" x14ac:dyDescent="0.55000000000000004">
      <c r="A93" s="180" t="s">
        <v>295</v>
      </c>
      <c r="B93" s="176" t="s">
        <v>296</v>
      </c>
      <c r="D93" s="184"/>
      <c r="E93" s="216"/>
      <c r="F93" s="216"/>
      <c r="G93" s="184"/>
      <c r="H93" s="217">
        <v>0</v>
      </c>
    </row>
    <row r="94" spans="1:8" ht="18" customHeight="1" x14ac:dyDescent="0.55000000000000004">
      <c r="A94" s="180" t="s">
        <v>297</v>
      </c>
      <c r="B94" s="193"/>
      <c r="D94" s="184"/>
      <c r="E94" s="216"/>
      <c r="F94" s="216"/>
      <c r="G94" s="184"/>
      <c r="H94" s="217">
        <v>0</v>
      </c>
    </row>
    <row r="95" spans="1:8" ht="18" customHeight="1" x14ac:dyDescent="0.55000000000000004">
      <c r="A95" s="180" t="s">
        <v>298</v>
      </c>
      <c r="B95" s="193"/>
      <c r="D95" s="184"/>
      <c r="E95" s="216"/>
      <c r="F95" s="216"/>
      <c r="G95" s="184"/>
      <c r="H95" s="217">
        <v>0</v>
      </c>
    </row>
    <row r="96" spans="1:8" ht="18" customHeight="1" x14ac:dyDescent="0.55000000000000004">
      <c r="A96" s="180" t="s">
        <v>299</v>
      </c>
      <c r="B96" s="193"/>
      <c r="D96" s="184"/>
      <c r="E96" s="216"/>
      <c r="F96" s="216"/>
      <c r="G96" s="184"/>
      <c r="H96" s="217">
        <v>0</v>
      </c>
    </row>
    <row r="97" spans="1:8" ht="18" customHeight="1" x14ac:dyDescent="0.55000000000000004">
      <c r="A97" s="180"/>
    </row>
    <row r="98" spans="1:8" ht="18" customHeight="1" x14ac:dyDescent="0.55000000000000004">
      <c r="A98" s="183" t="s">
        <v>193</v>
      </c>
      <c r="B98" s="179" t="s">
        <v>300</v>
      </c>
      <c r="C98" s="179" t="s">
        <v>248</v>
      </c>
      <c r="D98" s="217">
        <v>45572</v>
      </c>
      <c r="E98" s="217">
        <v>2839</v>
      </c>
      <c r="F98" s="217">
        <v>0</v>
      </c>
      <c r="G98" s="217">
        <v>0</v>
      </c>
      <c r="H98" s="217">
        <v>48411</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146272</v>
      </c>
      <c r="E102" s="216">
        <v>87211</v>
      </c>
      <c r="F102" s="216"/>
      <c r="G102" s="184"/>
      <c r="H102" s="217">
        <v>233483</v>
      </c>
    </row>
    <row r="103" spans="1:8" ht="18" customHeight="1" x14ac:dyDescent="0.55000000000000004">
      <c r="A103" s="180" t="s">
        <v>304</v>
      </c>
      <c r="B103" s="176" t="s">
        <v>199</v>
      </c>
      <c r="D103" s="184"/>
      <c r="E103" s="216"/>
      <c r="F103" s="216"/>
      <c r="G103" s="184"/>
      <c r="H103" s="217">
        <v>0</v>
      </c>
    </row>
    <row r="104" spans="1:8" ht="18" customHeight="1" x14ac:dyDescent="0.55000000000000004">
      <c r="A104" s="180" t="s">
        <v>305</v>
      </c>
      <c r="B104" s="193"/>
      <c r="D104" s="184">
        <v>63701</v>
      </c>
      <c r="E104" s="216"/>
      <c r="F104" s="216"/>
      <c r="G104" s="184"/>
      <c r="H104" s="217">
        <v>63701</v>
      </c>
    </row>
    <row r="105" spans="1:8" ht="18" customHeight="1" x14ac:dyDescent="0.55000000000000004">
      <c r="A105" s="180" t="s">
        <v>306</v>
      </c>
      <c r="B105" s="193"/>
      <c r="D105" s="184"/>
      <c r="E105" s="216"/>
      <c r="F105" s="216"/>
      <c r="G105" s="184"/>
      <c r="H105" s="217">
        <v>0</v>
      </c>
    </row>
    <row r="106" spans="1:8" ht="18" customHeight="1" x14ac:dyDescent="0.55000000000000004">
      <c r="A106" s="180" t="s">
        <v>307</v>
      </c>
      <c r="B106" s="193"/>
      <c r="D106" s="184"/>
      <c r="E106" s="216"/>
      <c r="F106" s="216"/>
      <c r="G106" s="184"/>
      <c r="H106" s="217">
        <v>0</v>
      </c>
    </row>
    <row r="107" spans="1:8" ht="18" customHeight="1" x14ac:dyDescent="0.55000000000000004">
      <c r="B107" s="179"/>
    </row>
    <row r="108" spans="1:8" ht="18" customHeight="1" x14ac:dyDescent="0.55000000000000004">
      <c r="A108" s="183" t="s">
        <v>204</v>
      </c>
      <c r="B108" s="179" t="s">
        <v>308</v>
      </c>
      <c r="C108" s="179" t="s">
        <v>248</v>
      </c>
      <c r="D108" s="217">
        <v>209973</v>
      </c>
      <c r="E108" s="217">
        <v>87211</v>
      </c>
      <c r="F108" s="217">
        <v>0</v>
      </c>
      <c r="G108" s="217">
        <v>0</v>
      </c>
      <c r="H108" s="217">
        <v>297184</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5579397</v>
      </c>
      <c r="G111" s="184"/>
      <c r="H111" s="217">
        <v>5579397</v>
      </c>
    </row>
    <row r="112" spans="1:8" ht="18" customHeight="1" x14ac:dyDescent="0.55000000000000004">
      <c r="B112" s="179"/>
      <c r="D112" s="179"/>
      <c r="G112" s="263"/>
    </row>
    <row r="113" spans="1:7" ht="18" customHeight="1" x14ac:dyDescent="0.55000000000000004">
      <c r="A113" s="183"/>
      <c r="B113" s="179" t="s">
        <v>312</v>
      </c>
    </row>
    <row r="114" spans="1:7" ht="18" customHeight="1" x14ac:dyDescent="0.55000000000000004">
      <c r="A114" s="180" t="s">
        <v>313</v>
      </c>
      <c r="B114" s="176" t="s">
        <v>314</v>
      </c>
      <c r="D114" s="235" t="s">
        <v>428</v>
      </c>
      <c r="E114" s="236">
        <v>0.98929999999999996</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251">
        <v>255262239.98999998</v>
      </c>
      <c r="F117" s="237"/>
    </row>
    <row r="118" spans="1:7" ht="18" customHeight="1" x14ac:dyDescent="0.55000000000000004">
      <c r="A118" s="180" t="s">
        <v>319</v>
      </c>
      <c r="B118" s="176" t="s">
        <v>320</v>
      </c>
      <c r="E118" s="251">
        <v>6978709.4900000002</v>
      </c>
      <c r="F118" s="237"/>
    </row>
    <row r="119" spans="1:7" ht="18" customHeight="1" x14ac:dyDescent="0.55000000000000004">
      <c r="A119" s="180" t="s">
        <v>321</v>
      </c>
      <c r="B119" s="179" t="s">
        <v>322</v>
      </c>
      <c r="E119" s="217">
        <v>262240949.47999999</v>
      </c>
      <c r="F119" s="238"/>
    </row>
    <row r="120" spans="1:7" ht="18" customHeight="1" x14ac:dyDescent="0.55000000000000004">
      <c r="A120" s="180"/>
      <c r="B120" s="179"/>
      <c r="F120" s="212"/>
    </row>
    <row r="121" spans="1:7" ht="18" customHeight="1" x14ac:dyDescent="0.55000000000000004">
      <c r="A121" s="180" t="s">
        <v>323</v>
      </c>
      <c r="B121" s="179" t="s">
        <v>324</v>
      </c>
      <c r="E121" s="251">
        <v>266837862.47000006</v>
      </c>
      <c r="F121" s="237"/>
    </row>
    <row r="122" spans="1:7" ht="18" customHeight="1" x14ac:dyDescent="0.55000000000000004">
      <c r="A122" s="180"/>
      <c r="F122" s="212"/>
    </row>
    <row r="123" spans="1:7" ht="18" customHeight="1" x14ac:dyDescent="0.55000000000000004">
      <c r="A123" s="180" t="s">
        <v>325</v>
      </c>
      <c r="B123" s="179" t="s">
        <v>326</v>
      </c>
      <c r="E123" s="251">
        <v>-4596912.9900000691</v>
      </c>
      <c r="F123" s="237"/>
    </row>
    <row r="124" spans="1:7" ht="18" customHeight="1" x14ac:dyDescent="0.55000000000000004">
      <c r="A124" s="180"/>
      <c r="F124" s="212"/>
    </row>
    <row r="125" spans="1:7" ht="18" customHeight="1" x14ac:dyDescent="0.55000000000000004">
      <c r="A125" s="180" t="s">
        <v>327</v>
      </c>
      <c r="B125" s="179" t="s">
        <v>328</v>
      </c>
      <c r="E125" s="251">
        <v>135185.48000000001</v>
      </c>
      <c r="F125" s="237"/>
    </row>
    <row r="126" spans="1:7" ht="18" customHeight="1" x14ac:dyDescent="0.55000000000000004">
      <c r="A126" s="180"/>
      <c r="F126" s="212"/>
    </row>
    <row r="127" spans="1:7" ht="18" customHeight="1" x14ac:dyDescent="0.55000000000000004">
      <c r="A127" s="180" t="s">
        <v>329</v>
      </c>
      <c r="B127" s="179" t="s">
        <v>330</v>
      </c>
      <c r="E127" s="251">
        <v>-4461727.5100000687</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v>0</v>
      </c>
    </row>
    <row r="132" spans="1:8" ht="18" customHeight="1" x14ac:dyDescent="0.55000000000000004">
      <c r="A132" s="180" t="s">
        <v>333</v>
      </c>
      <c r="B132" s="176" t="s">
        <v>68</v>
      </c>
      <c r="D132" s="184"/>
      <c r="E132" s="216"/>
      <c r="F132" s="216"/>
      <c r="G132" s="184"/>
      <c r="H132" s="217">
        <v>0</v>
      </c>
    </row>
    <row r="133" spans="1:8" ht="18" customHeight="1" x14ac:dyDescent="0.55000000000000004">
      <c r="A133" s="180" t="s">
        <v>334</v>
      </c>
      <c r="B133" s="185"/>
      <c r="D133" s="184"/>
      <c r="E133" s="216"/>
      <c r="F133" s="216"/>
      <c r="G133" s="184"/>
      <c r="H133" s="217">
        <v>0</v>
      </c>
    </row>
    <row r="134" spans="1:8" ht="18" customHeight="1" x14ac:dyDescent="0.55000000000000004">
      <c r="A134" s="180" t="s">
        <v>335</v>
      </c>
      <c r="B134" s="185"/>
      <c r="D134" s="184"/>
      <c r="E134" s="216"/>
      <c r="F134" s="216"/>
      <c r="G134" s="184"/>
      <c r="H134" s="217">
        <v>0</v>
      </c>
    </row>
    <row r="135" spans="1:8" ht="18" customHeight="1" x14ac:dyDescent="0.55000000000000004">
      <c r="A135" s="180" t="s">
        <v>336</v>
      </c>
      <c r="B135" s="185"/>
      <c r="D135" s="184"/>
      <c r="E135" s="216"/>
      <c r="F135" s="216"/>
      <c r="G135" s="184"/>
      <c r="H135" s="217">
        <v>0</v>
      </c>
    </row>
    <row r="136" spans="1:8" ht="18" customHeight="1" x14ac:dyDescent="0.55000000000000004">
      <c r="A136" s="183"/>
    </row>
    <row r="137" spans="1:8" ht="18" customHeight="1" x14ac:dyDescent="0.55000000000000004">
      <c r="A137" s="183" t="s">
        <v>215</v>
      </c>
      <c r="B137" s="179" t="s">
        <v>337</v>
      </c>
      <c r="D137" s="217">
        <v>0</v>
      </c>
      <c r="E137" s="217">
        <v>0</v>
      </c>
      <c r="F137" s="217">
        <v>0</v>
      </c>
      <c r="G137" s="217">
        <v>0</v>
      </c>
      <c r="H137" s="217">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v>654011</v>
      </c>
      <c r="E141" s="239">
        <v>276359</v>
      </c>
      <c r="F141" s="239">
        <v>0</v>
      </c>
      <c r="G141" s="239">
        <v>0</v>
      </c>
      <c r="H141" s="239">
        <v>930370</v>
      </c>
    </row>
    <row r="142" spans="1:8" ht="18" customHeight="1" x14ac:dyDescent="0.55000000000000004">
      <c r="A142" s="180" t="s">
        <v>150</v>
      </c>
      <c r="B142" s="179" t="s">
        <v>220</v>
      </c>
      <c r="D142" s="239">
        <v>93336</v>
      </c>
      <c r="E142" s="239">
        <v>92310</v>
      </c>
      <c r="F142" s="239">
        <v>0</v>
      </c>
      <c r="G142" s="239">
        <v>0</v>
      </c>
      <c r="H142" s="239">
        <v>185646</v>
      </c>
    </row>
    <row r="143" spans="1:8" ht="18" customHeight="1" x14ac:dyDescent="0.55000000000000004">
      <c r="A143" s="180" t="s">
        <v>269</v>
      </c>
      <c r="B143" s="179" t="s">
        <v>222</v>
      </c>
      <c r="D143" s="239">
        <v>14608279</v>
      </c>
      <c r="E143" s="239">
        <v>0</v>
      </c>
      <c r="F143" s="239">
        <v>0</v>
      </c>
      <c r="G143" s="239">
        <v>6477917</v>
      </c>
      <c r="H143" s="239">
        <v>8130362</v>
      </c>
    </row>
    <row r="144" spans="1:8" ht="18" customHeight="1" x14ac:dyDescent="0.55000000000000004">
      <c r="A144" s="180" t="s">
        <v>161</v>
      </c>
      <c r="B144" s="179" t="s">
        <v>70</v>
      </c>
      <c r="D144" s="239">
        <v>0</v>
      </c>
      <c r="E144" s="239">
        <v>0</v>
      </c>
      <c r="F144" s="239">
        <v>0</v>
      </c>
      <c r="G144" s="239">
        <v>0</v>
      </c>
      <c r="H144" s="239">
        <v>0</v>
      </c>
    </row>
    <row r="145" spans="1:8" ht="18" customHeight="1" x14ac:dyDescent="0.55000000000000004">
      <c r="A145" s="180" t="s">
        <v>171</v>
      </c>
      <c r="B145" s="179" t="s">
        <v>69</v>
      </c>
      <c r="D145" s="239">
        <v>156525</v>
      </c>
      <c r="E145" s="239">
        <v>0</v>
      </c>
      <c r="F145" s="239">
        <v>0</v>
      </c>
      <c r="G145" s="239">
        <v>0</v>
      </c>
      <c r="H145" s="239">
        <v>156525</v>
      </c>
    </row>
    <row r="146" spans="1:8" ht="18" customHeight="1" x14ac:dyDescent="0.55000000000000004">
      <c r="A146" s="180" t="s">
        <v>193</v>
      </c>
      <c r="B146" s="179" t="s">
        <v>226</v>
      </c>
      <c r="D146" s="239">
        <v>45572</v>
      </c>
      <c r="E146" s="239">
        <v>2839</v>
      </c>
      <c r="F146" s="239">
        <v>0</v>
      </c>
      <c r="G146" s="239">
        <v>0</v>
      </c>
      <c r="H146" s="239">
        <v>48411</v>
      </c>
    </row>
    <row r="147" spans="1:8" ht="18" customHeight="1" x14ac:dyDescent="0.55000000000000004">
      <c r="A147" s="180" t="s">
        <v>204</v>
      </c>
      <c r="B147" s="179" t="s">
        <v>71</v>
      </c>
      <c r="D147" s="217">
        <v>209973</v>
      </c>
      <c r="E147" s="217">
        <v>87211</v>
      </c>
      <c r="F147" s="217">
        <v>0</v>
      </c>
      <c r="G147" s="217">
        <v>0</v>
      </c>
      <c r="H147" s="217">
        <v>297184</v>
      </c>
    </row>
    <row r="148" spans="1:8" ht="18" customHeight="1" x14ac:dyDescent="0.55000000000000004">
      <c r="A148" s="180" t="s">
        <v>310</v>
      </c>
      <c r="B148" s="179" t="s">
        <v>58</v>
      </c>
      <c r="D148" s="240" t="s">
        <v>245</v>
      </c>
      <c r="E148" s="240" t="s">
        <v>245</v>
      </c>
      <c r="F148" s="240"/>
      <c r="G148" s="240" t="s">
        <v>245</v>
      </c>
      <c r="H148" s="239">
        <v>5579397</v>
      </c>
    </row>
    <row r="149" spans="1:8" ht="18" customHeight="1" x14ac:dyDescent="0.55000000000000004">
      <c r="A149" s="180" t="s">
        <v>215</v>
      </c>
      <c r="B149" s="179" t="s">
        <v>230</v>
      </c>
      <c r="D149" s="217">
        <v>0</v>
      </c>
      <c r="E149" s="217">
        <v>0</v>
      </c>
      <c r="F149" s="217">
        <v>0</v>
      </c>
      <c r="G149" s="217">
        <v>0</v>
      </c>
      <c r="H149" s="217">
        <v>0</v>
      </c>
    </row>
    <row r="150" spans="1:8" ht="18" customHeight="1" x14ac:dyDescent="0.55000000000000004">
      <c r="A150" s="180" t="s">
        <v>103</v>
      </c>
      <c r="B150" s="179" t="s">
        <v>104</v>
      </c>
      <c r="D150" s="217">
        <f>D18</f>
        <v>5092540.3339397088</v>
      </c>
      <c r="E150" s="217">
        <f>E18</f>
        <v>0</v>
      </c>
      <c r="F150" s="217">
        <f>F18</f>
        <v>0</v>
      </c>
      <c r="G150" s="217">
        <f>G18</f>
        <v>4220545.4361457266</v>
      </c>
      <c r="H150" s="217">
        <f>H18</f>
        <v>871994.89779398218</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v>20319832</v>
      </c>
      <c r="E152" s="241">
        <v>458719</v>
      </c>
      <c r="F152" s="241">
        <v>0</v>
      </c>
      <c r="G152" s="241">
        <v>10158058</v>
      </c>
      <c r="H152" s="241">
        <v>16199890</v>
      </c>
    </row>
    <row r="154" spans="1:8" ht="18" customHeight="1" x14ac:dyDescent="0.55000000000000004">
      <c r="A154" s="183" t="s">
        <v>339</v>
      </c>
      <c r="B154" s="179" t="s">
        <v>340</v>
      </c>
      <c r="D154" s="242">
        <v>6.0710612242373646E-2</v>
      </c>
    </row>
    <row r="155" spans="1:8" ht="18" customHeight="1" x14ac:dyDescent="0.55000000000000004">
      <c r="A155" s="183" t="s">
        <v>341</v>
      </c>
      <c r="B155" s="179" t="s">
        <v>342</v>
      </c>
      <c r="D155" s="242">
        <v>-3.6308559775762168</v>
      </c>
    </row>
  </sheetData>
  <mergeCells count="7">
    <mergeCell ref="B13:D13"/>
    <mergeCell ref="C2:G2"/>
    <mergeCell ref="C5:E5"/>
    <mergeCell ref="C6:E6"/>
    <mergeCell ref="C9:E9"/>
    <mergeCell ref="C10:E10"/>
    <mergeCell ref="C11:E11"/>
  </mergeCells>
  <hyperlinks>
    <hyperlink ref="C11" r:id="rId1" xr:uid="{5958F3F0-DDF3-4850-9E37-E9822F91394B}"/>
  </hyperlinks>
  <pageMargins left="0.7" right="0.7" top="0.75" bottom="0.75" header="0.3" footer="0.3"/>
  <pageSetup orientation="portrait" horizontalDpi="1200" verticalDpi="1200"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FCA55-07CA-4C23-9AFC-487774576218}">
  <sheetPr codeName="Sheet53"/>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16" t="s">
        <v>634</v>
      </c>
      <c r="D5" s="516"/>
      <c r="E5" s="516"/>
      <c r="F5" s="413"/>
    </row>
    <row r="6" spans="1:8" ht="18" customHeight="1" x14ac:dyDescent="0.55000000000000004">
      <c r="B6" s="180" t="s">
        <v>237</v>
      </c>
      <c r="C6" s="244" t="s">
        <v>635</v>
      </c>
      <c r="D6" s="244"/>
      <c r="E6" s="244"/>
      <c r="F6" s="209"/>
    </row>
    <row r="7" spans="1:8" ht="18" customHeight="1" x14ac:dyDescent="0.55000000000000004">
      <c r="B7" s="180" t="s">
        <v>238</v>
      </c>
      <c r="C7" s="525" t="s">
        <v>636</v>
      </c>
      <c r="D7" s="525"/>
      <c r="E7" s="525"/>
      <c r="F7" s="210"/>
    </row>
    <row r="8" spans="1:8" ht="18" customHeight="1" x14ac:dyDescent="0.55000000000000004">
      <c r="C8" s="211"/>
      <c r="D8" s="211"/>
      <c r="E8" s="211"/>
      <c r="F8" s="414"/>
    </row>
    <row r="9" spans="1:8" ht="18" customHeight="1" x14ac:dyDescent="0.55000000000000004">
      <c r="B9" s="180" t="s">
        <v>239</v>
      </c>
      <c r="C9" s="501" t="s">
        <v>637</v>
      </c>
      <c r="D9" s="501"/>
      <c r="E9" s="501"/>
      <c r="F9" s="208"/>
    </row>
    <row r="10" spans="1:8" ht="18" customHeight="1" x14ac:dyDescent="0.55000000000000004">
      <c r="B10" s="180" t="s">
        <v>241</v>
      </c>
      <c r="C10" s="248" t="s">
        <v>638</v>
      </c>
      <c r="D10" s="248"/>
      <c r="E10" s="248"/>
      <c r="F10" s="213"/>
    </row>
    <row r="11" spans="1:8" ht="18" customHeight="1" x14ac:dyDescent="0.55000000000000004">
      <c r="B11" s="180" t="s">
        <v>243</v>
      </c>
      <c r="C11" s="503" t="s">
        <v>639</v>
      </c>
      <c r="D11" s="501"/>
      <c r="E11" s="501"/>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c r="E14" s="176" t="s">
        <v>640</v>
      </c>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9" ht="18" customHeight="1" x14ac:dyDescent="0.55000000000000004">
      <c r="A17" s="183" t="s">
        <v>101</v>
      </c>
      <c r="B17" s="179" t="s">
        <v>102</v>
      </c>
    </row>
    <row r="18" spans="1:9" ht="18" customHeight="1" x14ac:dyDescent="0.55000000000000004">
      <c r="A18" s="180" t="s">
        <v>103</v>
      </c>
      <c r="B18" s="176" t="s">
        <v>104</v>
      </c>
      <c r="D18" s="214">
        <v>7404289.4522238811</v>
      </c>
      <c r="E18" s="214"/>
      <c r="F18" s="214"/>
      <c r="G18" s="214">
        <v>6136454.1086137258</v>
      </c>
      <c r="H18" s="249">
        <f>(D18+E18)-G18</f>
        <v>1267835.3436101554</v>
      </c>
    </row>
    <row r="19" spans="1:9" ht="45" customHeight="1" x14ac:dyDescent="0.55000000000000004">
      <c r="A19" s="178" t="s">
        <v>105</v>
      </c>
      <c r="B19" s="177"/>
      <c r="C19" s="177"/>
      <c r="D19" s="182" t="s">
        <v>99</v>
      </c>
      <c r="E19" s="182" t="s">
        <v>100</v>
      </c>
      <c r="F19" s="182" t="s">
        <v>431</v>
      </c>
      <c r="G19" s="182" t="s">
        <v>432</v>
      </c>
      <c r="H19" s="182" t="s">
        <v>244</v>
      </c>
    </row>
    <row r="20" spans="1:9" ht="18" customHeight="1" x14ac:dyDescent="0.55000000000000004">
      <c r="A20" s="183" t="s">
        <v>108</v>
      </c>
      <c r="B20" s="179" t="s">
        <v>109</v>
      </c>
    </row>
    <row r="21" spans="1:9" ht="18" customHeight="1" x14ac:dyDescent="0.55000000000000004">
      <c r="A21" s="180" t="s">
        <v>110</v>
      </c>
      <c r="B21" s="176" t="s">
        <v>111</v>
      </c>
      <c r="D21" s="184">
        <v>468555</v>
      </c>
      <c r="E21" s="216">
        <v>236295</v>
      </c>
      <c r="F21" s="216"/>
      <c r="G21" s="184">
        <v>2720</v>
      </c>
      <c r="H21" s="217">
        <v>702130</v>
      </c>
      <c r="I21" s="415"/>
    </row>
    <row r="22" spans="1:9" ht="18" customHeight="1" x14ac:dyDescent="0.55000000000000004">
      <c r="A22" s="180" t="s">
        <v>112</v>
      </c>
      <c r="B22" s="176" t="s">
        <v>113</v>
      </c>
      <c r="D22" s="184">
        <v>6949</v>
      </c>
      <c r="E22" s="216">
        <v>3397</v>
      </c>
      <c r="F22" s="216"/>
      <c r="G22" s="184"/>
      <c r="H22" s="217">
        <v>10346</v>
      </c>
      <c r="I22" s="415"/>
    </row>
    <row r="23" spans="1:9" ht="18" customHeight="1" x14ac:dyDescent="0.55000000000000004">
      <c r="A23" s="180" t="s">
        <v>114</v>
      </c>
      <c r="B23" s="176" t="s">
        <v>115</v>
      </c>
      <c r="D23" s="184">
        <v>4783</v>
      </c>
      <c r="E23" s="216">
        <v>512</v>
      </c>
      <c r="F23" s="216"/>
      <c r="G23" s="184"/>
      <c r="H23" s="217">
        <v>5295</v>
      </c>
      <c r="I23" s="415"/>
    </row>
    <row r="24" spans="1:9" ht="18" customHeight="1" x14ac:dyDescent="0.55000000000000004">
      <c r="A24" s="180" t="s">
        <v>116</v>
      </c>
      <c r="B24" s="176" t="s">
        <v>117</v>
      </c>
      <c r="D24" s="184"/>
      <c r="E24" s="216"/>
      <c r="F24" s="216"/>
      <c r="G24" s="184"/>
      <c r="H24" s="217">
        <v>0</v>
      </c>
      <c r="I24" s="415"/>
    </row>
    <row r="25" spans="1:9" ht="18" customHeight="1" x14ac:dyDescent="0.55000000000000004">
      <c r="A25" s="180" t="s">
        <v>118</v>
      </c>
      <c r="B25" s="176" t="s">
        <v>119</v>
      </c>
      <c r="D25" s="184">
        <v>24066</v>
      </c>
      <c r="E25" s="216">
        <v>14920</v>
      </c>
      <c r="F25" s="216"/>
      <c r="G25" s="184"/>
      <c r="H25" s="217">
        <v>38986</v>
      </c>
      <c r="I25" s="415"/>
    </row>
    <row r="26" spans="1:9" ht="18" customHeight="1" x14ac:dyDescent="0.55000000000000004">
      <c r="A26" s="180" t="s">
        <v>120</v>
      </c>
      <c r="B26" s="176" t="s">
        <v>121</v>
      </c>
      <c r="D26" s="184">
        <v>480490</v>
      </c>
      <c r="E26" s="216">
        <v>345</v>
      </c>
      <c r="F26" s="216"/>
      <c r="G26" s="184">
        <v>252745</v>
      </c>
      <c r="H26" s="217">
        <v>228090</v>
      </c>
      <c r="I26" s="415"/>
    </row>
    <row r="27" spans="1:9" ht="18" customHeight="1" x14ac:dyDescent="0.55000000000000004">
      <c r="A27" s="180" t="s">
        <v>122</v>
      </c>
      <c r="B27" s="176" t="s">
        <v>246</v>
      </c>
      <c r="D27" s="184">
        <v>787638</v>
      </c>
      <c r="E27" s="216">
        <v>488336</v>
      </c>
      <c r="F27" s="216"/>
      <c r="G27" s="184"/>
      <c r="H27" s="217">
        <v>1275974</v>
      </c>
      <c r="I27" s="415"/>
    </row>
    <row r="28" spans="1:9" ht="18" customHeight="1" x14ac:dyDescent="0.55000000000000004">
      <c r="A28" s="180" t="s">
        <v>124</v>
      </c>
      <c r="B28" s="176" t="s">
        <v>125</v>
      </c>
      <c r="D28" s="184"/>
      <c r="E28" s="216"/>
      <c r="F28" s="216"/>
      <c r="G28" s="184"/>
      <c r="H28" s="217">
        <v>0</v>
      </c>
      <c r="I28" s="415"/>
    </row>
    <row r="29" spans="1:9" ht="18" customHeight="1" x14ac:dyDescent="0.55000000000000004">
      <c r="A29" s="180" t="s">
        <v>126</v>
      </c>
      <c r="B29" s="176" t="s">
        <v>127</v>
      </c>
      <c r="D29" s="184">
        <v>314697</v>
      </c>
      <c r="E29" s="216">
        <v>195028</v>
      </c>
      <c r="F29" s="216"/>
      <c r="G29" s="184"/>
      <c r="H29" s="217">
        <v>509725</v>
      </c>
      <c r="I29" s="415"/>
    </row>
    <row r="30" spans="1:9" ht="18" customHeight="1" x14ac:dyDescent="0.55000000000000004">
      <c r="A30" s="180" t="s">
        <v>128</v>
      </c>
      <c r="B30" s="185" t="s">
        <v>641</v>
      </c>
      <c r="D30" s="184">
        <v>37950</v>
      </c>
      <c r="E30" s="216">
        <v>183</v>
      </c>
      <c r="F30" s="216"/>
      <c r="G30" s="184">
        <v>24402</v>
      </c>
      <c r="H30" s="217">
        <v>13731</v>
      </c>
      <c r="I30" s="415"/>
    </row>
    <row r="31" spans="1:9" ht="18" customHeight="1" x14ac:dyDescent="0.55000000000000004">
      <c r="A31" s="180" t="s">
        <v>130</v>
      </c>
      <c r="B31" s="185"/>
      <c r="D31" s="184"/>
      <c r="E31" s="216"/>
      <c r="F31" s="216"/>
      <c r="G31" s="184"/>
      <c r="H31" s="217">
        <v>0</v>
      </c>
      <c r="I31" s="415"/>
    </row>
    <row r="32" spans="1:9" ht="18" customHeight="1" x14ac:dyDescent="0.55000000000000004">
      <c r="A32" s="180" t="s">
        <v>131</v>
      </c>
      <c r="B32" s="185"/>
      <c r="D32" s="184"/>
      <c r="E32" s="216"/>
      <c r="F32" s="216"/>
      <c r="G32" s="184"/>
      <c r="H32" s="217">
        <v>0</v>
      </c>
      <c r="I32" s="415"/>
    </row>
    <row r="33" spans="1:9" ht="18" customHeight="1" x14ac:dyDescent="0.55000000000000004">
      <c r="A33" s="180" t="s">
        <v>132</v>
      </c>
      <c r="B33" s="185"/>
      <c r="D33" s="184"/>
      <c r="E33" s="216"/>
      <c r="F33" s="216"/>
      <c r="G33" s="184"/>
      <c r="H33" s="217">
        <v>0</v>
      </c>
      <c r="I33" s="415"/>
    </row>
    <row r="34" spans="1:9" ht="18" customHeight="1" x14ac:dyDescent="0.55000000000000004">
      <c r="A34" s="180" t="s">
        <v>133</v>
      </c>
      <c r="B34" s="185"/>
      <c r="D34" s="184"/>
      <c r="E34" s="216"/>
      <c r="F34" s="216"/>
      <c r="G34" s="184"/>
      <c r="H34" s="217">
        <v>0</v>
      </c>
      <c r="I34" s="415"/>
    </row>
    <row r="35" spans="1:9" ht="18" customHeight="1" x14ac:dyDescent="0.55000000000000004">
      <c r="H35" s="186"/>
    </row>
    <row r="36" spans="1:9" ht="18" customHeight="1" x14ac:dyDescent="0.55000000000000004">
      <c r="A36" s="183" t="s">
        <v>134</v>
      </c>
      <c r="B36" s="179" t="s">
        <v>135</v>
      </c>
      <c r="C36" s="179" t="s">
        <v>248</v>
      </c>
      <c r="D36" s="217">
        <v>2125128</v>
      </c>
      <c r="E36" s="217">
        <v>939016</v>
      </c>
      <c r="F36" s="217">
        <v>0</v>
      </c>
      <c r="G36" s="217">
        <v>279867</v>
      </c>
      <c r="H36" s="217">
        <v>2784277</v>
      </c>
    </row>
    <row r="37" spans="1:9" ht="18" customHeight="1" thickBot="1" x14ac:dyDescent="0.6">
      <c r="B37" s="179"/>
      <c r="D37" s="187"/>
      <c r="E37" s="187"/>
      <c r="F37" s="187"/>
      <c r="G37" s="187"/>
      <c r="H37" s="188"/>
    </row>
    <row r="38" spans="1:9" ht="42.75" customHeight="1" x14ac:dyDescent="0.55000000000000004">
      <c r="D38" s="182" t="s">
        <v>99</v>
      </c>
      <c r="E38" s="182" t="s">
        <v>100</v>
      </c>
      <c r="F38" s="182" t="s">
        <v>431</v>
      </c>
      <c r="G38" s="182" t="s">
        <v>432</v>
      </c>
      <c r="H38" s="182" t="s">
        <v>244</v>
      </c>
    </row>
    <row r="39" spans="1:9" ht="18.75" customHeight="1" x14ac:dyDescent="0.55000000000000004">
      <c r="A39" s="183" t="s">
        <v>249</v>
      </c>
      <c r="B39" s="179" t="s">
        <v>137</v>
      </c>
    </row>
    <row r="40" spans="1:9" ht="18" customHeight="1" x14ac:dyDescent="0.55000000000000004">
      <c r="A40" s="180" t="s">
        <v>250</v>
      </c>
      <c r="B40" s="176" t="s">
        <v>139</v>
      </c>
      <c r="D40" s="184">
        <v>110895</v>
      </c>
      <c r="E40" s="184">
        <v>68755</v>
      </c>
      <c r="F40" s="216"/>
      <c r="G40" s="184"/>
      <c r="H40" s="217">
        <v>179650</v>
      </c>
    </row>
    <row r="41" spans="1:9" ht="18" customHeight="1" x14ac:dyDescent="0.55000000000000004">
      <c r="A41" s="180" t="s">
        <v>251</v>
      </c>
      <c r="B41" s="176" t="s">
        <v>141</v>
      </c>
      <c r="D41" s="184">
        <v>1247567</v>
      </c>
      <c r="E41" s="184">
        <v>773492</v>
      </c>
      <c r="F41" s="216"/>
      <c r="G41" s="184"/>
      <c r="H41" s="217">
        <v>2021059</v>
      </c>
    </row>
    <row r="42" spans="1:9" ht="18" customHeight="1" x14ac:dyDescent="0.55000000000000004">
      <c r="A42" s="180" t="s">
        <v>252</v>
      </c>
      <c r="B42" s="176" t="s">
        <v>143</v>
      </c>
      <c r="D42" s="184">
        <v>27724</v>
      </c>
      <c r="E42" s="184">
        <v>17189</v>
      </c>
      <c r="F42" s="216"/>
      <c r="G42" s="184"/>
      <c r="H42" s="217">
        <v>44913</v>
      </c>
    </row>
    <row r="43" spans="1:9" ht="18" customHeight="1" x14ac:dyDescent="0.55000000000000004">
      <c r="A43" s="180" t="s">
        <v>253</v>
      </c>
      <c r="B43" s="176" t="s">
        <v>145</v>
      </c>
      <c r="D43" s="184"/>
      <c r="E43" s="216"/>
      <c r="F43" s="216"/>
      <c r="G43" s="184"/>
      <c r="H43" s="217">
        <v>0</v>
      </c>
    </row>
    <row r="44" spans="1:9" ht="18" customHeight="1" x14ac:dyDescent="0.55000000000000004">
      <c r="A44" s="180" t="s">
        <v>146</v>
      </c>
      <c r="B44" s="185"/>
      <c r="D44" s="219"/>
      <c r="E44" s="220"/>
      <c r="F44" s="220"/>
      <c r="G44" s="219"/>
      <c r="H44" s="217">
        <v>0</v>
      </c>
    </row>
    <row r="45" spans="1:9" ht="18" customHeight="1" x14ac:dyDescent="0.55000000000000004">
      <c r="A45" s="180" t="s">
        <v>147</v>
      </c>
      <c r="B45" s="185"/>
      <c r="D45" s="184"/>
      <c r="E45" s="216"/>
      <c r="F45" s="216"/>
      <c r="G45" s="184"/>
      <c r="H45" s="217">
        <v>0</v>
      </c>
    </row>
    <row r="46" spans="1:9" ht="18" customHeight="1" x14ac:dyDescent="0.55000000000000004">
      <c r="A46" s="180" t="s">
        <v>148</v>
      </c>
      <c r="B46" s="185"/>
      <c r="D46" s="184"/>
      <c r="E46" s="216"/>
      <c r="F46" s="216"/>
      <c r="G46" s="184"/>
      <c r="H46" s="217">
        <v>0</v>
      </c>
    </row>
    <row r="47" spans="1:9" ht="18" customHeight="1" x14ac:dyDescent="0.55000000000000004">
      <c r="A47" s="180" t="s">
        <v>149</v>
      </c>
      <c r="B47" s="185"/>
      <c r="D47" s="184"/>
      <c r="E47" s="216"/>
      <c r="F47" s="216"/>
      <c r="G47" s="184"/>
      <c r="H47" s="217">
        <v>0</v>
      </c>
    </row>
    <row r="49" spans="1:8" ht="18" customHeight="1" x14ac:dyDescent="0.55000000000000004">
      <c r="A49" s="183" t="s">
        <v>150</v>
      </c>
      <c r="B49" s="179" t="s">
        <v>254</v>
      </c>
      <c r="C49" s="179" t="s">
        <v>248</v>
      </c>
      <c r="D49" s="217">
        <v>1386186</v>
      </c>
      <c r="E49" s="217">
        <v>859436</v>
      </c>
      <c r="F49" s="217">
        <v>0</v>
      </c>
      <c r="G49" s="217">
        <v>0</v>
      </c>
      <c r="H49" s="217">
        <v>2245622</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73">
        <v>23262641</v>
      </c>
      <c r="E53" s="273">
        <v>14422837.42</v>
      </c>
      <c r="F53" s="222"/>
      <c r="G53" s="222"/>
      <c r="H53" s="217">
        <v>37685478.420000002</v>
      </c>
    </row>
    <row r="54" spans="1:8" ht="18" customHeight="1" x14ac:dyDescent="0.55000000000000004">
      <c r="A54" s="180" t="s">
        <v>259</v>
      </c>
      <c r="B54" s="193"/>
      <c r="D54" s="184"/>
      <c r="E54" s="216"/>
      <c r="F54" s="216"/>
      <c r="G54" s="184"/>
      <c r="H54" s="217">
        <v>0</v>
      </c>
    </row>
    <row r="55" spans="1:8" ht="18" customHeight="1" x14ac:dyDescent="0.55000000000000004">
      <c r="A55" s="180" t="s">
        <v>260</v>
      </c>
      <c r="B55" s="194"/>
      <c r="D55" s="184"/>
      <c r="E55" s="216"/>
      <c r="F55" s="216"/>
      <c r="G55" s="184"/>
      <c r="H55" s="217">
        <v>0</v>
      </c>
    </row>
    <row r="56" spans="1:8" ht="18" customHeight="1" x14ac:dyDescent="0.55000000000000004">
      <c r="A56" s="180" t="s">
        <v>261</v>
      </c>
      <c r="B56" s="193"/>
      <c r="D56" s="184"/>
      <c r="E56" s="216"/>
      <c r="F56" s="216"/>
      <c r="G56" s="184"/>
      <c r="H56" s="217">
        <v>0</v>
      </c>
    </row>
    <row r="57" spans="1:8" ht="18" customHeight="1" x14ac:dyDescent="0.55000000000000004">
      <c r="A57" s="180" t="s">
        <v>263</v>
      </c>
      <c r="B57" s="193"/>
      <c r="D57" s="184"/>
      <c r="E57" s="216"/>
      <c r="F57" s="216"/>
      <c r="G57" s="184"/>
      <c r="H57" s="217">
        <v>0</v>
      </c>
    </row>
    <row r="58" spans="1:8" ht="18" customHeight="1" x14ac:dyDescent="0.55000000000000004">
      <c r="A58" s="180" t="s">
        <v>264</v>
      </c>
      <c r="B58" s="193"/>
      <c r="D58" s="184"/>
      <c r="E58" s="216"/>
      <c r="F58" s="216"/>
      <c r="G58" s="184"/>
      <c r="H58" s="217">
        <v>0</v>
      </c>
    </row>
    <row r="59" spans="1:8" ht="18" customHeight="1" x14ac:dyDescent="0.55000000000000004">
      <c r="A59" s="180" t="s">
        <v>265</v>
      </c>
      <c r="B59" s="223"/>
      <c r="D59" s="224"/>
      <c r="E59" s="225"/>
      <c r="F59" s="225"/>
      <c r="G59" s="224"/>
      <c r="H59" s="217">
        <v>0</v>
      </c>
    </row>
    <row r="60" spans="1:8" ht="18" customHeight="1" x14ac:dyDescent="0.55000000000000004">
      <c r="A60" s="180" t="s">
        <v>266</v>
      </c>
      <c r="B60" s="226"/>
      <c r="C60" s="212"/>
      <c r="D60" s="222"/>
      <c r="E60" s="222"/>
      <c r="F60" s="222"/>
      <c r="G60" s="222"/>
      <c r="H60" s="217">
        <v>0</v>
      </c>
    </row>
    <row r="61" spans="1:8" ht="18" customHeight="1" x14ac:dyDescent="0.55000000000000004">
      <c r="A61" s="180" t="s">
        <v>267</v>
      </c>
      <c r="B61" s="226"/>
      <c r="C61" s="212"/>
      <c r="D61" s="222"/>
      <c r="E61" s="222"/>
      <c r="F61" s="222"/>
      <c r="G61" s="222"/>
      <c r="H61" s="217">
        <v>0</v>
      </c>
    </row>
    <row r="62" spans="1:8" ht="18" customHeight="1" x14ac:dyDescent="0.55000000000000004">
      <c r="A62" s="180" t="s">
        <v>268</v>
      </c>
      <c r="B62" s="226"/>
      <c r="C62" s="212"/>
      <c r="D62" s="222"/>
      <c r="E62" s="222"/>
      <c r="F62" s="222"/>
      <c r="G62" s="222"/>
      <c r="H62" s="217">
        <v>0</v>
      </c>
    </row>
    <row r="63" spans="1:8" ht="18" customHeight="1" x14ac:dyDescent="0.55000000000000004">
      <c r="A63" s="180"/>
      <c r="E63" s="227"/>
      <c r="F63" s="192"/>
    </row>
    <row r="64" spans="1:8" ht="18" customHeight="1" x14ac:dyDescent="0.55000000000000004">
      <c r="A64" s="180" t="s">
        <v>269</v>
      </c>
      <c r="B64" s="179" t="s">
        <v>270</v>
      </c>
      <c r="C64" s="179" t="s">
        <v>248</v>
      </c>
      <c r="D64" s="217">
        <v>23262641</v>
      </c>
      <c r="E64" s="217">
        <v>14422837.42</v>
      </c>
      <c r="F64" s="217">
        <v>0</v>
      </c>
      <c r="G64" s="217">
        <v>0</v>
      </c>
      <c r="H64" s="217">
        <v>37685478.420000002</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v>0</v>
      </c>
      <c r="J68" s="254"/>
    </row>
    <row r="69" spans="1:10" ht="18" customHeight="1" x14ac:dyDescent="0.55000000000000004">
      <c r="A69" s="180" t="s">
        <v>273</v>
      </c>
      <c r="B69" s="176" t="s">
        <v>159</v>
      </c>
      <c r="D69" s="228"/>
      <c r="E69" s="216"/>
      <c r="F69" s="216"/>
      <c r="G69" s="228"/>
      <c r="H69" s="217">
        <v>0</v>
      </c>
    </row>
    <row r="70" spans="1:10" ht="18" customHeight="1" x14ac:dyDescent="0.55000000000000004">
      <c r="A70" s="180" t="s">
        <v>274</v>
      </c>
      <c r="B70" s="193"/>
      <c r="C70" s="179"/>
      <c r="D70" s="224"/>
      <c r="E70" s="216"/>
      <c r="F70" s="225"/>
      <c r="G70" s="224"/>
      <c r="H70" s="217">
        <v>0</v>
      </c>
    </row>
    <row r="71" spans="1:10" ht="18" customHeight="1" x14ac:dyDescent="0.55000000000000004">
      <c r="A71" s="180" t="s">
        <v>275</v>
      </c>
      <c r="B71" s="193"/>
      <c r="C71" s="179"/>
      <c r="D71" s="224"/>
      <c r="E71" s="216"/>
      <c r="F71" s="225"/>
      <c r="G71" s="224"/>
      <c r="H71" s="217">
        <v>0</v>
      </c>
    </row>
    <row r="72" spans="1:10" ht="18" customHeight="1" x14ac:dyDescent="0.55000000000000004">
      <c r="A72" s="180" t="s">
        <v>276</v>
      </c>
      <c r="B72" s="194"/>
      <c r="C72" s="179"/>
      <c r="D72" s="184"/>
      <c r="E72" s="216"/>
      <c r="F72" s="216"/>
      <c r="G72" s="184"/>
      <c r="H72" s="217">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v>0</v>
      </c>
      <c r="E74" s="229">
        <v>0</v>
      </c>
      <c r="F74" s="229">
        <v>0</v>
      </c>
      <c r="G74" s="217">
        <v>0</v>
      </c>
      <c r="H74" s="217">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45000</v>
      </c>
      <c r="E77" s="230"/>
      <c r="F77" s="220"/>
      <c r="G77" s="184"/>
      <c r="H77" s="217">
        <v>45000</v>
      </c>
    </row>
    <row r="78" spans="1:10" ht="18" customHeight="1" x14ac:dyDescent="0.55000000000000004">
      <c r="A78" s="180" t="s">
        <v>281</v>
      </c>
      <c r="B78" s="176" t="s">
        <v>166</v>
      </c>
      <c r="D78" s="184"/>
      <c r="E78" s="230"/>
      <c r="F78" s="220"/>
      <c r="G78" s="184"/>
      <c r="H78" s="217">
        <v>0</v>
      </c>
    </row>
    <row r="79" spans="1:10" ht="18" customHeight="1" x14ac:dyDescent="0.55000000000000004">
      <c r="A79" s="180" t="s">
        <v>282</v>
      </c>
      <c r="B79" s="176" t="s">
        <v>168</v>
      </c>
      <c r="D79" s="184">
        <v>1925</v>
      </c>
      <c r="E79" s="230"/>
      <c r="F79" s="220"/>
      <c r="G79" s="184"/>
      <c r="H79" s="217">
        <v>1925</v>
      </c>
    </row>
    <row r="80" spans="1:10" ht="18" customHeight="1" x14ac:dyDescent="0.55000000000000004">
      <c r="A80" s="180" t="s">
        <v>283</v>
      </c>
      <c r="B80" s="176" t="s">
        <v>170</v>
      </c>
      <c r="D80" s="184"/>
      <c r="E80" s="230"/>
      <c r="F80" s="220"/>
      <c r="G80" s="184"/>
      <c r="H80" s="217">
        <v>0</v>
      </c>
    </row>
    <row r="81" spans="1:8" ht="18" customHeight="1" x14ac:dyDescent="0.55000000000000004">
      <c r="A81" s="180"/>
      <c r="H81" s="196"/>
    </row>
    <row r="82" spans="1:8" ht="18" customHeight="1" x14ac:dyDescent="0.55000000000000004">
      <c r="A82" s="180" t="s">
        <v>171</v>
      </c>
      <c r="B82" s="179" t="s">
        <v>284</v>
      </c>
      <c r="C82" s="179" t="s">
        <v>248</v>
      </c>
      <c r="D82" s="217">
        <v>46925</v>
      </c>
      <c r="E82" s="231"/>
      <c r="F82" s="217">
        <v>0</v>
      </c>
      <c r="G82" s="217">
        <v>0</v>
      </c>
      <c r="H82" s="217">
        <v>46925</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v>0</v>
      </c>
    </row>
    <row r="87" spans="1:8" ht="18" customHeight="1" x14ac:dyDescent="0.55000000000000004">
      <c r="A87" s="180" t="s">
        <v>287</v>
      </c>
      <c r="B87" s="176" t="s">
        <v>177</v>
      </c>
      <c r="D87" s="184"/>
      <c r="E87" s="216"/>
      <c r="F87" s="216"/>
      <c r="G87" s="184"/>
      <c r="H87" s="217">
        <v>0</v>
      </c>
    </row>
    <row r="88" spans="1:8" ht="18" customHeight="1" x14ac:dyDescent="0.55000000000000004">
      <c r="A88" s="180" t="s">
        <v>288</v>
      </c>
      <c r="B88" s="176" t="s">
        <v>289</v>
      </c>
      <c r="D88" s="184">
        <v>1213</v>
      </c>
      <c r="E88" s="216">
        <v>334</v>
      </c>
      <c r="F88" s="216"/>
      <c r="G88" s="184"/>
      <c r="H88" s="217">
        <v>1547</v>
      </c>
    </row>
    <row r="89" spans="1:8" ht="18" customHeight="1" x14ac:dyDescent="0.55000000000000004">
      <c r="A89" s="180" t="s">
        <v>290</v>
      </c>
      <c r="B89" s="176" t="s">
        <v>181</v>
      </c>
      <c r="D89" s="184"/>
      <c r="E89" s="216"/>
      <c r="F89" s="216"/>
      <c r="G89" s="184"/>
      <c r="H89" s="217">
        <v>0</v>
      </c>
    </row>
    <row r="90" spans="1:8" ht="18" customHeight="1" x14ac:dyDescent="0.55000000000000004">
      <c r="A90" s="180" t="s">
        <v>291</v>
      </c>
      <c r="B90" s="176" t="s">
        <v>183</v>
      </c>
      <c r="D90" s="184"/>
      <c r="E90" s="216"/>
      <c r="F90" s="216"/>
      <c r="G90" s="184"/>
      <c r="H90" s="217">
        <v>0</v>
      </c>
    </row>
    <row r="91" spans="1:8" ht="18" customHeight="1" x14ac:dyDescent="0.55000000000000004">
      <c r="A91" s="180" t="s">
        <v>292</v>
      </c>
      <c r="B91" s="176" t="s">
        <v>185</v>
      </c>
      <c r="D91" s="184">
        <v>118</v>
      </c>
      <c r="E91" s="216"/>
      <c r="F91" s="216"/>
      <c r="G91" s="184"/>
      <c r="H91" s="217">
        <v>118</v>
      </c>
    </row>
    <row r="92" spans="1:8" ht="18" customHeight="1" x14ac:dyDescent="0.55000000000000004">
      <c r="A92" s="180" t="s">
        <v>293</v>
      </c>
      <c r="B92" s="176" t="s">
        <v>294</v>
      </c>
      <c r="D92" s="233">
        <v>6188</v>
      </c>
      <c r="E92" s="216"/>
      <c r="F92" s="234"/>
      <c r="G92" s="233"/>
      <c r="H92" s="217">
        <v>6188</v>
      </c>
    </row>
    <row r="93" spans="1:8" ht="18" customHeight="1" x14ac:dyDescent="0.55000000000000004">
      <c r="A93" s="180" t="s">
        <v>295</v>
      </c>
      <c r="B93" s="176" t="s">
        <v>296</v>
      </c>
      <c r="D93" s="184"/>
      <c r="E93" s="216"/>
      <c r="F93" s="216"/>
      <c r="G93" s="184"/>
      <c r="H93" s="217">
        <v>0</v>
      </c>
    </row>
    <row r="94" spans="1:8" ht="18" customHeight="1" x14ac:dyDescent="0.55000000000000004">
      <c r="A94" s="180" t="s">
        <v>297</v>
      </c>
      <c r="B94" s="193" t="s">
        <v>642</v>
      </c>
      <c r="D94" s="184">
        <v>31000</v>
      </c>
      <c r="E94" s="216"/>
      <c r="F94" s="216"/>
      <c r="G94" s="184"/>
      <c r="H94" s="217">
        <v>31000</v>
      </c>
    </row>
    <row r="95" spans="1:8" ht="18" customHeight="1" x14ac:dyDescent="0.55000000000000004">
      <c r="A95" s="180" t="s">
        <v>298</v>
      </c>
      <c r="B95" s="193"/>
      <c r="D95" s="184"/>
      <c r="E95" s="216"/>
      <c r="F95" s="216"/>
      <c r="G95" s="184"/>
      <c r="H95" s="217">
        <v>0</v>
      </c>
    </row>
    <row r="96" spans="1:8" ht="18" customHeight="1" x14ac:dyDescent="0.55000000000000004">
      <c r="A96" s="180" t="s">
        <v>299</v>
      </c>
      <c r="B96" s="193"/>
      <c r="D96" s="184"/>
      <c r="E96" s="216"/>
      <c r="F96" s="216"/>
      <c r="G96" s="184"/>
      <c r="H96" s="217">
        <v>0</v>
      </c>
    </row>
    <row r="97" spans="1:8" ht="18" customHeight="1" x14ac:dyDescent="0.55000000000000004">
      <c r="A97" s="180"/>
    </row>
    <row r="98" spans="1:8" ht="18" customHeight="1" x14ac:dyDescent="0.55000000000000004">
      <c r="A98" s="183" t="s">
        <v>193</v>
      </c>
      <c r="B98" s="179" t="s">
        <v>300</v>
      </c>
      <c r="C98" s="179" t="s">
        <v>248</v>
      </c>
      <c r="D98" s="217">
        <v>38519</v>
      </c>
      <c r="E98" s="217">
        <v>334</v>
      </c>
      <c r="F98" s="217">
        <v>0</v>
      </c>
      <c r="G98" s="217">
        <v>0</v>
      </c>
      <c r="H98" s="217">
        <v>38853</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32419</v>
      </c>
      <c r="E102" s="216">
        <v>19745</v>
      </c>
      <c r="F102" s="216"/>
      <c r="G102" s="184"/>
      <c r="H102" s="217">
        <v>52164</v>
      </c>
    </row>
    <row r="103" spans="1:8" ht="18" customHeight="1" x14ac:dyDescent="0.55000000000000004">
      <c r="A103" s="180" t="s">
        <v>304</v>
      </c>
      <c r="B103" s="176" t="s">
        <v>199</v>
      </c>
      <c r="D103" s="184">
        <v>21462</v>
      </c>
      <c r="E103" s="216"/>
      <c r="F103" s="216"/>
      <c r="G103" s="184"/>
      <c r="H103" s="217">
        <v>21462</v>
      </c>
    </row>
    <row r="104" spans="1:8" ht="18" customHeight="1" x14ac:dyDescent="0.55000000000000004">
      <c r="A104" s="180" t="s">
        <v>305</v>
      </c>
      <c r="B104" s="193"/>
      <c r="D104" s="184"/>
      <c r="E104" s="216"/>
      <c r="F104" s="216"/>
      <c r="G104" s="184"/>
      <c r="H104" s="217">
        <v>0</v>
      </c>
    </row>
    <row r="105" spans="1:8" ht="18" customHeight="1" x14ac:dyDescent="0.55000000000000004">
      <c r="A105" s="180" t="s">
        <v>306</v>
      </c>
      <c r="B105" s="193"/>
      <c r="D105" s="184"/>
      <c r="E105" s="216"/>
      <c r="F105" s="216"/>
      <c r="G105" s="184"/>
      <c r="H105" s="217">
        <v>0</v>
      </c>
    </row>
    <row r="106" spans="1:8" ht="18" customHeight="1" x14ac:dyDescent="0.55000000000000004">
      <c r="A106" s="180" t="s">
        <v>307</v>
      </c>
      <c r="B106" s="193"/>
      <c r="D106" s="184"/>
      <c r="E106" s="216"/>
      <c r="F106" s="216"/>
      <c r="G106" s="184"/>
      <c r="H106" s="217">
        <v>0</v>
      </c>
    </row>
    <row r="107" spans="1:8" ht="18" customHeight="1" x14ac:dyDescent="0.55000000000000004">
      <c r="B107" s="179"/>
    </row>
    <row r="108" spans="1:8" ht="18" customHeight="1" x14ac:dyDescent="0.55000000000000004">
      <c r="A108" s="183" t="s">
        <v>204</v>
      </c>
      <c r="B108" s="179" t="s">
        <v>308</v>
      </c>
      <c r="C108" s="179" t="s">
        <v>248</v>
      </c>
      <c r="D108" s="217">
        <v>53881</v>
      </c>
      <c r="E108" s="217">
        <v>19745</v>
      </c>
      <c r="F108" s="217">
        <v>0</v>
      </c>
      <c r="G108" s="217">
        <v>0</v>
      </c>
      <c r="H108" s="217">
        <v>73626</v>
      </c>
    </row>
    <row r="109" spans="1:8" ht="18" customHeight="1" thickBot="1" x14ac:dyDescent="0.6">
      <c r="A109" s="197"/>
      <c r="B109" s="198"/>
      <c r="C109" s="199"/>
      <c r="D109" s="189"/>
      <c r="E109" s="189"/>
      <c r="F109" s="189"/>
      <c r="G109" s="189"/>
      <c r="H109" s="189"/>
    </row>
    <row r="110" spans="1:8" ht="25.5" customHeight="1"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6890000</v>
      </c>
      <c r="G111" s="184"/>
      <c r="H111" s="217">
        <v>6890000</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0.62</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364442000</v>
      </c>
      <c r="F117" s="237"/>
    </row>
    <row r="118" spans="1:7" ht="18" customHeight="1" x14ac:dyDescent="0.55000000000000004">
      <c r="A118" s="180" t="s">
        <v>319</v>
      </c>
      <c r="B118" s="176" t="s">
        <v>320</v>
      </c>
      <c r="E118" s="184">
        <v>15064000</v>
      </c>
      <c r="F118" s="237"/>
    </row>
    <row r="119" spans="1:7" ht="18" customHeight="1" x14ac:dyDescent="0.55000000000000004">
      <c r="A119" s="180" t="s">
        <v>321</v>
      </c>
      <c r="B119" s="179" t="s">
        <v>322</v>
      </c>
      <c r="E119" s="217">
        <v>379506000</v>
      </c>
      <c r="F119" s="238"/>
    </row>
    <row r="120" spans="1:7" ht="18" customHeight="1" x14ac:dyDescent="0.55000000000000004">
      <c r="A120" s="180"/>
      <c r="B120" s="179"/>
      <c r="F120" s="212"/>
    </row>
    <row r="121" spans="1:7" ht="18" customHeight="1" x14ac:dyDescent="0.55000000000000004">
      <c r="A121" s="180" t="s">
        <v>323</v>
      </c>
      <c r="B121" s="179" t="s">
        <v>324</v>
      </c>
      <c r="E121" s="184">
        <v>353751000</v>
      </c>
      <c r="F121" s="237"/>
    </row>
    <row r="122" spans="1:7" ht="18" customHeight="1" x14ac:dyDescent="0.55000000000000004">
      <c r="A122" s="180"/>
      <c r="F122" s="212"/>
    </row>
    <row r="123" spans="1:7" ht="18" customHeight="1" x14ac:dyDescent="0.55000000000000004">
      <c r="A123" s="180" t="s">
        <v>325</v>
      </c>
      <c r="B123" s="179" t="s">
        <v>326</v>
      </c>
      <c r="E123" s="184">
        <v>25755000</v>
      </c>
      <c r="F123" s="237"/>
    </row>
    <row r="124" spans="1:7" ht="18" customHeight="1" x14ac:dyDescent="0.55000000000000004">
      <c r="A124" s="180"/>
      <c r="F124" s="212"/>
    </row>
    <row r="125" spans="1:7" ht="18" customHeight="1" x14ac:dyDescent="0.55000000000000004">
      <c r="A125" s="180" t="s">
        <v>327</v>
      </c>
      <c r="B125" s="179" t="s">
        <v>328</v>
      </c>
      <c r="E125" s="184">
        <v>-1774000</v>
      </c>
      <c r="F125" s="237"/>
    </row>
    <row r="126" spans="1:7" ht="18" customHeight="1" x14ac:dyDescent="0.55000000000000004">
      <c r="A126" s="180"/>
      <c r="F126" s="212"/>
    </row>
    <row r="127" spans="1:7" ht="18" customHeight="1" x14ac:dyDescent="0.55000000000000004">
      <c r="A127" s="180" t="s">
        <v>329</v>
      </c>
      <c r="B127" s="179" t="s">
        <v>330</v>
      </c>
      <c r="E127" s="184">
        <v>23981000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v>0</v>
      </c>
    </row>
    <row r="132" spans="1:8" ht="18" customHeight="1" x14ac:dyDescent="0.55000000000000004">
      <c r="A132" s="180" t="s">
        <v>333</v>
      </c>
      <c r="B132" s="176" t="s">
        <v>68</v>
      </c>
      <c r="D132" s="184"/>
      <c r="E132" s="216"/>
      <c r="F132" s="216"/>
      <c r="G132" s="184"/>
      <c r="H132" s="217">
        <v>0</v>
      </c>
    </row>
    <row r="133" spans="1:8" ht="18" customHeight="1" x14ac:dyDescent="0.55000000000000004">
      <c r="A133" s="180" t="s">
        <v>334</v>
      </c>
      <c r="B133" s="185"/>
      <c r="D133" s="184"/>
      <c r="E133" s="216"/>
      <c r="F133" s="216"/>
      <c r="G133" s="184"/>
      <c r="H133" s="217">
        <v>0</v>
      </c>
    </row>
    <row r="134" spans="1:8" ht="18" customHeight="1" x14ac:dyDescent="0.55000000000000004">
      <c r="A134" s="180" t="s">
        <v>335</v>
      </c>
      <c r="B134" s="185"/>
      <c r="D134" s="184"/>
      <c r="E134" s="216"/>
      <c r="F134" s="216"/>
      <c r="G134" s="184"/>
      <c r="H134" s="217">
        <v>0</v>
      </c>
    </row>
    <row r="135" spans="1:8" ht="18" customHeight="1" x14ac:dyDescent="0.55000000000000004">
      <c r="A135" s="180" t="s">
        <v>336</v>
      </c>
      <c r="B135" s="185"/>
      <c r="D135" s="184"/>
      <c r="E135" s="216"/>
      <c r="F135" s="216"/>
      <c r="G135" s="184"/>
      <c r="H135" s="217">
        <v>0</v>
      </c>
    </row>
    <row r="136" spans="1:8" ht="18" customHeight="1" x14ac:dyDescent="0.55000000000000004">
      <c r="A136" s="183"/>
    </row>
    <row r="137" spans="1:8" ht="18" customHeight="1" x14ac:dyDescent="0.55000000000000004">
      <c r="A137" s="183" t="s">
        <v>215</v>
      </c>
      <c r="B137" s="179" t="s">
        <v>337</v>
      </c>
      <c r="D137" s="217">
        <v>0</v>
      </c>
      <c r="E137" s="217">
        <v>0</v>
      </c>
      <c r="F137" s="217">
        <v>0</v>
      </c>
      <c r="G137" s="217">
        <v>0</v>
      </c>
      <c r="H137" s="217">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v>2125128</v>
      </c>
      <c r="E141" s="239">
        <v>939016</v>
      </c>
      <c r="F141" s="239">
        <v>0</v>
      </c>
      <c r="G141" s="239">
        <v>279867</v>
      </c>
      <c r="H141" s="239">
        <v>2784277</v>
      </c>
    </row>
    <row r="142" spans="1:8" ht="18" customHeight="1" x14ac:dyDescent="0.55000000000000004">
      <c r="A142" s="180" t="s">
        <v>150</v>
      </c>
      <c r="B142" s="179" t="s">
        <v>220</v>
      </c>
      <c r="D142" s="239">
        <v>1386186</v>
      </c>
      <c r="E142" s="239">
        <v>859436</v>
      </c>
      <c r="F142" s="239">
        <v>0</v>
      </c>
      <c r="G142" s="239">
        <v>0</v>
      </c>
      <c r="H142" s="239">
        <v>2245622</v>
      </c>
    </row>
    <row r="143" spans="1:8" ht="18" customHeight="1" x14ac:dyDescent="0.55000000000000004">
      <c r="A143" s="180" t="s">
        <v>269</v>
      </c>
      <c r="B143" s="179" t="s">
        <v>222</v>
      </c>
      <c r="D143" s="239">
        <v>23262641</v>
      </c>
      <c r="E143" s="239">
        <v>14422837.42</v>
      </c>
      <c r="F143" s="239">
        <v>0</v>
      </c>
      <c r="G143" s="239">
        <v>0</v>
      </c>
      <c r="H143" s="239">
        <v>37685478.420000002</v>
      </c>
    </row>
    <row r="144" spans="1:8" ht="18" customHeight="1" x14ac:dyDescent="0.55000000000000004">
      <c r="A144" s="180" t="s">
        <v>161</v>
      </c>
      <c r="B144" s="179" t="s">
        <v>70</v>
      </c>
      <c r="D144" s="239">
        <v>0</v>
      </c>
      <c r="E144" s="239">
        <v>0</v>
      </c>
      <c r="F144" s="239">
        <v>0</v>
      </c>
      <c r="G144" s="239">
        <v>0</v>
      </c>
      <c r="H144" s="239">
        <v>0</v>
      </c>
    </row>
    <row r="145" spans="1:8" ht="18" customHeight="1" x14ac:dyDescent="0.55000000000000004">
      <c r="A145" s="180" t="s">
        <v>171</v>
      </c>
      <c r="B145" s="179" t="s">
        <v>69</v>
      </c>
      <c r="D145" s="239">
        <v>46925</v>
      </c>
      <c r="E145" s="239">
        <v>0</v>
      </c>
      <c r="F145" s="239">
        <v>0</v>
      </c>
      <c r="G145" s="239">
        <v>0</v>
      </c>
      <c r="H145" s="239">
        <v>46925</v>
      </c>
    </row>
    <row r="146" spans="1:8" ht="18" customHeight="1" x14ac:dyDescent="0.55000000000000004">
      <c r="A146" s="180" t="s">
        <v>193</v>
      </c>
      <c r="B146" s="179" t="s">
        <v>226</v>
      </c>
      <c r="D146" s="239">
        <v>38519</v>
      </c>
      <c r="E146" s="239">
        <v>334</v>
      </c>
      <c r="F146" s="239">
        <v>0</v>
      </c>
      <c r="G146" s="239">
        <v>0</v>
      </c>
      <c r="H146" s="239">
        <v>38853</v>
      </c>
    </row>
    <row r="147" spans="1:8" ht="18" customHeight="1" x14ac:dyDescent="0.55000000000000004">
      <c r="A147" s="180" t="s">
        <v>204</v>
      </c>
      <c r="B147" s="179" t="s">
        <v>71</v>
      </c>
      <c r="D147" s="217">
        <v>53881</v>
      </c>
      <c r="E147" s="217">
        <v>19745</v>
      </c>
      <c r="F147" s="217">
        <v>0</v>
      </c>
      <c r="G147" s="217">
        <v>0</v>
      </c>
      <c r="H147" s="217">
        <v>73626</v>
      </c>
    </row>
    <row r="148" spans="1:8" ht="18" customHeight="1" x14ac:dyDescent="0.55000000000000004">
      <c r="A148" s="180" t="s">
        <v>310</v>
      </c>
      <c r="B148" s="179" t="s">
        <v>58</v>
      </c>
      <c r="D148" s="240" t="s">
        <v>245</v>
      </c>
      <c r="E148" s="240" t="s">
        <v>245</v>
      </c>
      <c r="F148" s="240"/>
      <c r="G148" s="240" t="s">
        <v>245</v>
      </c>
      <c r="H148" s="239">
        <v>6890000</v>
      </c>
    </row>
    <row r="149" spans="1:8" ht="18" customHeight="1" x14ac:dyDescent="0.55000000000000004">
      <c r="A149" s="180" t="s">
        <v>215</v>
      </c>
      <c r="B149" s="179" t="s">
        <v>230</v>
      </c>
      <c r="D149" s="217">
        <v>0</v>
      </c>
      <c r="E149" s="217">
        <v>0</v>
      </c>
      <c r="F149" s="217">
        <v>0</v>
      </c>
      <c r="G149" s="217">
        <v>0</v>
      </c>
      <c r="H149" s="217">
        <v>0</v>
      </c>
    </row>
    <row r="150" spans="1:8" ht="18" customHeight="1" x14ac:dyDescent="0.55000000000000004">
      <c r="A150" s="180" t="s">
        <v>103</v>
      </c>
      <c r="B150" s="179" t="s">
        <v>104</v>
      </c>
      <c r="D150" s="217">
        <v>7404289</v>
      </c>
      <c r="E150" s="217">
        <v>0</v>
      </c>
      <c r="F150" s="217">
        <v>0</v>
      </c>
      <c r="G150" s="217">
        <v>6136454</v>
      </c>
      <c r="H150" s="217">
        <v>1267835</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v>34317569</v>
      </c>
      <c r="E152" s="241">
        <v>16241368.42</v>
      </c>
      <c r="F152" s="241">
        <v>0</v>
      </c>
      <c r="G152" s="241">
        <v>6416321</v>
      </c>
      <c r="H152" s="241">
        <v>51032616.420000002</v>
      </c>
    </row>
    <row r="153" spans="1:8" ht="18" customHeight="1" x14ac:dyDescent="0.55000000000000004">
      <c r="D153" s="275"/>
      <c r="E153" s="275"/>
      <c r="F153" s="275"/>
      <c r="G153" s="275"/>
      <c r="H153" s="275"/>
    </row>
    <row r="154" spans="1:8" ht="18" customHeight="1" x14ac:dyDescent="0.55000000000000004">
      <c r="A154" s="183" t="s">
        <v>339</v>
      </c>
      <c r="B154" s="179" t="s">
        <v>340</v>
      </c>
      <c r="D154" s="242">
        <v>0.14426140539532045</v>
      </c>
      <c r="G154" s="275"/>
    </row>
    <row r="155" spans="1:8" ht="18" customHeight="1" x14ac:dyDescent="0.55000000000000004">
      <c r="A155" s="183" t="s">
        <v>341</v>
      </c>
      <c r="B155" s="179" t="s">
        <v>342</v>
      </c>
      <c r="D155" s="242">
        <v>2.1280437187773655</v>
      </c>
    </row>
  </sheetData>
  <mergeCells count="6">
    <mergeCell ref="B13:D13"/>
    <mergeCell ref="C2:D2"/>
    <mergeCell ref="C5:E5"/>
    <mergeCell ref="C7:E7"/>
    <mergeCell ref="C9:E9"/>
    <mergeCell ref="C11:E11"/>
  </mergeCells>
  <hyperlinks>
    <hyperlink ref="C11" r:id="rId1" xr:uid="{86B1BA13-4386-40EA-8E9C-3CD8DDE81EDC}"/>
  </hyperlinks>
  <pageMargins left="0.7" right="0.7" top="0.75" bottom="0.75" header="0.3" footer="0.3"/>
  <pageSetup orientation="portrait" horizontalDpi="1200" verticalDpi="1200"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0B0D3-375E-45AF-ABD3-401950BB5A5D}">
  <sheetPr codeName="Sheet54"/>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211" t="s">
        <v>643</v>
      </c>
      <c r="D5" s="211"/>
      <c r="E5" s="211"/>
      <c r="G5" s="212"/>
    </row>
    <row r="6" spans="1:8" ht="18" customHeight="1" x14ac:dyDescent="0.55000000000000004">
      <c r="B6" s="180" t="s">
        <v>237</v>
      </c>
      <c r="C6" s="211">
        <v>64</v>
      </c>
      <c r="D6" s="211"/>
      <c r="E6" s="211"/>
      <c r="G6" s="212"/>
    </row>
    <row r="7" spans="1:8" ht="18" customHeight="1" x14ac:dyDescent="0.55000000000000004">
      <c r="B7" s="180" t="s">
        <v>238</v>
      </c>
      <c r="C7" s="246">
        <v>816</v>
      </c>
      <c r="D7" s="246"/>
      <c r="E7" s="246"/>
      <c r="F7" s="210"/>
    </row>
    <row r="8" spans="1:8" ht="18" customHeight="1" x14ac:dyDescent="0.55000000000000004">
      <c r="C8" s="211"/>
      <c r="D8" s="211"/>
      <c r="E8" s="211"/>
      <c r="F8" s="212"/>
    </row>
    <row r="9" spans="1:8" ht="18" customHeight="1" x14ac:dyDescent="0.55000000000000004">
      <c r="B9" s="180" t="s">
        <v>239</v>
      </c>
      <c r="C9" s="246" t="s">
        <v>388</v>
      </c>
      <c r="D9" s="246"/>
      <c r="E9" s="246"/>
      <c r="F9" s="210"/>
    </row>
    <row r="10" spans="1:8" ht="18" customHeight="1" x14ac:dyDescent="0.55000000000000004">
      <c r="B10" s="180" t="s">
        <v>241</v>
      </c>
      <c r="C10" s="246" t="s">
        <v>389</v>
      </c>
      <c r="D10" s="246"/>
      <c r="E10" s="246"/>
      <c r="F10" s="210"/>
    </row>
    <row r="11" spans="1:8" ht="30" customHeight="1" x14ac:dyDescent="0.55000000000000004">
      <c r="B11" s="180" t="s">
        <v>243</v>
      </c>
      <c r="C11" s="300" t="s">
        <v>644</v>
      </c>
      <c r="D11" s="246"/>
      <c r="E11" s="246"/>
      <c r="F11" s="210"/>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1152662.2967972825</v>
      </c>
      <c r="E18" s="214"/>
      <c r="F18" s="214"/>
      <c r="G18" s="214">
        <v>955292.10907622776</v>
      </c>
      <c r="H18" s="249">
        <f>(D18+E18)-G18</f>
        <v>197370.18772105477</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c r="E21" s="216"/>
      <c r="F21" s="216"/>
      <c r="G21" s="184"/>
      <c r="H21" s="217">
        <f>(D21+E21)-F21-G21</f>
        <v>0</v>
      </c>
    </row>
    <row r="22" spans="1:8" ht="18" customHeight="1" x14ac:dyDescent="0.55000000000000004">
      <c r="A22" s="180" t="s">
        <v>112</v>
      </c>
      <c r="B22" s="176" t="s">
        <v>113</v>
      </c>
      <c r="D22" s="184"/>
      <c r="E22" s="216"/>
      <c r="F22" s="216"/>
      <c r="G22" s="184"/>
      <c r="H22" s="217">
        <f t="shared" ref="H22:H34" si="0">(D22+E22)-F22-G22</f>
        <v>0</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c r="E24" s="216"/>
      <c r="F24" s="216"/>
      <c r="G24" s="184"/>
      <c r="H24" s="217">
        <f t="shared" si="0"/>
        <v>0</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c r="E29" s="216"/>
      <c r="F29" s="216"/>
      <c r="G29" s="184"/>
      <c r="H29" s="217">
        <f t="shared" si="0"/>
        <v>0</v>
      </c>
    </row>
    <row r="30" spans="1:8" ht="18" customHeight="1" x14ac:dyDescent="0.55000000000000004">
      <c r="A30" s="180" t="s">
        <v>128</v>
      </c>
      <c r="B30" s="185"/>
      <c r="D30" s="184"/>
      <c r="E30" s="216"/>
      <c r="F30" s="216"/>
      <c r="G30" s="184"/>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0</v>
      </c>
      <c r="E36" s="217">
        <f>SUM(E21:E34)</f>
        <v>0</v>
      </c>
      <c r="F36" s="217">
        <f>SUM(F21:F34)</f>
        <v>0</v>
      </c>
      <c r="G36" s="217">
        <f>SUM(G21:G34)</f>
        <v>0</v>
      </c>
      <c r="H36" s="217">
        <f>SUM(H21:H34)</f>
        <v>0</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c r="E41" s="216"/>
      <c r="F41" s="216"/>
      <c r="G41" s="184"/>
      <c r="H41" s="217">
        <f t="shared" ref="H41:H47" si="1">(D41+E41)-F41-G41</f>
        <v>0</v>
      </c>
    </row>
    <row r="42" spans="1:8" ht="18" customHeight="1" x14ac:dyDescent="0.55000000000000004">
      <c r="A42" s="180" t="s">
        <v>252</v>
      </c>
      <c r="B42" s="176" t="s">
        <v>143</v>
      </c>
      <c r="D42" s="184">
        <v>24440</v>
      </c>
      <c r="E42" s="216">
        <f>D42*0.78</f>
        <v>19063.2</v>
      </c>
      <c r="F42" s="216"/>
      <c r="G42" s="184">
        <v>39</v>
      </c>
      <c r="H42" s="217">
        <f t="shared" si="1"/>
        <v>43464.2</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24440</v>
      </c>
      <c r="E49" s="217">
        <f>SUM(E40:E47)</f>
        <v>19063.2</v>
      </c>
      <c r="F49" s="217">
        <f>SUM(F40:F47)</f>
        <v>0</v>
      </c>
      <c r="G49" s="217">
        <f>SUM(G40:G47)</f>
        <v>39</v>
      </c>
      <c r="H49" s="217">
        <f>SUM(H40:H47)</f>
        <v>43464.2</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184">
        <v>347393</v>
      </c>
      <c r="E53" s="216">
        <v>245226.54</v>
      </c>
      <c r="F53" s="216">
        <v>0</v>
      </c>
      <c r="G53" s="184">
        <v>49395</v>
      </c>
      <c r="H53" s="217">
        <f>(D53+E53)-F53-G53</f>
        <v>543224.54</v>
      </c>
    </row>
    <row r="54" spans="1:8" ht="18" customHeight="1" x14ac:dyDescent="0.55000000000000004">
      <c r="A54" s="180" t="s">
        <v>259</v>
      </c>
      <c r="B54" s="194"/>
      <c r="D54" s="184"/>
      <c r="E54" s="216"/>
      <c r="F54" s="216"/>
      <c r="G54" s="184"/>
      <c r="H54" s="217">
        <f t="shared" ref="H54:H62" si="2">(D54+E54)-F54-G54</f>
        <v>0</v>
      </c>
    </row>
    <row r="55" spans="1:8" ht="18" customHeight="1" x14ac:dyDescent="0.55000000000000004">
      <c r="A55" s="180" t="s">
        <v>260</v>
      </c>
      <c r="B55" s="194"/>
      <c r="D55" s="184"/>
      <c r="E55" s="216"/>
      <c r="F55" s="216"/>
      <c r="G55" s="184"/>
      <c r="H55" s="217">
        <f t="shared" si="2"/>
        <v>0</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347393</v>
      </c>
      <c r="E64" s="217">
        <f>SUM(E53:E62)</f>
        <v>245226.54</v>
      </c>
      <c r="F64" s="217">
        <f>SUM(F53:F62)</f>
        <v>0</v>
      </c>
      <c r="G64" s="217">
        <f>SUM(G53:G62)</f>
        <v>49395</v>
      </c>
      <c r="H64" s="217">
        <f>SUM(H53:H62)</f>
        <v>543224.54</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30757</v>
      </c>
      <c r="E77" s="230"/>
      <c r="F77" s="220"/>
      <c r="G77" s="184"/>
      <c r="H77" s="217">
        <f>(D77-F77-G77)</f>
        <v>30757</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c r="E79" s="230"/>
      <c r="F79" s="220"/>
      <c r="G79" s="184"/>
      <c r="H79" s="217">
        <f>(D79-F79-G79)</f>
        <v>0</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30757</v>
      </c>
      <c r="E82" s="231"/>
      <c r="F82" s="217">
        <f>SUM(F77:F80)</f>
        <v>0</v>
      </c>
      <c r="G82" s="217">
        <f>SUM(G77:G80)</f>
        <v>0</v>
      </c>
      <c r="H82" s="217">
        <f>SUM(H77:H80)</f>
        <v>30757</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c r="E88" s="216"/>
      <c r="F88" s="216"/>
      <c r="G88" s="184"/>
      <c r="H88" s="217">
        <f t="shared" si="3"/>
        <v>0</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c r="E91" s="216"/>
      <c r="F91" s="216"/>
      <c r="G91" s="184"/>
      <c r="H91" s="217">
        <f t="shared" si="3"/>
        <v>0</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v>4902</v>
      </c>
      <c r="E93" s="216"/>
      <c r="F93" s="216"/>
      <c r="G93" s="184"/>
      <c r="H93" s="217">
        <f t="shared" si="3"/>
        <v>4902</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4902</v>
      </c>
      <c r="E98" s="217">
        <f>SUM(E86:E96)</f>
        <v>0</v>
      </c>
      <c r="F98" s="217">
        <f>SUM(F86:F96)</f>
        <v>0</v>
      </c>
      <c r="G98" s="217">
        <f>SUM(G86:G96)</f>
        <v>0</v>
      </c>
      <c r="H98" s="217">
        <f>SUM(H86:H96)</f>
        <v>4902</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47183</v>
      </c>
      <c r="E102" s="216">
        <f>D102*0.78</f>
        <v>36802.74</v>
      </c>
      <c r="F102" s="216"/>
      <c r="G102" s="184"/>
      <c r="H102" s="217">
        <f>(D102+E102)-F102-G102</f>
        <v>83985.739999999991</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47183</v>
      </c>
      <c r="E108" s="217">
        <f>SUM(E102:E106)</f>
        <v>36802.74</v>
      </c>
      <c r="F108" s="217">
        <f>SUM(F102:F106)</f>
        <v>0</v>
      </c>
      <c r="G108" s="217">
        <f>SUM(G102:G106)</f>
        <v>0</v>
      </c>
      <c r="H108" s="217">
        <f>SUM(H102:H106)</f>
        <v>83985.739999999991</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1768778</v>
      </c>
      <c r="G111" s="184"/>
      <c r="H111" s="217">
        <f>F111-G111</f>
        <v>1768778</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0.77800000000000002</v>
      </c>
      <c r="F114" s="235" t="s">
        <v>429</v>
      </c>
      <c r="G114" s="236" t="s">
        <v>358</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72858000</v>
      </c>
      <c r="F117" s="237"/>
    </row>
    <row r="118" spans="1:7" ht="18" customHeight="1" x14ac:dyDescent="0.55000000000000004">
      <c r="A118" s="180" t="s">
        <v>319</v>
      </c>
      <c r="B118" s="176" t="s">
        <v>320</v>
      </c>
      <c r="E118" s="184">
        <v>1464000</v>
      </c>
      <c r="F118" s="237"/>
    </row>
    <row r="119" spans="1:7" ht="18" customHeight="1" x14ac:dyDescent="0.55000000000000004">
      <c r="A119" s="180" t="s">
        <v>321</v>
      </c>
      <c r="B119" s="179" t="s">
        <v>322</v>
      </c>
      <c r="E119" s="217">
        <f>SUM(E117:E118)</f>
        <v>74322000</v>
      </c>
      <c r="F119" s="238"/>
    </row>
    <row r="120" spans="1:7" ht="18" customHeight="1" x14ac:dyDescent="0.55000000000000004">
      <c r="A120" s="180"/>
      <c r="B120" s="179"/>
      <c r="F120" s="212"/>
    </row>
    <row r="121" spans="1:7" ht="18" customHeight="1" x14ac:dyDescent="0.55000000000000004">
      <c r="A121" s="180" t="s">
        <v>323</v>
      </c>
      <c r="B121" s="179" t="s">
        <v>324</v>
      </c>
      <c r="E121" s="184">
        <v>83280000</v>
      </c>
      <c r="F121" s="237"/>
    </row>
    <row r="122" spans="1:7" ht="18" customHeight="1" x14ac:dyDescent="0.55000000000000004">
      <c r="A122" s="180"/>
      <c r="F122" s="212"/>
    </row>
    <row r="123" spans="1:7" ht="18" customHeight="1" x14ac:dyDescent="0.55000000000000004">
      <c r="A123" s="180" t="s">
        <v>325</v>
      </c>
      <c r="B123" s="179" t="s">
        <v>326</v>
      </c>
      <c r="E123" s="184">
        <f>E119-E121</f>
        <v>-8958000</v>
      </c>
      <c r="F123" s="237"/>
    </row>
    <row r="124" spans="1:7" ht="18" customHeight="1" x14ac:dyDescent="0.55000000000000004">
      <c r="A124" s="180"/>
      <c r="F124" s="212"/>
    </row>
    <row r="125" spans="1:7" ht="18" customHeight="1" x14ac:dyDescent="0.55000000000000004">
      <c r="A125" s="180" t="s">
        <v>327</v>
      </c>
      <c r="B125" s="179" t="s">
        <v>328</v>
      </c>
      <c r="E125" s="184">
        <v>4556000</v>
      </c>
      <c r="F125" s="237"/>
    </row>
    <row r="126" spans="1:7" ht="18" customHeight="1" x14ac:dyDescent="0.55000000000000004">
      <c r="A126" s="180"/>
      <c r="F126" s="212"/>
    </row>
    <row r="127" spans="1:7" ht="18" customHeight="1" x14ac:dyDescent="0.55000000000000004">
      <c r="A127" s="180" t="s">
        <v>329</v>
      </c>
      <c r="B127" s="179" t="s">
        <v>330</v>
      </c>
      <c r="E127" s="184">
        <f>E123+E125</f>
        <v>-4402000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0</v>
      </c>
      <c r="E141" s="239">
        <f>E36</f>
        <v>0</v>
      </c>
      <c r="F141" s="239">
        <f>F36</f>
        <v>0</v>
      </c>
      <c r="G141" s="239">
        <f>G36</f>
        <v>0</v>
      </c>
      <c r="H141" s="239">
        <f>H36</f>
        <v>0</v>
      </c>
    </row>
    <row r="142" spans="1:8" ht="18" customHeight="1" x14ac:dyDescent="0.55000000000000004">
      <c r="A142" s="180" t="s">
        <v>150</v>
      </c>
      <c r="B142" s="179" t="s">
        <v>220</v>
      </c>
      <c r="D142" s="239">
        <f>D49</f>
        <v>24440</v>
      </c>
      <c r="E142" s="239">
        <f>E49</f>
        <v>19063.2</v>
      </c>
      <c r="F142" s="239">
        <f>F49</f>
        <v>0</v>
      </c>
      <c r="G142" s="239">
        <f>G49</f>
        <v>39</v>
      </c>
      <c r="H142" s="239">
        <f>H49</f>
        <v>43464.2</v>
      </c>
    </row>
    <row r="143" spans="1:8" ht="18" customHeight="1" x14ac:dyDescent="0.55000000000000004">
      <c r="A143" s="180" t="s">
        <v>269</v>
      </c>
      <c r="B143" s="179" t="s">
        <v>222</v>
      </c>
      <c r="D143" s="239">
        <f>D64</f>
        <v>347393</v>
      </c>
      <c r="E143" s="239">
        <f>E64</f>
        <v>245226.54</v>
      </c>
      <c r="F143" s="239">
        <f>F64</f>
        <v>0</v>
      </c>
      <c r="G143" s="239">
        <f>G64</f>
        <v>49395</v>
      </c>
      <c r="H143" s="239">
        <f>H64</f>
        <v>543224.54</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30757</v>
      </c>
      <c r="E145" s="239">
        <f>E82</f>
        <v>0</v>
      </c>
      <c r="F145" s="239">
        <f>F82</f>
        <v>0</v>
      </c>
      <c r="G145" s="239">
        <f>G82</f>
        <v>0</v>
      </c>
      <c r="H145" s="239">
        <f>H82</f>
        <v>30757</v>
      </c>
    </row>
    <row r="146" spans="1:8" ht="18" customHeight="1" x14ac:dyDescent="0.55000000000000004">
      <c r="A146" s="180" t="s">
        <v>193</v>
      </c>
      <c r="B146" s="179" t="s">
        <v>226</v>
      </c>
      <c r="D146" s="239">
        <f>D98</f>
        <v>4902</v>
      </c>
      <c r="E146" s="239">
        <f>E98</f>
        <v>0</v>
      </c>
      <c r="F146" s="239">
        <f>F98</f>
        <v>0</v>
      </c>
      <c r="G146" s="239">
        <f>G98</f>
        <v>0</v>
      </c>
      <c r="H146" s="239">
        <f>H98</f>
        <v>4902</v>
      </c>
    </row>
    <row r="147" spans="1:8" ht="18" customHeight="1" x14ac:dyDescent="0.55000000000000004">
      <c r="A147" s="180" t="s">
        <v>204</v>
      </c>
      <c r="B147" s="179" t="s">
        <v>71</v>
      </c>
      <c r="D147" s="217">
        <f>D108</f>
        <v>47183</v>
      </c>
      <c r="E147" s="217">
        <f>E108</f>
        <v>36802.74</v>
      </c>
      <c r="F147" s="217">
        <f>F108</f>
        <v>0</v>
      </c>
      <c r="G147" s="217">
        <f>G108</f>
        <v>0</v>
      </c>
      <c r="H147" s="217">
        <f>H108</f>
        <v>83985.739999999991</v>
      </c>
    </row>
    <row r="148" spans="1:8" ht="18" customHeight="1" x14ac:dyDescent="0.55000000000000004">
      <c r="A148" s="180" t="s">
        <v>310</v>
      </c>
      <c r="B148" s="179" t="s">
        <v>58</v>
      </c>
      <c r="D148" s="240" t="s">
        <v>245</v>
      </c>
      <c r="E148" s="240" t="s">
        <v>245</v>
      </c>
      <c r="F148" s="240"/>
      <c r="G148" s="240" t="s">
        <v>245</v>
      </c>
      <c r="H148" s="239">
        <f>H111</f>
        <v>1768778</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1152662.2967972825</v>
      </c>
      <c r="E150" s="217">
        <f>E18</f>
        <v>0</v>
      </c>
      <c r="F150" s="217">
        <f>F18</f>
        <v>0</v>
      </c>
      <c r="G150" s="217">
        <f>G18</f>
        <v>955292.10907622776</v>
      </c>
      <c r="H150" s="217">
        <f>H18</f>
        <v>197370.18772105477</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1607337.2967972825</v>
      </c>
      <c r="E152" s="241">
        <f>SUM(E141:E150)</f>
        <v>301092.47999999998</v>
      </c>
      <c r="F152" s="241">
        <f>SUM(F141:F150)</f>
        <v>0</v>
      </c>
      <c r="G152" s="241">
        <f>SUM(G141:G150)</f>
        <v>1004726.1090762278</v>
      </c>
      <c r="H152" s="241">
        <f>SUM(H141:H150)</f>
        <v>2672481.6677210545</v>
      </c>
    </row>
    <row r="154" spans="1:8" ht="18" customHeight="1" x14ac:dyDescent="0.55000000000000004">
      <c r="A154" s="183" t="s">
        <v>339</v>
      </c>
      <c r="B154" s="179" t="s">
        <v>340</v>
      </c>
      <c r="D154" s="242">
        <f>H152/E121</f>
        <v>3.2090317816054932E-2</v>
      </c>
    </row>
    <row r="155" spans="1:8" ht="18" customHeight="1" x14ac:dyDescent="0.55000000000000004">
      <c r="A155" s="183" t="s">
        <v>341</v>
      </c>
      <c r="B155" s="179" t="s">
        <v>342</v>
      </c>
      <c r="D155" s="242">
        <f>H152/E127</f>
        <v>-0.60710623982759071</v>
      </c>
    </row>
  </sheetData>
  <mergeCells count="2">
    <mergeCell ref="C2:D2"/>
    <mergeCell ref="B13:D13"/>
  </mergeCells>
  <hyperlinks>
    <hyperlink ref="C11" r:id="rId1" xr:uid="{7B1963CB-612F-49FA-A0D4-30E3A20E3D52}"/>
  </hyperlinks>
  <pageMargins left="0.7" right="0.7" top="0.75" bottom="0.75" header="0.3" footer="0.3"/>
  <pageSetup orientation="portrait" horizontalDpi="1200" verticalDpi="1200"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C0C2A-75DC-4E2D-B530-EB31CA71ABDC}">
  <sheetPr codeName="Sheet55"/>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3.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4" spans="1:8" ht="7.5" customHeight="1" x14ac:dyDescent="0.55000000000000004"/>
    <row r="5" spans="1:8" ht="21.75" customHeight="1" x14ac:dyDescent="0.55000000000000004">
      <c r="B5" s="180" t="s">
        <v>236</v>
      </c>
      <c r="C5" s="526" t="s">
        <v>645</v>
      </c>
      <c r="D5" s="526"/>
      <c r="E5" s="526"/>
      <c r="F5" s="208"/>
    </row>
    <row r="6" spans="1:8" ht="18" customHeight="1" x14ac:dyDescent="0.55000000000000004">
      <c r="B6" s="180" t="s">
        <v>237</v>
      </c>
      <c r="C6" s="416">
        <v>65</v>
      </c>
      <c r="D6" s="243"/>
      <c r="E6" s="243"/>
      <c r="F6" s="209"/>
    </row>
    <row r="7" spans="1:8" ht="18" customHeight="1" x14ac:dyDescent="0.55000000000000004">
      <c r="B7" s="180" t="s">
        <v>238</v>
      </c>
      <c r="C7" s="416">
        <v>744</v>
      </c>
      <c r="D7" s="245"/>
      <c r="E7" s="245"/>
      <c r="F7" s="210"/>
    </row>
    <row r="8" spans="1:8" ht="18" customHeight="1" x14ac:dyDescent="0.55000000000000004">
      <c r="C8" s="417"/>
      <c r="D8" s="255"/>
      <c r="E8" s="255"/>
      <c r="F8" s="212"/>
    </row>
    <row r="9" spans="1:8" ht="18" customHeight="1" x14ac:dyDescent="0.55000000000000004">
      <c r="B9" s="180" t="s">
        <v>239</v>
      </c>
      <c r="C9" s="526" t="s">
        <v>350</v>
      </c>
      <c r="D9" s="526"/>
      <c r="E9" s="526"/>
      <c r="F9" s="208"/>
    </row>
    <row r="10" spans="1:8" ht="18" customHeight="1" x14ac:dyDescent="0.55000000000000004">
      <c r="B10" s="180" t="s">
        <v>241</v>
      </c>
      <c r="C10" s="416" t="s">
        <v>351</v>
      </c>
      <c r="D10" s="256"/>
      <c r="E10" s="256"/>
      <c r="F10" s="213"/>
    </row>
    <row r="11" spans="1:8" ht="18" customHeight="1" x14ac:dyDescent="0.55000000000000004">
      <c r="B11" s="180" t="s">
        <v>243</v>
      </c>
      <c r="C11" s="527" t="s">
        <v>352</v>
      </c>
      <c r="D11" s="527"/>
      <c r="E11" s="52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2245565.1408725004</v>
      </c>
      <c r="E18" s="214"/>
      <c r="F18" s="214"/>
      <c r="G18" s="214">
        <v>1861057.3673248342</v>
      </c>
      <c r="H18" s="249">
        <f>(D18+E18)-G18</f>
        <v>384507.77354766615</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20225</v>
      </c>
      <c r="E21" s="216">
        <v>1993</v>
      </c>
      <c r="F21" s="216"/>
      <c r="G21" s="184">
        <v>300</v>
      </c>
      <c r="H21" s="217">
        <f>(D21+E21)-F21-G21</f>
        <v>21918</v>
      </c>
    </row>
    <row r="22" spans="1:8" ht="18" customHeight="1" x14ac:dyDescent="0.55000000000000004">
      <c r="A22" s="180" t="s">
        <v>112</v>
      </c>
      <c r="B22" s="176" t="s">
        <v>113</v>
      </c>
      <c r="D22" s="184"/>
      <c r="E22" s="216"/>
      <c r="F22" s="216"/>
      <c r="G22" s="184"/>
      <c r="H22" s="217">
        <f t="shared" ref="H22:H34" si="0">(D22+E22)-F22-G22</f>
        <v>0</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c r="E24" s="216"/>
      <c r="F24" s="216"/>
      <c r="G24" s="184"/>
      <c r="H24" s="217">
        <f t="shared" si="0"/>
        <v>0</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v>4333</v>
      </c>
      <c r="E29" s="216">
        <v>0</v>
      </c>
      <c r="F29" s="216"/>
      <c r="G29" s="184">
        <v>0</v>
      </c>
      <c r="H29" s="217">
        <f t="shared" si="0"/>
        <v>4333</v>
      </c>
    </row>
    <row r="30" spans="1:8" ht="18" customHeight="1" x14ac:dyDescent="0.55000000000000004">
      <c r="A30" s="180" t="s">
        <v>128</v>
      </c>
      <c r="B30" s="185" t="s">
        <v>445</v>
      </c>
      <c r="D30" s="184">
        <v>172404</v>
      </c>
      <c r="E30" s="216">
        <v>53964</v>
      </c>
      <c r="F30" s="216"/>
      <c r="G30" s="184">
        <v>0</v>
      </c>
      <c r="H30" s="217">
        <f t="shared" si="0"/>
        <v>226368</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196962</v>
      </c>
      <c r="E36" s="217">
        <f>SUM(E21:E34)</f>
        <v>55957</v>
      </c>
      <c r="F36" s="217">
        <f>SUM(F21:F34)</f>
        <v>0</v>
      </c>
      <c r="G36" s="217">
        <f>SUM(G21:G34)</f>
        <v>300</v>
      </c>
      <c r="H36" s="217">
        <f>SUM(H21:H34)</f>
        <v>252619</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184">
        <v>4015</v>
      </c>
      <c r="E41" s="216">
        <v>1233</v>
      </c>
      <c r="F41" s="216"/>
      <c r="G41" s="184">
        <v>0</v>
      </c>
      <c r="H41" s="217">
        <f t="shared" ref="H41:H47" si="1">(D41+E41)-F41-G41</f>
        <v>5248</v>
      </c>
    </row>
    <row r="42" spans="1:8" ht="18" customHeight="1" x14ac:dyDescent="0.55000000000000004">
      <c r="A42" s="180" t="s">
        <v>252</v>
      </c>
      <c r="B42" s="176" t="s">
        <v>143</v>
      </c>
      <c r="D42" s="184"/>
      <c r="E42" s="216"/>
      <c r="F42" s="216"/>
      <c r="G42" s="184"/>
      <c r="H42" s="217">
        <f t="shared" si="1"/>
        <v>0</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4015</v>
      </c>
      <c r="E49" s="217">
        <f>SUM(E40:E47)</f>
        <v>1233</v>
      </c>
      <c r="F49" s="217">
        <f>SUM(F40:F47)</f>
        <v>0</v>
      </c>
      <c r="G49" s="217">
        <f>SUM(G40:G47)</f>
        <v>0</v>
      </c>
      <c r="H49" s="217">
        <f>SUM(H40:H47)</f>
        <v>5248</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222"/>
      <c r="E53" s="222"/>
      <c r="F53" s="222"/>
      <c r="G53" s="222"/>
      <c r="H53" s="217">
        <f>(D53+E53)-F53-G53</f>
        <v>0</v>
      </c>
    </row>
    <row r="54" spans="1:8" ht="18" customHeight="1" x14ac:dyDescent="0.55000000000000004">
      <c r="A54" s="180" t="s">
        <v>259</v>
      </c>
      <c r="B54" s="193" t="s">
        <v>355</v>
      </c>
      <c r="D54" s="184">
        <v>2192746</v>
      </c>
      <c r="E54" s="216">
        <v>686329</v>
      </c>
      <c r="F54" s="216"/>
      <c r="G54" s="184">
        <v>0</v>
      </c>
      <c r="H54" s="217">
        <f t="shared" ref="H54:H62" si="2">(D54+E54)-F54-G54</f>
        <v>2879075</v>
      </c>
    </row>
    <row r="55" spans="1:8" ht="18" customHeight="1" x14ac:dyDescent="0.55000000000000004">
      <c r="A55" s="180" t="s">
        <v>260</v>
      </c>
      <c r="B55" s="194" t="s">
        <v>446</v>
      </c>
      <c r="D55" s="184">
        <v>20048</v>
      </c>
      <c r="E55" s="216">
        <v>80586</v>
      </c>
      <c r="F55" s="216"/>
      <c r="G55" s="184">
        <v>0</v>
      </c>
      <c r="H55" s="217">
        <f t="shared" si="2"/>
        <v>100634</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2212794</v>
      </c>
      <c r="E64" s="217">
        <f>SUM(E53:E62)</f>
        <v>766915</v>
      </c>
      <c r="F64" s="217">
        <f>SUM(F53:F62)</f>
        <v>0</v>
      </c>
      <c r="G64" s="217">
        <f>SUM(G53:G62)</f>
        <v>0</v>
      </c>
      <c r="H64" s="217">
        <f>SUM(H53:H62)</f>
        <v>2979709</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c r="E79" s="230"/>
      <c r="F79" s="220"/>
      <c r="G79" s="184"/>
      <c r="H79" s="217">
        <f>(D79-F79-G79)</f>
        <v>0</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0</v>
      </c>
      <c r="E82" s="231"/>
      <c r="F82" s="217">
        <f>SUM(F77:F80)</f>
        <v>0</v>
      </c>
      <c r="G82" s="217">
        <f>SUM(G77:G80)</f>
        <v>0</v>
      </c>
      <c r="H82" s="217">
        <f>SUM(H77:H80)</f>
        <v>0</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c r="E88" s="216"/>
      <c r="F88" s="216"/>
      <c r="G88" s="184"/>
      <c r="H88" s="217">
        <f t="shared" si="3"/>
        <v>0</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c r="E90" s="216"/>
      <c r="F90" s="216"/>
      <c r="G90" s="184"/>
      <c r="H90" s="217">
        <f t="shared" si="3"/>
        <v>0</v>
      </c>
    </row>
    <row r="91" spans="1:8" ht="18" customHeight="1" x14ac:dyDescent="0.55000000000000004">
      <c r="A91" s="180" t="s">
        <v>292</v>
      </c>
      <c r="B91" s="176" t="s">
        <v>185</v>
      </c>
      <c r="D91" s="184"/>
      <c r="E91" s="216"/>
      <c r="F91" s="216"/>
      <c r="G91" s="184"/>
      <c r="H91" s="217">
        <f t="shared" si="3"/>
        <v>0</v>
      </c>
    </row>
    <row r="92" spans="1:8" ht="18" customHeight="1" x14ac:dyDescent="0.55000000000000004">
      <c r="A92" s="180" t="s">
        <v>293</v>
      </c>
      <c r="B92" s="176" t="s">
        <v>294</v>
      </c>
      <c r="D92" s="233"/>
      <c r="E92" s="216"/>
      <c r="F92" s="234"/>
      <c r="G92" s="233"/>
      <c r="H92" s="217">
        <f t="shared" si="3"/>
        <v>0</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0</v>
      </c>
      <c r="E98" s="217">
        <f>SUM(E86:E96)</f>
        <v>0</v>
      </c>
      <c r="F98" s="217">
        <f>SUM(F86:F96)</f>
        <v>0</v>
      </c>
      <c r="G98" s="217">
        <f>SUM(G86:G96)</f>
        <v>0</v>
      </c>
      <c r="H98" s="217">
        <f>SUM(H86:H96)</f>
        <v>0</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34812</v>
      </c>
      <c r="E102" s="216">
        <v>10896</v>
      </c>
      <c r="F102" s="216"/>
      <c r="G102" s="184">
        <v>0</v>
      </c>
      <c r="H102" s="217">
        <f>(D102+E102)-F102-G102</f>
        <v>45708</v>
      </c>
    </row>
    <row r="103" spans="1:8" ht="18" customHeight="1" x14ac:dyDescent="0.55000000000000004">
      <c r="A103" s="180" t="s">
        <v>304</v>
      </c>
      <c r="B103" s="176" t="s">
        <v>199</v>
      </c>
      <c r="D103" s="184">
        <v>404</v>
      </c>
      <c r="E103" s="216">
        <v>128</v>
      </c>
      <c r="F103" s="216"/>
      <c r="G103" s="184">
        <v>0</v>
      </c>
      <c r="H103" s="217">
        <f>(D103+E103)-F103-G103</f>
        <v>532</v>
      </c>
    </row>
    <row r="104" spans="1:8" ht="18" customHeight="1" x14ac:dyDescent="0.55000000000000004">
      <c r="A104" s="180" t="s">
        <v>305</v>
      </c>
      <c r="B104" s="193" t="s">
        <v>201</v>
      </c>
      <c r="D104" s="184">
        <v>1929</v>
      </c>
      <c r="E104" s="216">
        <v>291</v>
      </c>
      <c r="F104" s="216"/>
      <c r="G104" s="184">
        <v>0</v>
      </c>
      <c r="H104" s="217">
        <f>(D104+E104)-F104-G104</f>
        <v>2220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37145</v>
      </c>
      <c r="E108" s="217">
        <f>SUM(E102:E106)</f>
        <v>11315</v>
      </c>
      <c r="F108" s="217">
        <f>SUM(F102:F106)</f>
        <v>0</v>
      </c>
      <c r="G108" s="217">
        <f>SUM(G102:G106)</f>
        <v>0</v>
      </c>
      <c r="H108" s="217">
        <f>SUM(H102:H106)</f>
        <v>48460</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4751018</v>
      </c>
      <c r="G111" s="184"/>
      <c r="H111" s="217">
        <f>F111-G111</f>
        <v>4751018</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0.313</v>
      </c>
      <c r="F114" s="235" t="s">
        <v>429</v>
      </c>
      <c r="G114" s="236">
        <v>0</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116369884</v>
      </c>
      <c r="F117" s="237"/>
    </row>
    <row r="118" spans="1:7" ht="18" customHeight="1" x14ac:dyDescent="0.55000000000000004">
      <c r="A118" s="180" t="s">
        <v>319</v>
      </c>
      <c r="B118" s="176" t="s">
        <v>320</v>
      </c>
      <c r="E118" s="184">
        <v>5743755</v>
      </c>
      <c r="F118" s="237"/>
    </row>
    <row r="119" spans="1:7" ht="18" customHeight="1" x14ac:dyDescent="0.55000000000000004">
      <c r="A119" s="180" t="s">
        <v>321</v>
      </c>
      <c r="B119" s="179" t="s">
        <v>322</v>
      </c>
      <c r="E119" s="217">
        <f>SUM(E117:E118)</f>
        <v>122113639</v>
      </c>
      <c r="F119" s="238"/>
    </row>
    <row r="120" spans="1:7" ht="18" customHeight="1" x14ac:dyDescent="0.55000000000000004">
      <c r="A120" s="180"/>
      <c r="B120" s="179"/>
      <c r="F120" s="212"/>
    </row>
    <row r="121" spans="1:7" ht="18" customHeight="1" x14ac:dyDescent="0.55000000000000004">
      <c r="A121" s="180" t="s">
        <v>323</v>
      </c>
      <c r="B121" s="179" t="s">
        <v>324</v>
      </c>
      <c r="E121" s="184">
        <v>123537343</v>
      </c>
      <c r="F121" s="237"/>
    </row>
    <row r="122" spans="1:7" ht="18" customHeight="1" x14ac:dyDescent="0.55000000000000004">
      <c r="A122" s="180"/>
      <c r="F122" s="212"/>
    </row>
    <row r="123" spans="1:7" ht="18" customHeight="1" x14ac:dyDescent="0.55000000000000004">
      <c r="A123" s="180" t="s">
        <v>325</v>
      </c>
      <c r="B123" s="179" t="s">
        <v>326</v>
      </c>
      <c r="E123" s="184">
        <v>-1423703</v>
      </c>
      <c r="F123" s="237"/>
    </row>
    <row r="124" spans="1:7" ht="18" customHeight="1" x14ac:dyDescent="0.55000000000000004">
      <c r="A124" s="180"/>
      <c r="F124" s="212"/>
    </row>
    <row r="125" spans="1:7" ht="18" customHeight="1" x14ac:dyDescent="0.55000000000000004">
      <c r="A125" s="180" t="s">
        <v>327</v>
      </c>
      <c r="B125" s="179" t="s">
        <v>328</v>
      </c>
      <c r="E125" s="184">
        <v>-471497</v>
      </c>
      <c r="F125" s="237"/>
    </row>
    <row r="126" spans="1:7" ht="18" customHeight="1" x14ac:dyDescent="0.55000000000000004">
      <c r="A126" s="180"/>
      <c r="F126" s="212"/>
    </row>
    <row r="127" spans="1:7" ht="18" customHeight="1" x14ac:dyDescent="0.55000000000000004">
      <c r="A127" s="180" t="s">
        <v>329</v>
      </c>
      <c r="B127" s="179" t="s">
        <v>330</v>
      </c>
      <c r="E127" s="184">
        <v>-1895200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196962</v>
      </c>
      <c r="E141" s="239">
        <f>E36</f>
        <v>55957</v>
      </c>
      <c r="F141" s="239">
        <f>F36</f>
        <v>0</v>
      </c>
      <c r="G141" s="239">
        <f>G36</f>
        <v>300</v>
      </c>
      <c r="H141" s="239">
        <f>H36</f>
        <v>252619</v>
      </c>
    </row>
    <row r="142" spans="1:8" ht="18" customHeight="1" x14ac:dyDescent="0.55000000000000004">
      <c r="A142" s="180" t="s">
        <v>150</v>
      </c>
      <c r="B142" s="179" t="s">
        <v>220</v>
      </c>
      <c r="D142" s="239">
        <f>D49</f>
        <v>4015</v>
      </c>
      <c r="E142" s="239">
        <f>E49</f>
        <v>1233</v>
      </c>
      <c r="F142" s="239">
        <f>F49</f>
        <v>0</v>
      </c>
      <c r="G142" s="239">
        <f>G49</f>
        <v>0</v>
      </c>
      <c r="H142" s="239">
        <f>H49</f>
        <v>5248</v>
      </c>
    </row>
    <row r="143" spans="1:8" ht="18" customHeight="1" x14ac:dyDescent="0.55000000000000004">
      <c r="A143" s="180" t="s">
        <v>269</v>
      </c>
      <c r="B143" s="179" t="s">
        <v>222</v>
      </c>
      <c r="D143" s="239">
        <f>D64</f>
        <v>2212794</v>
      </c>
      <c r="E143" s="239">
        <f>E64</f>
        <v>766915</v>
      </c>
      <c r="F143" s="239">
        <f>F64</f>
        <v>0</v>
      </c>
      <c r="G143" s="239">
        <f>G64</f>
        <v>0</v>
      </c>
      <c r="H143" s="239">
        <f>H64</f>
        <v>2979709</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0</v>
      </c>
      <c r="E145" s="239">
        <f>E82</f>
        <v>0</v>
      </c>
      <c r="F145" s="239">
        <f>F82</f>
        <v>0</v>
      </c>
      <c r="G145" s="239">
        <f>G82</f>
        <v>0</v>
      </c>
      <c r="H145" s="239">
        <f>H82</f>
        <v>0</v>
      </c>
    </row>
    <row r="146" spans="1:8" ht="18" customHeight="1" x14ac:dyDescent="0.55000000000000004">
      <c r="A146" s="180" t="s">
        <v>193</v>
      </c>
      <c r="B146" s="179" t="s">
        <v>226</v>
      </c>
      <c r="D146" s="239">
        <f>D98</f>
        <v>0</v>
      </c>
      <c r="E146" s="239">
        <f>E98</f>
        <v>0</v>
      </c>
      <c r="F146" s="239">
        <f>F98</f>
        <v>0</v>
      </c>
      <c r="G146" s="239">
        <f>G98</f>
        <v>0</v>
      </c>
      <c r="H146" s="239">
        <f>H98</f>
        <v>0</v>
      </c>
    </row>
    <row r="147" spans="1:8" ht="18" customHeight="1" x14ac:dyDescent="0.55000000000000004">
      <c r="A147" s="180" t="s">
        <v>204</v>
      </c>
      <c r="B147" s="179" t="s">
        <v>71</v>
      </c>
      <c r="D147" s="217">
        <f>D108</f>
        <v>37145</v>
      </c>
      <c r="E147" s="217">
        <f>E108</f>
        <v>11315</v>
      </c>
      <c r="F147" s="217">
        <f>F108</f>
        <v>0</v>
      </c>
      <c r="G147" s="217">
        <f>G108</f>
        <v>0</v>
      </c>
      <c r="H147" s="217">
        <f>H108</f>
        <v>48460</v>
      </c>
    </row>
    <row r="148" spans="1:8" ht="18" customHeight="1" x14ac:dyDescent="0.55000000000000004">
      <c r="A148" s="180" t="s">
        <v>310</v>
      </c>
      <c r="B148" s="179" t="s">
        <v>58</v>
      </c>
      <c r="D148" s="240" t="s">
        <v>245</v>
      </c>
      <c r="E148" s="240" t="s">
        <v>245</v>
      </c>
      <c r="F148" s="240"/>
      <c r="G148" s="240" t="s">
        <v>245</v>
      </c>
      <c r="H148" s="239">
        <f>H111</f>
        <v>4751018</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2245565.1408725004</v>
      </c>
      <c r="E150" s="217">
        <f>E18</f>
        <v>0</v>
      </c>
      <c r="F150" s="217">
        <f>F18</f>
        <v>0</v>
      </c>
      <c r="G150" s="217">
        <f>G18</f>
        <v>1861057.3673248342</v>
      </c>
      <c r="H150" s="217">
        <f>H18</f>
        <v>384507.77354766615</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4696481.1408725008</v>
      </c>
      <c r="E152" s="241">
        <f>SUM(E141:E150)</f>
        <v>835420</v>
      </c>
      <c r="F152" s="241">
        <f>SUM(F141:F150)</f>
        <v>0</v>
      </c>
      <c r="G152" s="241">
        <f>SUM(G141:G150)</f>
        <v>1861357.3673248342</v>
      </c>
      <c r="H152" s="241">
        <f>SUM(H141:H150)</f>
        <v>8421561.7735476661</v>
      </c>
    </row>
    <row r="154" spans="1:8" ht="18" customHeight="1" x14ac:dyDescent="0.55000000000000004">
      <c r="A154" s="183" t="s">
        <v>339</v>
      </c>
      <c r="B154" s="179" t="s">
        <v>340</v>
      </c>
      <c r="D154" s="242">
        <f>H152/E121</f>
        <v>6.8170170808576208E-2</v>
      </c>
    </row>
    <row r="155" spans="1:8" ht="18" customHeight="1" x14ac:dyDescent="0.55000000000000004">
      <c r="A155" s="183" t="s">
        <v>341</v>
      </c>
      <c r="B155" s="179" t="s">
        <v>342</v>
      </c>
      <c r="D155" s="242">
        <f>H152/E127</f>
        <v>-4.4436269383430069</v>
      </c>
    </row>
  </sheetData>
  <mergeCells count="5">
    <mergeCell ref="C2:D2"/>
    <mergeCell ref="C5:E5"/>
    <mergeCell ref="C9:E9"/>
    <mergeCell ref="C11:E11"/>
    <mergeCell ref="B13:D13"/>
  </mergeCells>
  <hyperlinks>
    <hyperlink ref="C11" r:id="rId1" xr:uid="{1C69BAF3-FCA9-44C5-8C90-54E0E1CB7B60}"/>
  </hyperlinks>
  <pageMargins left="0.7" right="0.7" top="0.75" bottom="0.75" header="0.3" footer="0.3"/>
  <pageSetup orientation="portrait" horizontalDpi="1200" verticalDpi="1200"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7FFC7-5EC2-466E-98DB-81331171210D}">
  <sheetPr codeName="Sheet56"/>
  <dimension ref="A1:K158"/>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17.26171875" style="176" customWidth="1"/>
    <col min="5" max="6" width="21.26171875" style="176" customWidth="1"/>
    <col min="7" max="7" width="19.68359375" style="176" customWidth="1"/>
    <col min="8" max="8" width="17.578125" style="176" customWidth="1"/>
    <col min="9" max="9" width="11.68359375" customWidth="1"/>
    <col min="10" max="10" width="11.26171875" style="176" bestFit="1" customWidth="1"/>
    <col min="11" max="11" width="10.26171875" style="176" bestFit="1" customWidth="1"/>
    <col min="12" max="16384" width="9" style="176"/>
  </cols>
  <sheetData>
    <row r="1" spans="1:8" ht="18" customHeight="1" x14ac:dyDescent="0.55000000000000004">
      <c r="C1" s="177"/>
      <c r="D1" s="177"/>
      <c r="E1" s="177"/>
      <c r="F1" s="177"/>
      <c r="G1" s="177"/>
      <c r="H1" s="177"/>
    </row>
    <row r="2" spans="1:8" ht="18" customHeight="1" x14ac:dyDescent="0.55000000000000004">
      <c r="C2" s="517" t="s">
        <v>699</v>
      </c>
      <c r="D2" s="518"/>
      <c r="E2" s="518"/>
      <c r="F2" s="518"/>
      <c r="G2" s="518"/>
    </row>
    <row r="3" spans="1:8" ht="18" customHeight="1" x14ac:dyDescent="0.55000000000000004">
      <c r="B3" s="179" t="s">
        <v>235</v>
      </c>
    </row>
    <row r="5" spans="1:8" ht="18" customHeight="1" x14ac:dyDescent="0.55000000000000004">
      <c r="B5" s="180" t="s">
        <v>236</v>
      </c>
      <c r="C5" s="528" t="s">
        <v>45</v>
      </c>
      <c r="D5" s="528"/>
      <c r="E5" s="528"/>
      <c r="F5" s="208"/>
    </row>
    <row r="6" spans="1:8" ht="18" customHeight="1" x14ac:dyDescent="0.55000000000000004">
      <c r="B6" s="180" t="s">
        <v>237</v>
      </c>
      <c r="C6" s="529">
        <v>210056</v>
      </c>
      <c r="D6" s="529"/>
      <c r="E6" s="529"/>
      <c r="F6" s="209"/>
    </row>
    <row r="7" spans="1:8" ht="18" customHeight="1" x14ac:dyDescent="0.55000000000000004">
      <c r="B7" s="180" t="s">
        <v>238</v>
      </c>
      <c r="C7" s="245">
        <v>1710</v>
      </c>
      <c r="D7" s="245"/>
      <c r="E7" s="245"/>
      <c r="F7" s="210"/>
    </row>
    <row r="8" spans="1:8" ht="18" customHeight="1" x14ac:dyDescent="0.55000000000000004">
      <c r="C8" s="255"/>
      <c r="D8" s="255"/>
      <c r="E8" s="255"/>
      <c r="F8" s="212"/>
    </row>
    <row r="9" spans="1:8" ht="18" customHeight="1" x14ac:dyDescent="0.55000000000000004">
      <c r="B9" s="180" t="s">
        <v>239</v>
      </c>
      <c r="C9" s="501" t="s">
        <v>701</v>
      </c>
      <c r="D9" s="501"/>
      <c r="E9" s="501"/>
      <c r="F9" s="208"/>
    </row>
    <row r="10" spans="1:8" ht="18" customHeight="1" x14ac:dyDescent="0.55000000000000004">
      <c r="B10" s="180" t="s">
        <v>241</v>
      </c>
      <c r="C10" s="513" t="s">
        <v>702</v>
      </c>
      <c r="D10" s="513"/>
      <c r="E10" s="513"/>
      <c r="F10" s="213"/>
    </row>
    <row r="11" spans="1:8" ht="18" customHeight="1" x14ac:dyDescent="0.55000000000000004">
      <c r="B11" s="180" t="s">
        <v>243</v>
      </c>
      <c r="C11" s="501" t="s">
        <v>704</v>
      </c>
      <c r="D11" s="501" t="s">
        <v>704</v>
      </c>
      <c r="E11" s="501" t="s">
        <v>704</v>
      </c>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4876356.2353294818</v>
      </c>
      <c r="E18" s="214"/>
      <c r="F18" s="214"/>
      <c r="G18" s="214">
        <v>4041378.5074763945</v>
      </c>
      <c r="H18" s="215">
        <f>(D18+E18)-G18</f>
        <v>834977.72785308724</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4025</v>
      </c>
      <c r="E21" s="184">
        <v>10832</v>
      </c>
      <c r="F21" s="216"/>
      <c r="G21" s="184">
        <v>0</v>
      </c>
      <c r="H21" s="217">
        <v>14857</v>
      </c>
    </row>
    <row r="22" spans="1:8" ht="18" customHeight="1" x14ac:dyDescent="0.55000000000000004">
      <c r="A22" s="180" t="s">
        <v>112</v>
      </c>
      <c r="B22" s="176" t="s">
        <v>113</v>
      </c>
      <c r="D22" s="184">
        <v>2018</v>
      </c>
      <c r="E22" s="184">
        <v>0</v>
      </c>
      <c r="F22" s="216"/>
      <c r="G22" s="184">
        <v>0</v>
      </c>
      <c r="H22" s="217">
        <v>2018</v>
      </c>
    </row>
    <row r="23" spans="1:8" ht="18" customHeight="1" x14ac:dyDescent="0.55000000000000004">
      <c r="A23" s="180" t="s">
        <v>114</v>
      </c>
      <c r="B23" s="176" t="s">
        <v>115</v>
      </c>
      <c r="D23" s="184">
        <v>72674</v>
      </c>
      <c r="E23" s="184">
        <v>54254</v>
      </c>
      <c r="F23" s="216"/>
      <c r="G23" s="184">
        <v>6840</v>
      </c>
      <c r="H23" s="217">
        <v>120088</v>
      </c>
    </row>
    <row r="24" spans="1:8" ht="18" customHeight="1" x14ac:dyDescent="0.55000000000000004">
      <c r="A24" s="180" t="s">
        <v>116</v>
      </c>
      <c r="B24" s="176" t="s">
        <v>117</v>
      </c>
      <c r="D24" s="184">
        <v>272606</v>
      </c>
      <c r="E24" s="184">
        <v>228779</v>
      </c>
      <c r="F24" s="216"/>
      <c r="G24" s="184">
        <v>265653</v>
      </c>
      <c r="H24" s="217">
        <v>235732</v>
      </c>
    </row>
    <row r="25" spans="1:8" ht="18" customHeight="1" x14ac:dyDescent="0.55000000000000004">
      <c r="A25" s="180" t="s">
        <v>118</v>
      </c>
      <c r="B25" s="176" t="s">
        <v>119</v>
      </c>
      <c r="D25" s="184">
        <v>159296</v>
      </c>
      <c r="E25" s="184">
        <v>134257</v>
      </c>
      <c r="F25" s="216"/>
      <c r="G25" s="184">
        <v>140</v>
      </c>
      <c r="H25" s="217">
        <v>293413</v>
      </c>
    </row>
    <row r="26" spans="1:8" ht="18" customHeight="1" x14ac:dyDescent="0.55000000000000004">
      <c r="A26" s="180" t="s">
        <v>120</v>
      </c>
      <c r="B26" s="176" t="s">
        <v>121</v>
      </c>
      <c r="D26" s="184"/>
      <c r="E26" s="216"/>
      <c r="F26" s="216"/>
      <c r="G26" s="184"/>
      <c r="H26" s="217">
        <v>0</v>
      </c>
    </row>
    <row r="27" spans="1:8" ht="18" customHeight="1" x14ac:dyDescent="0.55000000000000004">
      <c r="A27" s="180" t="s">
        <v>122</v>
      </c>
      <c r="B27" s="176" t="s">
        <v>246</v>
      </c>
      <c r="D27" s="184"/>
      <c r="E27" s="216"/>
      <c r="F27" s="216"/>
      <c r="G27" s="184"/>
      <c r="H27" s="217">
        <v>0</v>
      </c>
    </row>
    <row r="28" spans="1:8" ht="18" customHeight="1" x14ac:dyDescent="0.55000000000000004">
      <c r="A28" s="180" t="s">
        <v>124</v>
      </c>
      <c r="B28" s="176" t="s">
        <v>125</v>
      </c>
      <c r="D28" s="184"/>
      <c r="E28" s="216"/>
      <c r="F28" s="216"/>
      <c r="G28" s="184"/>
      <c r="H28" s="217">
        <v>0</v>
      </c>
    </row>
    <row r="29" spans="1:8" ht="18" customHeight="1" x14ac:dyDescent="0.55000000000000004">
      <c r="A29" s="180" t="s">
        <v>126</v>
      </c>
      <c r="B29" s="176" t="s">
        <v>127</v>
      </c>
      <c r="D29" s="184">
        <v>406173</v>
      </c>
      <c r="E29" s="184">
        <v>53365</v>
      </c>
      <c r="F29" s="216"/>
      <c r="G29" s="184">
        <v>0</v>
      </c>
      <c r="H29" s="217">
        <v>459538</v>
      </c>
    </row>
    <row r="30" spans="1:8" ht="18" customHeight="1" x14ac:dyDescent="0.55000000000000004">
      <c r="A30" s="180" t="s">
        <v>128</v>
      </c>
      <c r="B30" s="185"/>
      <c r="D30" s="184"/>
      <c r="E30" s="216"/>
      <c r="F30" s="216"/>
      <c r="G30" s="184"/>
      <c r="H30" s="217">
        <v>0</v>
      </c>
    </row>
    <row r="31" spans="1:8" ht="18" customHeight="1" x14ac:dyDescent="0.55000000000000004">
      <c r="A31" s="180" t="s">
        <v>130</v>
      </c>
      <c r="B31" s="185"/>
      <c r="D31" s="184"/>
      <c r="E31" s="216"/>
      <c r="F31" s="216"/>
      <c r="G31" s="184"/>
      <c r="H31" s="217">
        <v>0</v>
      </c>
    </row>
    <row r="32" spans="1:8" ht="18" customHeight="1" x14ac:dyDescent="0.55000000000000004">
      <c r="A32" s="180" t="s">
        <v>131</v>
      </c>
      <c r="B32" s="185"/>
      <c r="D32" s="184"/>
      <c r="E32" s="216"/>
      <c r="F32" s="216"/>
      <c r="G32" s="184"/>
      <c r="H32" s="217">
        <v>0</v>
      </c>
    </row>
    <row r="33" spans="1:8" ht="18" customHeight="1" x14ac:dyDescent="0.55000000000000004">
      <c r="A33" s="180" t="s">
        <v>132</v>
      </c>
      <c r="B33" s="185"/>
      <c r="D33" s="184"/>
      <c r="E33" s="216"/>
      <c r="F33" s="216"/>
      <c r="G33" s="184"/>
      <c r="H33" s="217">
        <v>0</v>
      </c>
    </row>
    <row r="34" spans="1:8" ht="18" customHeight="1" x14ac:dyDescent="0.55000000000000004">
      <c r="A34" s="180" t="s">
        <v>133</v>
      </c>
      <c r="B34" s="185"/>
      <c r="D34" s="184"/>
      <c r="E34" s="216"/>
      <c r="F34" s="216"/>
      <c r="G34" s="184"/>
      <c r="H34" s="217">
        <v>0</v>
      </c>
    </row>
    <row r="35" spans="1:8" ht="18" customHeight="1" x14ac:dyDescent="0.55000000000000004">
      <c r="H35" s="186"/>
    </row>
    <row r="36" spans="1:8" ht="18" customHeight="1" x14ac:dyDescent="0.55000000000000004">
      <c r="A36" s="183" t="s">
        <v>134</v>
      </c>
      <c r="B36" s="179" t="s">
        <v>135</v>
      </c>
      <c r="C36" s="179" t="s">
        <v>248</v>
      </c>
      <c r="D36" s="217">
        <v>916792</v>
      </c>
      <c r="E36" s="217">
        <v>481487</v>
      </c>
      <c r="F36" s="217">
        <v>0</v>
      </c>
      <c r="G36" s="217">
        <v>272633</v>
      </c>
      <c r="H36" s="217">
        <v>1125646</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2978443</v>
      </c>
      <c r="E40" s="184">
        <v>2564439</v>
      </c>
      <c r="F40" s="216"/>
      <c r="G40" s="184">
        <v>0</v>
      </c>
      <c r="H40" s="217">
        <v>5542882</v>
      </c>
    </row>
    <row r="41" spans="1:8" ht="18" customHeight="1" x14ac:dyDescent="0.55000000000000004">
      <c r="A41" s="180" t="s">
        <v>251</v>
      </c>
      <c r="B41" s="176" t="s">
        <v>141</v>
      </c>
      <c r="D41" s="184">
        <v>1160144</v>
      </c>
      <c r="E41" s="184">
        <v>998313</v>
      </c>
      <c r="F41" s="216"/>
      <c r="G41" s="184">
        <v>0</v>
      </c>
      <c r="H41" s="217">
        <v>2158457</v>
      </c>
    </row>
    <row r="42" spans="1:8" ht="18" customHeight="1" x14ac:dyDescent="0.55000000000000004">
      <c r="A42" s="180" t="s">
        <v>252</v>
      </c>
      <c r="B42" s="176" t="s">
        <v>143</v>
      </c>
      <c r="D42" s="184"/>
      <c r="E42" s="216"/>
      <c r="F42" s="216"/>
      <c r="G42" s="184"/>
      <c r="H42" s="217">
        <v>0</v>
      </c>
    </row>
    <row r="43" spans="1:8" ht="18" customHeight="1" x14ac:dyDescent="0.55000000000000004">
      <c r="A43" s="180" t="s">
        <v>253</v>
      </c>
      <c r="B43" s="176" t="s">
        <v>145</v>
      </c>
      <c r="D43" s="184"/>
      <c r="E43" s="216"/>
      <c r="F43" s="216"/>
      <c r="G43" s="184"/>
      <c r="H43" s="217">
        <v>0</v>
      </c>
    </row>
    <row r="44" spans="1:8" ht="18" customHeight="1" x14ac:dyDescent="0.55000000000000004">
      <c r="A44" s="180" t="s">
        <v>146</v>
      </c>
      <c r="B44" s="185"/>
      <c r="D44" s="219"/>
      <c r="E44" s="220"/>
      <c r="F44" s="220"/>
      <c r="G44" s="219"/>
      <c r="H44" s="217">
        <v>0</v>
      </c>
    </row>
    <row r="45" spans="1:8" ht="18" customHeight="1" x14ac:dyDescent="0.55000000000000004">
      <c r="A45" s="180" t="s">
        <v>147</v>
      </c>
      <c r="B45" s="185"/>
      <c r="D45" s="184"/>
      <c r="E45" s="216"/>
      <c r="F45" s="216"/>
      <c r="G45" s="184"/>
      <c r="H45" s="217">
        <v>0</v>
      </c>
    </row>
    <row r="46" spans="1:8" ht="18" customHeight="1" x14ac:dyDescent="0.55000000000000004">
      <c r="A46" s="180" t="s">
        <v>148</v>
      </c>
      <c r="B46" s="185"/>
      <c r="D46" s="184"/>
      <c r="E46" s="216"/>
      <c r="F46" s="216"/>
      <c r="G46" s="184"/>
      <c r="H46" s="217">
        <v>0</v>
      </c>
    </row>
    <row r="47" spans="1:8" ht="18" customHeight="1" x14ac:dyDescent="0.55000000000000004">
      <c r="A47" s="180" t="s">
        <v>149</v>
      </c>
      <c r="B47" s="185"/>
      <c r="D47" s="184"/>
      <c r="E47" s="216"/>
      <c r="F47" s="216"/>
      <c r="G47" s="184"/>
      <c r="H47" s="217">
        <v>0</v>
      </c>
    </row>
    <row r="49" spans="1:8" ht="18" customHeight="1" x14ac:dyDescent="0.55000000000000004">
      <c r="A49" s="183" t="s">
        <v>150</v>
      </c>
      <c r="B49" s="179" t="s">
        <v>254</v>
      </c>
      <c r="C49" s="179" t="s">
        <v>248</v>
      </c>
      <c r="D49" s="217">
        <v>4138587</v>
      </c>
      <c r="E49" s="217">
        <v>3562752</v>
      </c>
      <c r="F49" s="217">
        <v>0</v>
      </c>
      <c r="G49" s="217">
        <v>0</v>
      </c>
      <c r="H49" s="217">
        <v>7701339</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184">
        <v>12312058</v>
      </c>
      <c r="E53" s="184">
        <v>0</v>
      </c>
      <c r="F53" s="222"/>
      <c r="G53" s="184">
        <v>4875724</v>
      </c>
      <c r="H53" s="217">
        <v>7436334</v>
      </c>
    </row>
    <row r="54" spans="1:8" ht="18" customHeight="1" x14ac:dyDescent="0.55000000000000004">
      <c r="A54" s="180" t="s">
        <v>259</v>
      </c>
      <c r="B54" s="193"/>
      <c r="D54" s="184"/>
      <c r="E54" s="216"/>
      <c r="F54" s="216"/>
      <c r="G54" s="184"/>
      <c r="H54" s="217">
        <v>0</v>
      </c>
    </row>
    <row r="55" spans="1:8" ht="18" customHeight="1" x14ac:dyDescent="0.55000000000000004">
      <c r="A55" s="180" t="s">
        <v>260</v>
      </c>
      <c r="B55" s="194"/>
      <c r="D55" s="184"/>
      <c r="E55" s="216"/>
      <c r="F55" s="216"/>
      <c r="G55" s="184"/>
      <c r="H55" s="217">
        <v>0</v>
      </c>
    </row>
    <row r="56" spans="1:8" ht="18" customHeight="1" x14ac:dyDescent="0.55000000000000004">
      <c r="A56" s="180" t="s">
        <v>261</v>
      </c>
      <c r="B56" s="193"/>
      <c r="D56" s="184"/>
      <c r="E56" s="216"/>
      <c r="F56" s="216"/>
      <c r="G56" s="184"/>
      <c r="H56" s="217">
        <v>0</v>
      </c>
    </row>
    <row r="57" spans="1:8" ht="18" customHeight="1" x14ac:dyDescent="0.55000000000000004">
      <c r="A57" s="180" t="s">
        <v>263</v>
      </c>
      <c r="B57" s="193"/>
      <c r="D57" s="184"/>
      <c r="E57" s="216"/>
      <c r="F57" s="216"/>
      <c r="G57" s="184"/>
      <c r="H57" s="217">
        <v>0</v>
      </c>
    </row>
    <row r="58" spans="1:8" ht="18" customHeight="1" x14ac:dyDescent="0.55000000000000004">
      <c r="A58" s="180" t="s">
        <v>264</v>
      </c>
      <c r="B58" s="193"/>
      <c r="D58" s="184"/>
      <c r="E58" s="216"/>
      <c r="F58" s="216"/>
      <c r="G58" s="184"/>
      <c r="H58" s="217">
        <v>0</v>
      </c>
    </row>
    <row r="59" spans="1:8" ht="18" customHeight="1" x14ac:dyDescent="0.55000000000000004">
      <c r="A59" s="180" t="s">
        <v>265</v>
      </c>
      <c r="B59" s="223"/>
      <c r="D59" s="224"/>
      <c r="E59" s="225"/>
      <c r="F59" s="225"/>
      <c r="G59" s="224"/>
      <c r="H59" s="217">
        <v>0</v>
      </c>
    </row>
    <row r="60" spans="1:8" ht="18" customHeight="1" x14ac:dyDescent="0.55000000000000004">
      <c r="A60" s="180" t="s">
        <v>266</v>
      </c>
      <c r="B60" s="226"/>
      <c r="C60" s="212"/>
      <c r="D60" s="222"/>
      <c r="E60" s="222"/>
      <c r="F60" s="222"/>
      <c r="G60" s="222"/>
      <c r="H60" s="217">
        <v>0</v>
      </c>
    </row>
    <row r="61" spans="1:8" ht="18" customHeight="1" x14ac:dyDescent="0.55000000000000004">
      <c r="A61" s="180" t="s">
        <v>267</v>
      </c>
      <c r="B61" s="226"/>
      <c r="C61" s="212"/>
      <c r="D61" s="222"/>
      <c r="E61" s="222"/>
      <c r="F61" s="222"/>
      <c r="G61" s="222"/>
      <c r="H61" s="217">
        <v>0</v>
      </c>
    </row>
    <row r="62" spans="1:8" ht="18" customHeight="1" x14ac:dyDescent="0.55000000000000004">
      <c r="A62" s="180" t="s">
        <v>268</v>
      </c>
      <c r="B62" s="226"/>
      <c r="C62" s="212"/>
      <c r="D62" s="222"/>
      <c r="E62" s="222"/>
      <c r="F62" s="222"/>
      <c r="G62" s="222"/>
      <c r="H62" s="217">
        <v>0</v>
      </c>
    </row>
    <row r="63" spans="1:8" ht="18" customHeight="1" x14ac:dyDescent="0.55000000000000004">
      <c r="A63" s="180"/>
      <c r="E63" s="227"/>
      <c r="F63" s="192"/>
    </row>
    <row r="64" spans="1:8" ht="18" customHeight="1" x14ac:dyDescent="0.55000000000000004">
      <c r="A64" s="180" t="s">
        <v>269</v>
      </c>
      <c r="B64" s="179" t="s">
        <v>270</v>
      </c>
      <c r="C64" s="179" t="s">
        <v>248</v>
      </c>
      <c r="D64" s="217">
        <v>12312058</v>
      </c>
      <c r="E64" s="217">
        <v>0</v>
      </c>
      <c r="F64" s="217">
        <v>0</v>
      </c>
      <c r="G64" s="217">
        <v>4875724</v>
      </c>
      <c r="H64" s="217">
        <v>7436334</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v>0</v>
      </c>
      <c r="J68" s="254"/>
    </row>
    <row r="69" spans="1:10" ht="18" customHeight="1" x14ac:dyDescent="0.55000000000000004">
      <c r="A69" s="180" t="s">
        <v>273</v>
      </c>
      <c r="B69" s="176" t="s">
        <v>159</v>
      </c>
      <c r="D69" s="228"/>
      <c r="E69" s="216"/>
      <c r="F69" s="216"/>
      <c r="G69" s="228"/>
      <c r="H69" s="217">
        <v>0</v>
      </c>
    </row>
    <row r="70" spans="1:10" ht="18" customHeight="1" x14ac:dyDescent="0.55000000000000004">
      <c r="A70" s="180" t="s">
        <v>274</v>
      </c>
      <c r="B70" s="193"/>
      <c r="C70" s="179"/>
      <c r="D70" s="224"/>
      <c r="E70" s="216"/>
      <c r="F70" s="225"/>
      <c r="G70" s="224"/>
      <c r="H70" s="217">
        <v>0</v>
      </c>
    </row>
    <row r="71" spans="1:10" ht="18" customHeight="1" x14ac:dyDescent="0.55000000000000004">
      <c r="A71" s="180" t="s">
        <v>275</v>
      </c>
      <c r="B71" s="193"/>
      <c r="C71" s="179"/>
      <c r="D71" s="224"/>
      <c r="E71" s="216"/>
      <c r="F71" s="225"/>
      <c r="G71" s="224"/>
      <c r="H71" s="217">
        <v>0</v>
      </c>
    </row>
    <row r="72" spans="1:10" ht="18" customHeight="1" x14ac:dyDescent="0.55000000000000004">
      <c r="A72" s="180" t="s">
        <v>276</v>
      </c>
      <c r="B72" s="194"/>
      <c r="C72" s="179"/>
      <c r="D72" s="184"/>
      <c r="E72" s="216"/>
      <c r="F72" s="216"/>
      <c r="G72" s="184"/>
      <c r="H72" s="217">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v>0</v>
      </c>
      <c r="E74" s="229">
        <v>0</v>
      </c>
      <c r="F74" s="229">
        <v>0</v>
      </c>
      <c r="G74" s="217">
        <v>0</v>
      </c>
      <c r="H74" s="217">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13037</v>
      </c>
      <c r="E77" s="230"/>
      <c r="F77" s="220"/>
      <c r="G77" s="184">
        <v>0</v>
      </c>
      <c r="H77" s="217">
        <v>13037</v>
      </c>
    </row>
    <row r="78" spans="1:10" ht="18" customHeight="1" x14ac:dyDescent="0.55000000000000004">
      <c r="A78" s="180" t="s">
        <v>281</v>
      </c>
      <c r="B78" s="176" t="s">
        <v>166</v>
      </c>
      <c r="D78" s="184"/>
      <c r="E78" s="230"/>
      <c r="F78" s="220"/>
      <c r="G78" s="184"/>
      <c r="H78" s="217">
        <v>0</v>
      </c>
    </row>
    <row r="79" spans="1:10" ht="18" customHeight="1" x14ac:dyDescent="0.55000000000000004">
      <c r="A79" s="180" t="s">
        <v>282</v>
      </c>
      <c r="B79" s="176" t="s">
        <v>168</v>
      </c>
      <c r="D79" s="184">
        <v>145800</v>
      </c>
      <c r="E79" s="230"/>
      <c r="F79" s="220"/>
      <c r="G79" s="184">
        <v>0</v>
      </c>
      <c r="H79" s="217">
        <v>145800</v>
      </c>
    </row>
    <row r="80" spans="1:10" ht="18" customHeight="1" x14ac:dyDescent="0.55000000000000004">
      <c r="A80" s="180" t="s">
        <v>283</v>
      </c>
      <c r="B80" s="176" t="s">
        <v>170</v>
      </c>
      <c r="D80" s="184"/>
      <c r="E80" s="230"/>
      <c r="F80" s="220"/>
      <c r="G80" s="184"/>
      <c r="H80" s="217">
        <v>0</v>
      </c>
    </row>
    <row r="81" spans="1:8" ht="18" customHeight="1" x14ac:dyDescent="0.55000000000000004">
      <c r="A81" s="180"/>
      <c r="H81" s="196"/>
    </row>
    <row r="82" spans="1:8" ht="18" customHeight="1" x14ac:dyDescent="0.55000000000000004">
      <c r="A82" s="180" t="s">
        <v>171</v>
      </c>
      <c r="B82" s="179" t="s">
        <v>284</v>
      </c>
      <c r="C82" s="179" t="s">
        <v>248</v>
      </c>
      <c r="D82" s="217">
        <v>158837</v>
      </c>
      <c r="E82" s="217">
        <v>0</v>
      </c>
      <c r="F82" s="217">
        <v>0</v>
      </c>
      <c r="G82" s="217">
        <v>0</v>
      </c>
      <c r="H82" s="217">
        <v>158837</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v>36000</v>
      </c>
      <c r="E86" s="184">
        <v>0</v>
      </c>
      <c r="F86" s="216"/>
      <c r="G86" s="184">
        <v>0</v>
      </c>
      <c r="H86" s="217">
        <v>36000</v>
      </c>
    </row>
    <row r="87" spans="1:8" ht="18" customHeight="1" x14ac:dyDescent="0.55000000000000004">
      <c r="A87" s="180" t="s">
        <v>287</v>
      </c>
      <c r="B87" s="176" t="s">
        <v>177</v>
      </c>
      <c r="D87" s="184"/>
      <c r="E87" s="184"/>
      <c r="F87" s="216"/>
      <c r="G87" s="184"/>
      <c r="H87" s="217">
        <v>0</v>
      </c>
    </row>
    <row r="88" spans="1:8" ht="18" customHeight="1" x14ac:dyDescent="0.55000000000000004">
      <c r="A88" s="180" t="s">
        <v>288</v>
      </c>
      <c r="B88" s="176" t="s">
        <v>289</v>
      </c>
      <c r="D88" s="184">
        <v>653605</v>
      </c>
      <c r="E88" s="184">
        <v>0</v>
      </c>
      <c r="F88" s="216"/>
      <c r="G88" s="184">
        <v>369023</v>
      </c>
      <c r="H88" s="217">
        <v>284582</v>
      </c>
    </row>
    <row r="89" spans="1:8" ht="18" customHeight="1" x14ac:dyDescent="0.55000000000000004">
      <c r="A89" s="180" t="s">
        <v>290</v>
      </c>
      <c r="B89" s="176" t="s">
        <v>181</v>
      </c>
      <c r="D89" s="184"/>
      <c r="E89" s="184"/>
      <c r="F89" s="216"/>
      <c r="G89" s="184"/>
      <c r="H89" s="217">
        <v>0</v>
      </c>
    </row>
    <row r="90" spans="1:8" ht="18" customHeight="1" x14ac:dyDescent="0.55000000000000004">
      <c r="A90" s="180" t="s">
        <v>291</v>
      </c>
      <c r="B90" s="176" t="s">
        <v>183</v>
      </c>
      <c r="D90" s="184"/>
      <c r="E90" s="184"/>
      <c r="F90" s="216"/>
      <c r="G90" s="184"/>
      <c r="H90" s="217">
        <v>0</v>
      </c>
    </row>
    <row r="91" spans="1:8" ht="18" customHeight="1" x14ac:dyDescent="0.55000000000000004">
      <c r="A91" s="180" t="s">
        <v>292</v>
      </c>
      <c r="B91" s="176" t="s">
        <v>185</v>
      </c>
      <c r="D91" s="184"/>
      <c r="E91" s="184"/>
      <c r="F91" s="216"/>
      <c r="G91" s="184"/>
      <c r="H91" s="217">
        <v>0</v>
      </c>
    </row>
    <row r="92" spans="1:8" ht="18" customHeight="1" x14ac:dyDescent="0.55000000000000004">
      <c r="A92" s="180" t="s">
        <v>293</v>
      </c>
      <c r="B92" s="176" t="s">
        <v>294</v>
      </c>
      <c r="D92" s="184">
        <v>42701</v>
      </c>
      <c r="E92" s="184">
        <v>0</v>
      </c>
      <c r="F92" s="234"/>
      <c r="G92" s="184">
        <v>0</v>
      </c>
      <c r="H92" s="217">
        <v>42701</v>
      </c>
    </row>
    <row r="93" spans="1:8" ht="18" customHeight="1" x14ac:dyDescent="0.55000000000000004">
      <c r="A93" s="180" t="s">
        <v>295</v>
      </c>
      <c r="B93" s="176" t="s">
        <v>296</v>
      </c>
      <c r="D93" s="184">
        <v>17961</v>
      </c>
      <c r="E93" s="184">
        <v>0</v>
      </c>
      <c r="F93" s="216"/>
      <c r="G93" s="184">
        <v>0</v>
      </c>
      <c r="H93" s="217">
        <v>17961</v>
      </c>
    </row>
    <row r="94" spans="1:8" ht="18" customHeight="1" x14ac:dyDescent="0.55000000000000004">
      <c r="A94" s="180" t="s">
        <v>297</v>
      </c>
      <c r="B94" s="193"/>
      <c r="D94" s="184"/>
      <c r="E94" s="216"/>
      <c r="F94" s="216"/>
      <c r="G94" s="184"/>
      <c r="H94" s="217">
        <v>0</v>
      </c>
    </row>
    <row r="95" spans="1:8" ht="18" customHeight="1" x14ac:dyDescent="0.55000000000000004">
      <c r="A95" s="180" t="s">
        <v>298</v>
      </c>
      <c r="B95" s="193"/>
      <c r="D95" s="184"/>
      <c r="E95" s="216"/>
      <c r="F95" s="216"/>
      <c r="G95" s="184"/>
      <c r="H95" s="217">
        <v>0</v>
      </c>
    </row>
    <row r="96" spans="1:8" ht="18" customHeight="1" x14ac:dyDescent="0.55000000000000004">
      <c r="A96" s="180" t="s">
        <v>299</v>
      </c>
      <c r="B96" s="193"/>
      <c r="D96" s="184"/>
      <c r="E96" s="216"/>
      <c r="F96" s="216"/>
      <c r="G96" s="184"/>
      <c r="H96" s="217">
        <v>0</v>
      </c>
    </row>
    <row r="97" spans="1:8" ht="18" customHeight="1" x14ac:dyDescent="0.55000000000000004">
      <c r="A97" s="180"/>
    </row>
    <row r="98" spans="1:8" ht="18" customHeight="1" x14ac:dyDescent="0.55000000000000004">
      <c r="A98" s="183" t="s">
        <v>193</v>
      </c>
      <c r="B98" s="179" t="s">
        <v>300</v>
      </c>
      <c r="C98" s="179" t="s">
        <v>248</v>
      </c>
      <c r="D98" s="217">
        <v>750267</v>
      </c>
      <c r="E98" s="217">
        <v>0</v>
      </c>
      <c r="F98" s="217">
        <v>0</v>
      </c>
      <c r="G98" s="217">
        <v>369023</v>
      </c>
      <c r="H98" s="217">
        <v>381244</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201609</v>
      </c>
      <c r="E102" s="184">
        <v>100377</v>
      </c>
      <c r="F102" s="216"/>
      <c r="G102" s="184">
        <v>0</v>
      </c>
      <c r="H102" s="217">
        <v>301986</v>
      </c>
    </row>
    <row r="103" spans="1:8" ht="18" customHeight="1" x14ac:dyDescent="0.55000000000000004">
      <c r="A103" s="180" t="s">
        <v>304</v>
      </c>
      <c r="B103" s="176" t="s">
        <v>199</v>
      </c>
      <c r="D103" s="184">
        <v>4227</v>
      </c>
      <c r="E103" s="184">
        <v>0</v>
      </c>
      <c r="F103" s="216"/>
      <c r="G103" s="184">
        <v>0</v>
      </c>
      <c r="H103" s="217">
        <v>4227</v>
      </c>
    </row>
    <row r="104" spans="1:8" ht="18" customHeight="1" x14ac:dyDescent="0.55000000000000004">
      <c r="A104" s="180" t="s">
        <v>305</v>
      </c>
      <c r="B104" s="193" t="s">
        <v>201</v>
      </c>
      <c r="D104" s="184">
        <v>63701</v>
      </c>
      <c r="E104" s="184">
        <v>0</v>
      </c>
      <c r="F104" s="216"/>
      <c r="G104" s="184">
        <v>0</v>
      </c>
      <c r="H104" s="217">
        <v>63701</v>
      </c>
    </row>
    <row r="105" spans="1:8" ht="18" customHeight="1" x14ac:dyDescent="0.55000000000000004">
      <c r="A105" s="180" t="s">
        <v>306</v>
      </c>
      <c r="B105" s="193"/>
      <c r="D105" s="184"/>
      <c r="E105" s="216"/>
      <c r="F105" s="216"/>
      <c r="G105" s="184"/>
      <c r="H105" s="217">
        <v>0</v>
      </c>
    </row>
    <row r="106" spans="1:8" ht="18" customHeight="1" x14ac:dyDescent="0.55000000000000004">
      <c r="A106" s="180" t="s">
        <v>307</v>
      </c>
      <c r="B106" s="193"/>
      <c r="D106" s="184"/>
      <c r="E106" s="216"/>
      <c r="F106" s="216"/>
      <c r="G106" s="184"/>
      <c r="H106" s="217">
        <v>0</v>
      </c>
    </row>
    <row r="107" spans="1:8" ht="18" customHeight="1" x14ac:dyDescent="0.55000000000000004">
      <c r="B107" s="179"/>
    </row>
    <row r="108" spans="1:8" ht="18" customHeight="1" x14ac:dyDescent="0.55000000000000004">
      <c r="A108" s="183" t="s">
        <v>204</v>
      </c>
      <c r="B108" s="179" t="s">
        <v>308</v>
      </c>
      <c r="C108" s="179" t="s">
        <v>248</v>
      </c>
      <c r="D108" s="217">
        <v>269537</v>
      </c>
      <c r="E108" s="217">
        <v>100377</v>
      </c>
      <c r="F108" s="217">
        <v>0</v>
      </c>
      <c r="G108" s="217">
        <v>0</v>
      </c>
      <c r="H108" s="217">
        <v>369914</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5827941.2599999998</v>
      </c>
      <c r="G111" s="184"/>
      <c r="H111" s="217">
        <v>5827941.2599999998</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0.86119999999999997</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260049408.14999995</v>
      </c>
      <c r="F117" s="237"/>
    </row>
    <row r="118" spans="1:7" ht="18" customHeight="1" x14ac:dyDescent="0.55000000000000004">
      <c r="A118" s="180" t="s">
        <v>319</v>
      </c>
      <c r="B118" s="176" t="s">
        <v>320</v>
      </c>
      <c r="E118" s="184">
        <v>20468598.870000005</v>
      </c>
      <c r="F118" s="237"/>
    </row>
    <row r="119" spans="1:7" ht="18" customHeight="1" x14ac:dyDescent="0.55000000000000004">
      <c r="A119" s="180" t="s">
        <v>321</v>
      </c>
      <c r="B119" s="179" t="s">
        <v>322</v>
      </c>
      <c r="E119" s="217">
        <v>280518007.01999998</v>
      </c>
      <c r="F119" s="238"/>
    </row>
    <row r="120" spans="1:7" ht="18" customHeight="1" x14ac:dyDescent="0.55000000000000004">
      <c r="A120" s="180"/>
      <c r="B120" s="179"/>
      <c r="F120" s="212"/>
    </row>
    <row r="121" spans="1:7" ht="18" customHeight="1" x14ac:dyDescent="0.55000000000000004">
      <c r="A121" s="180" t="s">
        <v>323</v>
      </c>
      <c r="B121" s="179" t="s">
        <v>324</v>
      </c>
      <c r="E121" s="184">
        <v>292805276.94999999</v>
      </c>
      <c r="F121" s="237"/>
    </row>
    <row r="122" spans="1:7" ht="18" customHeight="1" x14ac:dyDescent="0.55000000000000004">
      <c r="A122" s="180"/>
      <c r="F122" s="212"/>
    </row>
    <row r="123" spans="1:7" ht="18" customHeight="1" x14ac:dyDescent="0.55000000000000004">
      <c r="A123" s="180" t="s">
        <v>325</v>
      </c>
      <c r="B123" s="179" t="s">
        <v>326</v>
      </c>
      <c r="E123" s="184">
        <v>-12287269.930000007</v>
      </c>
      <c r="F123" s="237"/>
    </row>
    <row r="124" spans="1:7" ht="18" customHeight="1" x14ac:dyDescent="0.55000000000000004">
      <c r="A124" s="180"/>
      <c r="F124" s="212"/>
    </row>
    <row r="125" spans="1:7" ht="18" customHeight="1" x14ac:dyDescent="0.55000000000000004">
      <c r="A125" s="180" t="s">
        <v>327</v>
      </c>
      <c r="B125" s="179" t="s">
        <v>328</v>
      </c>
      <c r="E125" s="184">
        <v>3755665.9700000007</v>
      </c>
      <c r="F125" s="237"/>
    </row>
    <row r="126" spans="1:7" ht="18" customHeight="1" x14ac:dyDescent="0.55000000000000004">
      <c r="A126" s="180"/>
      <c r="F126" s="212"/>
    </row>
    <row r="127" spans="1:7" ht="18" customHeight="1" x14ac:dyDescent="0.55000000000000004">
      <c r="A127" s="180" t="s">
        <v>329</v>
      </c>
      <c r="B127" s="179" t="s">
        <v>330</v>
      </c>
      <c r="E127" s="184">
        <v>-8531603.9600000065</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v>0</v>
      </c>
    </row>
    <row r="132" spans="1:8" ht="18" customHeight="1" x14ac:dyDescent="0.55000000000000004">
      <c r="A132" s="180" t="s">
        <v>333</v>
      </c>
      <c r="B132" s="176" t="s">
        <v>68</v>
      </c>
      <c r="D132" s="184"/>
      <c r="E132" s="216"/>
      <c r="F132" s="216"/>
      <c r="G132" s="184"/>
      <c r="H132" s="217">
        <v>0</v>
      </c>
    </row>
    <row r="133" spans="1:8" ht="18" customHeight="1" x14ac:dyDescent="0.55000000000000004">
      <c r="A133" s="180" t="s">
        <v>334</v>
      </c>
      <c r="B133" s="185"/>
      <c r="D133" s="184"/>
      <c r="E133" s="216"/>
      <c r="F133" s="216"/>
      <c r="G133" s="184"/>
      <c r="H133" s="217">
        <v>0</v>
      </c>
    </row>
    <row r="134" spans="1:8" ht="18" customHeight="1" x14ac:dyDescent="0.55000000000000004">
      <c r="A134" s="180" t="s">
        <v>335</v>
      </c>
      <c r="B134" s="185"/>
      <c r="D134" s="184"/>
      <c r="E134" s="216"/>
      <c r="F134" s="216"/>
      <c r="G134" s="184"/>
      <c r="H134" s="217">
        <v>0</v>
      </c>
    </row>
    <row r="135" spans="1:8" ht="18" customHeight="1" x14ac:dyDescent="0.55000000000000004">
      <c r="A135" s="180" t="s">
        <v>336</v>
      </c>
      <c r="B135" s="185"/>
      <c r="D135" s="184"/>
      <c r="E135" s="216"/>
      <c r="F135" s="216"/>
      <c r="G135" s="184"/>
      <c r="H135" s="217">
        <v>0</v>
      </c>
    </row>
    <row r="136" spans="1:8" ht="18" customHeight="1" x14ac:dyDescent="0.55000000000000004">
      <c r="A136" s="183"/>
    </row>
    <row r="137" spans="1:8" ht="18" customHeight="1" x14ac:dyDescent="0.55000000000000004">
      <c r="A137" s="183" t="s">
        <v>215</v>
      </c>
      <c r="B137" s="179" t="s">
        <v>337</v>
      </c>
      <c r="D137" s="217">
        <v>0</v>
      </c>
      <c r="E137" s="217">
        <v>0</v>
      </c>
      <c r="F137" s="217">
        <v>0</v>
      </c>
      <c r="G137" s="217">
        <v>0</v>
      </c>
      <c r="H137" s="217">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v>916792</v>
      </c>
      <c r="E141" s="239">
        <v>481487</v>
      </c>
      <c r="F141" s="239">
        <v>0</v>
      </c>
      <c r="G141" s="239">
        <v>272633</v>
      </c>
      <c r="H141" s="239">
        <v>1125646</v>
      </c>
    </row>
    <row r="142" spans="1:8" ht="18" customHeight="1" x14ac:dyDescent="0.55000000000000004">
      <c r="A142" s="180" t="s">
        <v>150</v>
      </c>
      <c r="B142" s="179" t="s">
        <v>220</v>
      </c>
      <c r="D142" s="239">
        <v>4138587</v>
      </c>
      <c r="E142" s="239">
        <v>3562752</v>
      </c>
      <c r="F142" s="239">
        <v>0</v>
      </c>
      <c r="G142" s="239">
        <v>0</v>
      </c>
      <c r="H142" s="239">
        <v>7701339</v>
      </c>
    </row>
    <row r="143" spans="1:8" ht="18" customHeight="1" x14ac:dyDescent="0.55000000000000004">
      <c r="A143" s="180" t="s">
        <v>269</v>
      </c>
      <c r="B143" s="179" t="s">
        <v>222</v>
      </c>
      <c r="D143" s="239">
        <v>12312058</v>
      </c>
      <c r="E143" s="239">
        <v>0</v>
      </c>
      <c r="F143" s="239">
        <v>0</v>
      </c>
      <c r="G143" s="239">
        <v>4875724</v>
      </c>
      <c r="H143" s="239">
        <v>7436334</v>
      </c>
    </row>
    <row r="144" spans="1:8" ht="18" customHeight="1" x14ac:dyDescent="0.55000000000000004">
      <c r="A144" s="180" t="s">
        <v>161</v>
      </c>
      <c r="B144" s="179" t="s">
        <v>70</v>
      </c>
      <c r="D144" s="239">
        <v>0</v>
      </c>
      <c r="E144" s="239">
        <v>0</v>
      </c>
      <c r="F144" s="239">
        <v>0</v>
      </c>
      <c r="G144" s="239">
        <v>0</v>
      </c>
      <c r="H144" s="239">
        <v>0</v>
      </c>
    </row>
    <row r="145" spans="1:11" ht="18" customHeight="1" x14ac:dyDescent="0.55000000000000004">
      <c r="A145" s="180" t="s">
        <v>171</v>
      </c>
      <c r="B145" s="179" t="s">
        <v>69</v>
      </c>
      <c r="D145" s="239">
        <v>158837</v>
      </c>
      <c r="E145" s="239">
        <v>0</v>
      </c>
      <c r="F145" s="239">
        <v>0</v>
      </c>
      <c r="G145" s="239">
        <v>0</v>
      </c>
      <c r="H145" s="239">
        <v>158837</v>
      </c>
    </row>
    <row r="146" spans="1:11" ht="18" customHeight="1" x14ac:dyDescent="0.55000000000000004">
      <c r="A146" s="180" t="s">
        <v>193</v>
      </c>
      <c r="B146" s="179" t="s">
        <v>226</v>
      </c>
      <c r="D146" s="239">
        <v>750267</v>
      </c>
      <c r="E146" s="239">
        <v>0</v>
      </c>
      <c r="F146" s="239">
        <v>0</v>
      </c>
      <c r="G146" s="239">
        <v>369023</v>
      </c>
      <c r="H146" s="239">
        <v>381244</v>
      </c>
    </row>
    <row r="147" spans="1:11" ht="18" customHeight="1" x14ac:dyDescent="0.55000000000000004">
      <c r="A147" s="180" t="s">
        <v>204</v>
      </c>
      <c r="B147" s="179" t="s">
        <v>71</v>
      </c>
      <c r="D147" s="217">
        <v>269537</v>
      </c>
      <c r="E147" s="217">
        <v>100377</v>
      </c>
      <c r="F147" s="217">
        <v>0</v>
      </c>
      <c r="G147" s="217">
        <v>0</v>
      </c>
      <c r="H147" s="217">
        <v>369914</v>
      </c>
    </row>
    <row r="148" spans="1:11" ht="18" customHeight="1" x14ac:dyDescent="0.55000000000000004">
      <c r="A148" s="180" t="s">
        <v>310</v>
      </c>
      <c r="B148" s="179" t="s">
        <v>58</v>
      </c>
      <c r="D148" s="240" t="s">
        <v>245</v>
      </c>
      <c r="E148" s="240" t="s">
        <v>245</v>
      </c>
      <c r="F148" s="240"/>
      <c r="G148" s="240" t="s">
        <v>245</v>
      </c>
      <c r="H148" s="239">
        <v>5827941.2599999998</v>
      </c>
    </row>
    <row r="149" spans="1:11" ht="18" customHeight="1" x14ac:dyDescent="0.55000000000000004">
      <c r="A149" s="180" t="s">
        <v>215</v>
      </c>
      <c r="B149" s="179" t="s">
        <v>230</v>
      </c>
      <c r="D149" s="217">
        <v>0</v>
      </c>
      <c r="E149" s="217">
        <v>0</v>
      </c>
      <c r="F149" s="217">
        <v>0</v>
      </c>
      <c r="G149" s="217">
        <v>0</v>
      </c>
      <c r="H149" s="217">
        <v>0</v>
      </c>
    </row>
    <row r="150" spans="1:11" ht="18" customHeight="1" x14ac:dyDescent="0.55000000000000004">
      <c r="A150" s="180" t="s">
        <v>103</v>
      </c>
      <c r="B150" s="179" t="s">
        <v>104</v>
      </c>
      <c r="D150" s="217">
        <f>D18</f>
        <v>4876356.2353294818</v>
      </c>
      <c r="E150" s="217">
        <f>E18</f>
        <v>0</v>
      </c>
      <c r="F150" s="217">
        <f>F18</f>
        <v>0</v>
      </c>
      <c r="G150" s="217">
        <f>G18</f>
        <v>4041378.5074763945</v>
      </c>
      <c r="H150" s="217">
        <f>H18</f>
        <v>834977.72785308724</v>
      </c>
    </row>
    <row r="151" spans="1:11" ht="18" customHeight="1" x14ac:dyDescent="0.55000000000000004">
      <c r="B151" s="179"/>
      <c r="D151" s="190"/>
      <c r="E151" s="190"/>
      <c r="F151" s="190"/>
      <c r="G151" s="190"/>
      <c r="H151" s="190"/>
    </row>
    <row r="152" spans="1:11" ht="18" customHeight="1" x14ac:dyDescent="0.55000000000000004">
      <c r="A152" s="183" t="s">
        <v>231</v>
      </c>
      <c r="B152" s="179" t="s">
        <v>217</v>
      </c>
      <c r="D152" s="241">
        <v>22904970.525069401</v>
      </c>
      <c r="E152" s="241">
        <v>4144616</v>
      </c>
      <c r="F152" s="241">
        <v>0</v>
      </c>
      <c r="G152" s="241">
        <v>9041294.7972163111</v>
      </c>
      <c r="H152" s="241">
        <v>23836232.987853084</v>
      </c>
      <c r="J152" s="275"/>
      <c r="K152" s="275"/>
    </row>
    <row r="154" spans="1:11" ht="18" customHeight="1" x14ac:dyDescent="0.55000000000000004">
      <c r="A154" s="183" t="s">
        <v>339</v>
      </c>
      <c r="B154" s="179" t="s">
        <v>340</v>
      </c>
      <c r="D154" s="242">
        <v>8.1406432411815471E-2</v>
      </c>
    </row>
    <row r="155" spans="1:11" ht="18" customHeight="1" x14ac:dyDescent="0.55000000000000004">
      <c r="A155" s="183" t="s">
        <v>341</v>
      </c>
      <c r="B155" s="179" t="s">
        <v>342</v>
      </c>
      <c r="D155" s="242">
        <v>-2.7938747625426656</v>
      </c>
    </row>
    <row r="157" spans="1:11" ht="18" customHeight="1" x14ac:dyDescent="0.55000000000000004">
      <c r="D157" s="275"/>
      <c r="E157" s="275"/>
      <c r="F157" s="275"/>
      <c r="G157" s="275"/>
    </row>
    <row r="158" spans="1:11" ht="18" customHeight="1" x14ac:dyDescent="0.55000000000000004">
      <c r="D158" s="275"/>
    </row>
  </sheetData>
  <mergeCells count="7">
    <mergeCell ref="B13:D13"/>
    <mergeCell ref="C2:G2"/>
    <mergeCell ref="C5:E5"/>
    <mergeCell ref="C6:E6"/>
    <mergeCell ref="C9:E9"/>
    <mergeCell ref="C10:E10"/>
    <mergeCell ref="C11:E11"/>
  </mergeCells>
  <pageMargins left="0.7" right="0.7" top="0.75" bottom="0.75" header="0.3" footer="0.3"/>
  <pageSetup orientation="portrait" horizontalDpi="1200" verticalDpi="12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79EC3-6015-4BA7-8888-785EBF15ABE2}">
  <sheetPr codeName="Sheet57"/>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30" t="s">
        <v>646</v>
      </c>
      <c r="D5" s="530"/>
      <c r="E5" s="530"/>
      <c r="F5" s="208"/>
    </row>
    <row r="6" spans="1:8" ht="18" customHeight="1" x14ac:dyDescent="0.55000000000000004">
      <c r="B6" s="180" t="s">
        <v>237</v>
      </c>
      <c r="C6" s="530">
        <v>3029</v>
      </c>
      <c r="D6" s="530"/>
      <c r="E6" s="530"/>
      <c r="F6" s="209"/>
    </row>
    <row r="7" spans="1:8" ht="18" customHeight="1" x14ac:dyDescent="0.55000000000000004">
      <c r="B7" s="180" t="s">
        <v>238</v>
      </c>
      <c r="C7" s="418">
        <v>438</v>
      </c>
      <c r="D7" s="246"/>
      <c r="E7" s="246"/>
      <c r="F7" s="210"/>
    </row>
    <row r="8" spans="1:8" ht="18" customHeight="1" x14ac:dyDescent="0.55000000000000004">
      <c r="B8" s="180"/>
      <c r="C8" s="418"/>
      <c r="D8" s="246"/>
      <c r="E8" s="246"/>
      <c r="F8" s="210"/>
    </row>
    <row r="9" spans="1:8" ht="18" customHeight="1" x14ac:dyDescent="0.55000000000000004">
      <c r="B9" s="180" t="s">
        <v>239</v>
      </c>
      <c r="C9" s="530" t="s">
        <v>473</v>
      </c>
      <c r="D9" s="530"/>
      <c r="E9" s="530"/>
      <c r="F9" s="208"/>
    </row>
    <row r="10" spans="1:8" ht="18" customHeight="1" x14ac:dyDescent="0.55000000000000004">
      <c r="B10" s="180" t="s">
        <v>241</v>
      </c>
      <c r="C10" s="530" t="s">
        <v>395</v>
      </c>
      <c r="D10" s="530"/>
      <c r="E10" s="530"/>
      <c r="F10" s="213"/>
    </row>
    <row r="11" spans="1:8" ht="18" customHeight="1" x14ac:dyDescent="0.55000000000000004">
      <c r="B11" s="180" t="s">
        <v>243</v>
      </c>
      <c r="C11" s="503" t="s">
        <v>627</v>
      </c>
      <c r="D11" s="503"/>
      <c r="E11" s="503"/>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c r="E18" s="214"/>
      <c r="F18" s="214"/>
      <c r="G18" s="214"/>
      <c r="H18" s="249">
        <f>(D18+E18)-G18</f>
        <v>0</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251">
        <v>35237.222385150002</v>
      </c>
      <c r="E21" s="252">
        <v>34387.356960776</v>
      </c>
      <c r="F21" s="252"/>
      <c r="G21" s="251"/>
      <c r="H21" s="217">
        <f>(D21+E21)-F21-G21</f>
        <v>69624.579345926002</v>
      </c>
    </row>
    <row r="22" spans="1:8" ht="18" customHeight="1" x14ac:dyDescent="0.55000000000000004">
      <c r="A22" s="180" t="s">
        <v>112</v>
      </c>
      <c r="B22" s="176" t="s">
        <v>113</v>
      </c>
      <c r="D22" s="251">
        <v>3301.7018210000006</v>
      </c>
      <c r="E22" s="252">
        <v>3222.0700558003941</v>
      </c>
      <c r="F22" s="252"/>
      <c r="G22" s="251"/>
      <c r="H22" s="217">
        <f t="shared" ref="H22:H34" si="0">(D22+E22)-F22-G22</f>
        <v>6523.7718768003942</v>
      </c>
    </row>
    <row r="23" spans="1:8" ht="18" customHeight="1" x14ac:dyDescent="0.55000000000000004">
      <c r="A23" s="180" t="s">
        <v>114</v>
      </c>
      <c r="B23" s="176" t="s">
        <v>115</v>
      </c>
      <c r="D23" s="251"/>
      <c r="E23" s="252"/>
      <c r="F23" s="252"/>
      <c r="G23" s="251"/>
      <c r="H23" s="217">
        <f t="shared" si="0"/>
        <v>0</v>
      </c>
    </row>
    <row r="24" spans="1:8" ht="18" customHeight="1" x14ac:dyDescent="0.55000000000000004">
      <c r="A24" s="180" t="s">
        <v>116</v>
      </c>
      <c r="B24" s="176" t="s">
        <v>117</v>
      </c>
      <c r="D24" s="251">
        <v>324196.18</v>
      </c>
      <c r="E24" s="252">
        <v>48629.426999999996</v>
      </c>
      <c r="F24" s="252"/>
      <c r="G24" s="251">
        <v>78325</v>
      </c>
      <c r="H24" s="217">
        <f t="shared" si="0"/>
        <v>294500.60699999996</v>
      </c>
    </row>
    <row r="25" spans="1:8" ht="18" customHeight="1" x14ac:dyDescent="0.55000000000000004">
      <c r="A25" s="180" t="s">
        <v>118</v>
      </c>
      <c r="B25" s="176" t="s">
        <v>119</v>
      </c>
      <c r="D25" s="251">
        <v>10828.201042000001</v>
      </c>
      <c r="E25" s="252">
        <v>10567.042157988628</v>
      </c>
      <c r="F25" s="252"/>
      <c r="G25" s="251"/>
      <c r="H25" s="217">
        <f t="shared" si="0"/>
        <v>21395.243199988628</v>
      </c>
    </row>
    <row r="26" spans="1:8" ht="18" customHeight="1" x14ac:dyDescent="0.55000000000000004">
      <c r="A26" s="180" t="s">
        <v>120</v>
      </c>
      <c r="B26" s="176" t="s">
        <v>121</v>
      </c>
      <c r="D26" s="251"/>
      <c r="E26" s="252"/>
      <c r="F26" s="252"/>
      <c r="G26" s="251"/>
      <c r="H26" s="217">
        <f t="shared" si="0"/>
        <v>0</v>
      </c>
    </row>
    <row r="27" spans="1:8" ht="18" customHeight="1" x14ac:dyDescent="0.55000000000000004">
      <c r="A27" s="180" t="s">
        <v>122</v>
      </c>
      <c r="B27" s="176" t="s">
        <v>246</v>
      </c>
      <c r="D27" s="251"/>
      <c r="E27" s="252"/>
      <c r="F27" s="252"/>
      <c r="G27" s="251"/>
      <c r="H27" s="217">
        <f t="shared" si="0"/>
        <v>0</v>
      </c>
    </row>
    <row r="28" spans="1:8" ht="18" customHeight="1" x14ac:dyDescent="0.55000000000000004">
      <c r="A28" s="180" t="s">
        <v>124</v>
      </c>
      <c r="B28" s="176" t="s">
        <v>125</v>
      </c>
      <c r="D28" s="251"/>
      <c r="E28" s="252"/>
      <c r="F28" s="252"/>
      <c r="G28" s="251"/>
      <c r="H28" s="217">
        <f t="shared" si="0"/>
        <v>0</v>
      </c>
    </row>
    <row r="29" spans="1:8" ht="18" customHeight="1" x14ac:dyDescent="0.55000000000000004">
      <c r="A29" s="180" t="s">
        <v>126</v>
      </c>
      <c r="B29" s="176" t="s">
        <v>127</v>
      </c>
      <c r="D29" s="251">
        <v>68224.23</v>
      </c>
      <c r="E29" s="252">
        <v>46037.419415135999</v>
      </c>
      <c r="F29" s="252"/>
      <c r="G29" s="251">
        <v>9482.31</v>
      </c>
      <c r="H29" s="217">
        <f t="shared" si="0"/>
        <v>104779.339415136</v>
      </c>
    </row>
    <row r="30" spans="1:8" ht="18" customHeight="1" x14ac:dyDescent="0.55000000000000004">
      <c r="A30" s="180" t="s">
        <v>128</v>
      </c>
      <c r="B30" s="185"/>
      <c r="D30" s="184"/>
      <c r="E30" s="216"/>
      <c r="F30" s="216"/>
      <c r="G30" s="184"/>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441787.53524815</v>
      </c>
      <c r="E36" s="217">
        <f>SUM(E21:E34)</f>
        <v>142843.31558970103</v>
      </c>
      <c r="F36" s="217">
        <f>SUM(F21:F34)</f>
        <v>0</v>
      </c>
      <c r="G36" s="217">
        <f>SUM(G21:G34)</f>
        <v>87807.31</v>
      </c>
      <c r="H36" s="217">
        <f>SUM(H21:H34)</f>
        <v>496823.540837851</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c r="E40" s="216"/>
      <c r="F40" s="216"/>
      <c r="G40" s="184"/>
      <c r="H40" s="217">
        <f>(D40+E40)-F40-G40</f>
        <v>0</v>
      </c>
    </row>
    <row r="41" spans="1:8" ht="18" customHeight="1" x14ac:dyDescent="0.55000000000000004">
      <c r="A41" s="180" t="s">
        <v>251</v>
      </c>
      <c r="B41" s="176" t="s">
        <v>141</v>
      </c>
      <c r="D41" s="251">
        <v>48.50984132</v>
      </c>
      <c r="E41" s="251">
        <v>47.339861563107711</v>
      </c>
      <c r="F41" s="216"/>
      <c r="G41" s="184"/>
      <c r="H41" s="217">
        <f t="shared" ref="H41:H47" si="1">(D41+E41)-F41-G41</f>
        <v>95.84970288310771</v>
      </c>
    </row>
    <row r="42" spans="1:8" ht="18" customHeight="1" x14ac:dyDescent="0.55000000000000004">
      <c r="A42" s="180" t="s">
        <v>252</v>
      </c>
      <c r="B42" s="176" t="s">
        <v>143</v>
      </c>
      <c r="D42" s="251">
        <v>21278.65314835</v>
      </c>
      <c r="E42" s="251">
        <v>20765.446080256839</v>
      </c>
      <c r="F42" s="216"/>
      <c r="G42" s="184"/>
      <c r="H42" s="217">
        <f t="shared" si="1"/>
        <v>42044.099228606836</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21327.16298967</v>
      </c>
      <c r="E49" s="217">
        <f>SUM(E40:E47)</f>
        <v>20812.785941819948</v>
      </c>
      <c r="F49" s="217">
        <f>SUM(F40:F47)</f>
        <v>0</v>
      </c>
      <c r="G49" s="217">
        <f>SUM(G40:G47)</f>
        <v>0</v>
      </c>
      <c r="H49" s="217">
        <f>SUM(H40:H47)</f>
        <v>42139.94893148994</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184"/>
      <c r="E53" s="222"/>
      <c r="F53" s="222"/>
      <c r="G53" s="222"/>
      <c r="H53" s="217">
        <f>(D53+E53)-F53-G53</f>
        <v>0</v>
      </c>
    </row>
    <row r="54" spans="1:8" ht="18" customHeight="1" x14ac:dyDescent="0.55000000000000004">
      <c r="A54" s="180" t="s">
        <v>259</v>
      </c>
      <c r="B54" s="193" t="s">
        <v>614</v>
      </c>
      <c r="D54" s="251">
        <v>56808.488300000005</v>
      </c>
      <c r="E54" s="251">
        <v>55438.358455785288</v>
      </c>
      <c r="F54" s="252"/>
      <c r="G54" s="251"/>
      <c r="H54" s="217">
        <f t="shared" ref="H54:H62" si="2">(D54+E54)-F54-G54</f>
        <v>112246.84675578529</v>
      </c>
    </row>
    <row r="55" spans="1:8" ht="18" customHeight="1" x14ac:dyDescent="0.55000000000000004">
      <c r="A55" s="180" t="s">
        <v>260</v>
      </c>
      <c r="B55" s="194" t="s">
        <v>475</v>
      </c>
      <c r="D55" s="251">
        <v>754087.82999999961</v>
      </c>
      <c r="E55" s="252"/>
      <c r="F55" s="252"/>
      <c r="G55" s="251"/>
      <c r="H55" s="217">
        <f t="shared" si="2"/>
        <v>754087.82999999961</v>
      </c>
    </row>
    <row r="56" spans="1:8" ht="18" customHeight="1" x14ac:dyDescent="0.55000000000000004">
      <c r="A56" s="180" t="s">
        <v>261</v>
      </c>
      <c r="B56" s="193" t="s">
        <v>647</v>
      </c>
      <c r="D56" s="251">
        <v>134480.54999999999</v>
      </c>
      <c r="E56" s="251">
        <v>131237.09430288</v>
      </c>
      <c r="F56" s="252"/>
      <c r="G56" s="251"/>
      <c r="H56" s="217">
        <f t="shared" si="2"/>
        <v>265717.64430287998</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945376.86829999951</v>
      </c>
      <c r="E64" s="217">
        <f>SUM(E53:E62)</f>
        <v>186675.45275866528</v>
      </c>
      <c r="F64" s="217">
        <f>SUM(F53:F62)</f>
        <v>0</v>
      </c>
      <c r="G64" s="217">
        <f>SUM(G53:G62)</f>
        <v>0</v>
      </c>
      <c r="H64" s="217">
        <f>SUM(H53:H62)</f>
        <v>1132052.3210586649</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c r="E77" s="230"/>
      <c r="F77" s="220"/>
      <c r="G77" s="184"/>
      <c r="H77" s="217">
        <f>(D77-F77-G77)</f>
        <v>0</v>
      </c>
    </row>
    <row r="78" spans="1:10" ht="18" customHeight="1" x14ac:dyDescent="0.55000000000000004">
      <c r="A78" s="180" t="s">
        <v>281</v>
      </c>
      <c r="B78" s="176" t="s">
        <v>166</v>
      </c>
      <c r="D78" s="251">
        <v>31448.7245</v>
      </c>
      <c r="E78" s="230"/>
      <c r="F78" s="220"/>
      <c r="G78" s="184"/>
      <c r="H78" s="217">
        <f>(D78-F78-G78)</f>
        <v>31448.7245</v>
      </c>
    </row>
    <row r="79" spans="1:10" ht="18" customHeight="1" x14ac:dyDescent="0.55000000000000004">
      <c r="A79" s="180" t="s">
        <v>282</v>
      </c>
      <c r="B79" s="176" t="s">
        <v>168</v>
      </c>
      <c r="D79" s="251">
        <v>9815.1361080099996</v>
      </c>
      <c r="E79" s="230"/>
      <c r="F79" s="220"/>
      <c r="G79" s="184"/>
      <c r="H79" s="217">
        <f>(D79-F79-G79)</f>
        <v>9815.1361080099996</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41263.86060801</v>
      </c>
      <c r="E82" s="231"/>
      <c r="F82" s="217">
        <f>SUM(F77:F80)</f>
        <v>0</v>
      </c>
      <c r="G82" s="217">
        <f>SUM(G77:G80)</f>
        <v>0</v>
      </c>
      <c r="H82" s="217">
        <f>SUM(H77:H80)</f>
        <v>41263.86060801</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251">
        <v>7657.8274589600014</v>
      </c>
      <c r="E88" s="252">
        <v>7473.1329131738203</v>
      </c>
      <c r="F88" s="252"/>
      <c r="G88" s="184"/>
      <c r="H88" s="217">
        <f t="shared" si="3"/>
        <v>15130.960372133821</v>
      </c>
    </row>
    <row r="89" spans="1:8" ht="18" customHeight="1" x14ac:dyDescent="0.55000000000000004">
      <c r="A89" s="180" t="s">
        <v>290</v>
      </c>
      <c r="B89" s="176" t="s">
        <v>181</v>
      </c>
      <c r="D89" s="251"/>
      <c r="E89" s="252"/>
      <c r="F89" s="252"/>
      <c r="G89" s="184"/>
      <c r="H89" s="217">
        <f t="shared" si="3"/>
        <v>0</v>
      </c>
    </row>
    <row r="90" spans="1:8" ht="18" customHeight="1" x14ac:dyDescent="0.55000000000000004">
      <c r="A90" s="180" t="s">
        <v>291</v>
      </c>
      <c r="B90" s="176" t="s">
        <v>183</v>
      </c>
      <c r="D90" s="251"/>
      <c r="E90" s="252"/>
      <c r="F90" s="252"/>
      <c r="G90" s="184"/>
      <c r="H90" s="217">
        <f t="shared" si="3"/>
        <v>0</v>
      </c>
    </row>
    <row r="91" spans="1:8" ht="18" customHeight="1" x14ac:dyDescent="0.55000000000000004">
      <c r="A91" s="180" t="s">
        <v>292</v>
      </c>
      <c r="B91" s="176" t="s">
        <v>185</v>
      </c>
      <c r="D91" s="251">
        <v>19196.312445750002</v>
      </c>
      <c r="E91" s="252">
        <v>18733.328103658423</v>
      </c>
      <c r="F91" s="252"/>
      <c r="G91" s="184"/>
      <c r="H91" s="217">
        <f t="shared" si="3"/>
        <v>37929.640549408425</v>
      </c>
    </row>
    <row r="92" spans="1:8" ht="18" customHeight="1" x14ac:dyDescent="0.55000000000000004">
      <c r="A92" s="180" t="s">
        <v>293</v>
      </c>
      <c r="B92" s="176" t="s">
        <v>294</v>
      </c>
      <c r="D92" s="286">
        <v>8839.952223000002</v>
      </c>
      <c r="E92" s="252">
        <v>8626.7467193047996</v>
      </c>
      <c r="F92" s="287"/>
      <c r="G92" s="233"/>
      <c r="H92" s="217">
        <f t="shared" si="3"/>
        <v>17466.6989423048</v>
      </c>
    </row>
    <row r="93" spans="1:8" ht="18" customHeight="1" x14ac:dyDescent="0.55000000000000004">
      <c r="A93" s="180" t="s">
        <v>295</v>
      </c>
      <c r="B93" s="176" t="s">
        <v>296</v>
      </c>
      <c r="D93" s="184"/>
      <c r="E93" s="216"/>
      <c r="F93" s="216"/>
      <c r="G93" s="184"/>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35694.092127710006</v>
      </c>
      <c r="E98" s="217">
        <f>SUM(E86:E96)</f>
        <v>34833.207736137047</v>
      </c>
      <c r="F98" s="217">
        <f>SUM(F86:F96)</f>
        <v>0</v>
      </c>
      <c r="G98" s="217">
        <f>SUM(G86:G96)</f>
        <v>0</v>
      </c>
      <c r="H98" s="217">
        <f>SUM(H86:H96)</f>
        <v>70527.299863847045</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251">
        <v>14483.370688280002</v>
      </c>
      <c r="E102" s="252">
        <v>14134.054960671789</v>
      </c>
      <c r="F102" s="252"/>
      <c r="G102" s="251"/>
      <c r="H102" s="217">
        <f>(D102+E102)-F102-G102</f>
        <v>28617.42564895179</v>
      </c>
    </row>
    <row r="103" spans="1:8" ht="18" customHeight="1" x14ac:dyDescent="0.55000000000000004">
      <c r="A103" s="180" t="s">
        <v>304</v>
      </c>
      <c r="B103" s="176" t="s">
        <v>199</v>
      </c>
      <c r="D103" s="251">
        <v>11837.982139000002</v>
      </c>
      <c r="E103" s="252">
        <v>11552.468950578745</v>
      </c>
      <c r="F103" s="252"/>
      <c r="G103" s="251"/>
      <c r="H103" s="217">
        <f>(D103+E103)-F103-G103</f>
        <v>23390.451089578746</v>
      </c>
    </row>
    <row r="104" spans="1:8" ht="18" customHeight="1" x14ac:dyDescent="0.55000000000000004">
      <c r="A104" s="180" t="s">
        <v>305</v>
      </c>
      <c r="B104" s="193" t="s">
        <v>615</v>
      </c>
      <c r="D104" s="251">
        <v>9823.3918464000017</v>
      </c>
      <c r="E104" s="252">
        <v>9586.4673524917889</v>
      </c>
      <c r="F104" s="252"/>
      <c r="G104" s="251"/>
      <c r="H104" s="217">
        <f>(D104+E104)-F104-G104</f>
        <v>19409.859198891791</v>
      </c>
    </row>
    <row r="105" spans="1:8" ht="18" customHeight="1" x14ac:dyDescent="0.55000000000000004">
      <c r="A105" s="180" t="s">
        <v>306</v>
      </c>
      <c r="B105" s="193" t="s">
        <v>478</v>
      </c>
      <c r="D105" s="251">
        <v>1567.5084849834032</v>
      </c>
      <c r="E105" s="252"/>
      <c r="F105" s="252"/>
      <c r="G105" s="251"/>
      <c r="H105" s="217">
        <f>(D105+E105)-F105-G105</f>
        <v>1567.5084849834032</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37712.253158663407</v>
      </c>
      <c r="E108" s="217">
        <f>SUM(E102:E106)</f>
        <v>35272.991263742326</v>
      </c>
      <c r="F108" s="217">
        <f>SUM(F102:F106)</f>
        <v>0</v>
      </c>
      <c r="G108" s="217">
        <f>SUM(G102:G106)</f>
        <v>0</v>
      </c>
      <c r="H108" s="217">
        <f>SUM(H102:H106)</f>
        <v>72985.24442240574</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251">
        <v>242956.24</v>
      </c>
      <c r="G111" s="184"/>
      <c r="H111" s="217">
        <f>F111-G111</f>
        <v>242956.24</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0.97588160000000002</v>
      </c>
      <c r="F114" s="235" t="s">
        <v>429</v>
      </c>
      <c r="G114" s="236">
        <v>0.15</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251">
        <v>50769653.179999992</v>
      </c>
      <c r="F117" s="237"/>
    </row>
    <row r="118" spans="1:7" ht="18" customHeight="1" x14ac:dyDescent="0.55000000000000004">
      <c r="A118" s="180" t="s">
        <v>319</v>
      </c>
      <c r="B118" s="176" t="s">
        <v>648</v>
      </c>
      <c r="E118" s="251">
        <v>4045001.8099999991</v>
      </c>
      <c r="F118" s="288" t="s">
        <v>649</v>
      </c>
    </row>
    <row r="119" spans="1:7" ht="18" customHeight="1" x14ac:dyDescent="0.55000000000000004">
      <c r="A119" s="180" t="s">
        <v>321</v>
      </c>
      <c r="B119" s="179" t="s">
        <v>322</v>
      </c>
      <c r="E119" s="217">
        <f>SUM(E117:E118)</f>
        <v>54814654.989999995</v>
      </c>
      <c r="F119" s="238"/>
    </row>
    <row r="120" spans="1:7" ht="18" customHeight="1" x14ac:dyDescent="0.55000000000000004">
      <c r="A120" s="180"/>
      <c r="B120" s="179"/>
      <c r="E120" s="275"/>
      <c r="F120" s="212"/>
    </row>
    <row r="121" spans="1:7" ht="18" customHeight="1" x14ac:dyDescent="0.55000000000000004">
      <c r="A121" s="180" t="s">
        <v>323</v>
      </c>
      <c r="B121" s="179" t="s">
        <v>324</v>
      </c>
      <c r="E121" s="251">
        <v>52271126.609999999</v>
      </c>
      <c r="F121" s="237"/>
    </row>
    <row r="122" spans="1:7" ht="18" customHeight="1" x14ac:dyDescent="0.55000000000000004">
      <c r="A122" s="180"/>
      <c r="E122" s="275"/>
      <c r="F122" s="212"/>
    </row>
    <row r="123" spans="1:7" ht="18" customHeight="1" x14ac:dyDescent="0.55000000000000004">
      <c r="A123" s="180" t="s">
        <v>325</v>
      </c>
      <c r="B123" s="179" t="s">
        <v>326</v>
      </c>
      <c r="E123" s="411">
        <f>E119-E121</f>
        <v>2543528.3799999952</v>
      </c>
      <c r="F123" s="237"/>
    </row>
    <row r="124" spans="1:7" ht="18" customHeight="1" x14ac:dyDescent="0.55000000000000004">
      <c r="A124" s="180"/>
      <c r="E124" s="275"/>
      <c r="F124" s="212"/>
    </row>
    <row r="125" spans="1:7" ht="18" customHeight="1" x14ac:dyDescent="0.55000000000000004">
      <c r="A125" s="180" t="s">
        <v>327</v>
      </c>
      <c r="B125" s="179" t="s">
        <v>328</v>
      </c>
      <c r="E125" s="251">
        <v>593133.4</v>
      </c>
      <c r="F125" s="237"/>
    </row>
    <row r="126" spans="1:7" ht="18" customHeight="1" x14ac:dyDescent="0.55000000000000004">
      <c r="A126" s="180"/>
      <c r="E126" s="275"/>
      <c r="F126" s="212"/>
    </row>
    <row r="127" spans="1:7" ht="18" customHeight="1" x14ac:dyDescent="0.55000000000000004">
      <c r="A127" s="180" t="s">
        <v>329</v>
      </c>
      <c r="B127" s="179" t="s">
        <v>330</v>
      </c>
      <c r="E127" s="411">
        <f>E123+E125</f>
        <v>3136661.7799999951</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441787.53524815</v>
      </c>
      <c r="E141" s="239">
        <f>E36</f>
        <v>142843.31558970103</v>
      </c>
      <c r="F141" s="239">
        <f>F36</f>
        <v>0</v>
      </c>
      <c r="G141" s="239">
        <f>G36</f>
        <v>87807.31</v>
      </c>
      <c r="H141" s="239">
        <f>H36</f>
        <v>496823.540837851</v>
      </c>
    </row>
    <row r="142" spans="1:8" ht="18" customHeight="1" x14ac:dyDescent="0.55000000000000004">
      <c r="A142" s="180" t="s">
        <v>150</v>
      </c>
      <c r="B142" s="179" t="s">
        <v>220</v>
      </c>
      <c r="D142" s="239">
        <f>D49</f>
        <v>21327.16298967</v>
      </c>
      <c r="E142" s="239">
        <f>E49</f>
        <v>20812.785941819948</v>
      </c>
      <c r="F142" s="239">
        <f>F49</f>
        <v>0</v>
      </c>
      <c r="G142" s="239">
        <f>G49</f>
        <v>0</v>
      </c>
      <c r="H142" s="239">
        <f>H49</f>
        <v>42139.94893148994</v>
      </c>
    </row>
    <row r="143" spans="1:8" ht="18" customHeight="1" x14ac:dyDescent="0.55000000000000004">
      <c r="A143" s="180" t="s">
        <v>269</v>
      </c>
      <c r="B143" s="179" t="s">
        <v>222</v>
      </c>
      <c r="D143" s="239">
        <f>D64</f>
        <v>945376.86829999951</v>
      </c>
      <c r="E143" s="239">
        <f>E64</f>
        <v>186675.45275866528</v>
      </c>
      <c r="F143" s="239">
        <f>F64</f>
        <v>0</v>
      </c>
      <c r="G143" s="239">
        <f>G64</f>
        <v>0</v>
      </c>
      <c r="H143" s="239">
        <f>H64</f>
        <v>1132052.3210586649</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41263.86060801</v>
      </c>
      <c r="E145" s="239">
        <f>E82</f>
        <v>0</v>
      </c>
      <c r="F145" s="239">
        <f>F82</f>
        <v>0</v>
      </c>
      <c r="G145" s="239">
        <f>G82</f>
        <v>0</v>
      </c>
      <c r="H145" s="239">
        <f>H82</f>
        <v>41263.86060801</v>
      </c>
    </row>
    <row r="146" spans="1:8" ht="18" customHeight="1" x14ac:dyDescent="0.55000000000000004">
      <c r="A146" s="180" t="s">
        <v>193</v>
      </c>
      <c r="B146" s="179" t="s">
        <v>226</v>
      </c>
      <c r="D146" s="239">
        <f>D98</f>
        <v>35694.092127710006</v>
      </c>
      <c r="E146" s="239">
        <f>E98</f>
        <v>34833.207736137047</v>
      </c>
      <c r="F146" s="239">
        <f>F98</f>
        <v>0</v>
      </c>
      <c r="G146" s="239">
        <f>G98</f>
        <v>0</v>
      </c>
      <c r="H146" s="239">
        <f>H98</f>
        <v>70527.299863847045</v>
      </c>
    </row>
    <row r="147" spans="1:8" ht="18" customHeight="1" x14ac:dyDescent="0.55000000000000004">
      <c r="A147" s="180" t="s">
        <v>204</v>
      </c>
      <c r="B147" s="179" t="s">
        <v>71</v>
      </c>
      <c r="D147" s="217">
        <f>D108</f>
        <v>37712.253158663407</v>
      </c>
      <c r="E147" s="217">
        <f>E108</f>
        <v>35272.991263742326</v>
      </c>
      <c r="F147" s="217">
        <f>F108</f>
        <v>0</v>
      </c>
      <c r="G147" s="217">
        <f>G108</f>
        <v>0</v>
      </c>
      <c r="H147" s="217">
        <f>H108</f>
        <v>72985.24442240574</v>
      </c>
    </row>
    <row r="148" spans="1:8" ht="18" customHeight="1" x14ac:dyDescent="0.55000000000000004">
      <c r="A148" s="180" t="s">
        <v>310</v>
      </c>
      <c r="B148" s="179" t="s">
        <v>58</v>
      </c>
      <c r="D148" s="240" t="s">
        <v>245</v>
      </c>
      <c r="E148" s="240" t="s">
        <v>245</v>
      </c>
      <c r="F148" s="240"/>
      <c r="G148" s="240" t="s">
        <v>245</v>
      </c>
      <c r="H148" s="239">
        <f>H111</f>
        <v>242956.24</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0</v>
      </c>
      <c r="E150" s="217">
        <f>E18</f>
        <v>0</v>
      </c>
      <c r="F150" s="217">
        <f>F18</f>
        <v>0</v>
      </c>
      <c r="G150" s="217">
        <f>G18</f>
        <v>0</v>
      </c>
      <c r="H150" s="217">
        <f>H18</f>
        <v>0</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1523161.7724322032</v>
      </c>
      <c r="E152" s="241">
        <f>SUM(E141:E150)</f>
        <v>420437.75329006562</v>
      </c>
      <c r="F152" s="241">
        <f>SUM(F141:F150)</f>
        <v>0</v>
      </c>
      <c r="G152" s="241">
        <f>SUM(G141:G150)</f>
        <v>87807.31</v>
      </c>
      <c r="H152" s="241">
        <f>SUM(H141:H150)</f>
        <v>2098748.4557222687</v>
      </c>
    </row>
    <row r="154" spans="1:8" ht="18" customHeight="1" x14ac:dyDescent="0.55000000000000004">
      <c r="A154" s="183" t="s">
        <v>339</v>
      </c>
      <c r="B154" s="179" t="s">
        <v>340</v>
      </c>
      <c r="D154" s="242">
        <f>H152/E121</f>
        <v>4.0151199942202065E-2</v>
      </c>
    </row>
    <row r="155" spans="1:8" ht="18" customHeight="1" x14ac:dyDescent="0.55000000000000004">
      <c r="A155" s="183" t="s">
        <v>341</v>
      </c>
      <c r="B155" s="179" t="s">
        <v>342</v>
      </c>
      <c r="D155" s="242">
        <f>H152/E127</f>
        <v>0.66910256920408928</v>
      </c>
    </row>
  </sheetData>
  <mergeCells count="7">
    <mergeCell ref="B13:D13"/>
    <mergeCell ref="C2:D2"/>
    <mergeCell ref="C5:E5"/>
    <mergeCell ref="C6:E6"/>
    <mergeCell ref="C9:E9"/>
    <mergeCell ref="C10:E10"/>
    <mergeCell ref="C11:E11"/>
  </mergeCells>
  <hyperlinks>
    <hyperlink ref="C11" r:id="rId1" xr:uid="{3D48409F-6D86-4A1F-B4D3-858A69FD5EBC}"/>
  </hyperlinks>
  <pageMargins left="0.7" right="0.7" top="0.75" bottom="0.75" header="0.3" footer="0.3"/>
  <pageSetup orientation="portrait" horizontalDpi="1200" verticalDpi="1200"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23197-10BD-4FC3-9E48-19A857B26F45}">
  <sheetPr codeName="Sheet58"/>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531" t="s">
        <v>655</v>
      </c>
      <c r="D5" s="531"/>
      <c r="E5" s="531"/>
      <c r="F5" s="208"/>
    </row>
    <row r="6" spans="1:8" ht="18" customHeight="1" x14ac:dyDescent="0.55000000000000004">
      <c r="B6" s="180" t="s">
        <v>237</v>
      </c>
      <c r="C6" s="243">
        <v>4000</v>
      </c>
      <c r="D6" s="243"/>
      <c r="E6" s="243"/>
      <c r="F6" s="209"/>
    </row>
    <row r="7" spans="1:8" ht="18" customHeight="1" x14ac:dyDescent="0.55000000000000004">
      <c r="B7" s="180" t="s">
        <v>238</v>
      </c>
      <c r="C7" s="245">
        <v>2500</v>
      </c>
      <c r="D7" s="245"/>
      <c r="E7" s="245"/>
      <c r="F7" s="210"/>
    </row>
    <row r="8" spans="1:8" ht="18" customHeight="1" x14ac:dyDescent="0.55000000000000004">
      <c r="C8" s="211"/>
      <c r="D8" s="211"/>
      <c r="E8" s="211"/>
      <c r="F8" s="212"/>
    </row>
    <row r="9" spans="1:8" ht="18" customHeight="1" x14ac:dyDescent="0.55000000000000004">
      <c r="B9" s="180" t="s">
        <v>239</v>
      </c>
      <c r="C9" s="247" t="s">
        <v>656</v>
      </c>
      <c r="D9" s="247"/>
      <c r="E9" s="247"/>
      <c r="F9" s="208"/>
    </row>
    <row r="10" spans="1:8" ht="18" customHeight="1" x14ac:dyDescent="0.55000000000000004">
      <c r="B10" s="180" t="s">
        <v>241</v>
      </c>
      <c r="C10" s="248" t="s">
        <v>657</v>
      </c>
      <c r="D10" s="248"/>
      <c r="E10" s="248"/>
      <c r="F10" s="213"/>
    </row>
    <row r="11" spans="1:8" ht="18" customHeight="1" x14ac:dyDescent="0.55000000000000004">
      <c r="B11" s="180" t="s">
        <v>243</v>
      </c>
      <c r="C11" s="532" t="s">
        <v>658</v>
      </c>
      <c r="D11" s="532"/>
      <c r="E11" s="532"/>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v>0</v>
      </c>
      <c r="E18" s="214">
        <v>0</v>
      </c>
      <c r="F18" s="214"/>
      <c r="G18" s="214">
        <v>0</v>
      </c>
      <c r="H18" s="249">
        <f>(D18+E18)-G18</f>
        <v>0</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129892.83411693999</v>
      </c>
      <c r="E21" s="216">
        <v>126072.25776792417</v>
      </c>
      <c r="F21" s="216"/>
      <c r="G21" s="184">
        <v>0</v>
      </c>
      <c r="H21" s="217">
        <f>(D21+E21)-F21-G21</f>
        <v>255965.09188486414</v>
      </c>
    </row>
    <row r="22" spans="1:8" ht="18" customHeight="1" x14ac:dyDescent="0.55000000000000004">
      <c r="A22" s="180" t="s">
        <v>112</v>
      </c>
      <c r="B22" s="176" t="s">
        <v>113</v>
      </c>
      <c r="D22" s="184">
        <v>0</v>
      </c>
      <c r="E22" s="216">
        <v>0</v>
      </c>
      <c r="F22" s="216"/>
      <c r="G22" s="184">
        <v>0</v>
      </c>
      <c r="H22" s="217">
        <f t="shared" ref="H22:H34" si="0">(D22+E22)-F22-G22</f>
        <v>0</v>
      </c>
    </row>
    <row r="23" spans="1:8" ht="18" customHeight="1" x14ac:dyDescent="0.55000000000000004">
      <c r="A23" s="180" t="s">
        <v>114</v>
      </c>
      <c r="B23" s="176" t="s">
        <v>115</v>
      </c>
      <c r="D23" s="184">
        <v>0</v>
      </c>
      <c r="E23" s="216">
        <v>0</v>
      </c>
      <c r="F23" s="216"/>
      <c r="G23" s="184">
        <v>0</v>
      </c>
      <c r="H23" s="217">
        <f t="shared" si="0"/>
        <v>0</v>
      </c>
    </row>
    <row r="24" spans="1:8" ht="18" customHeight="1" x14ac:dyDescent="0.55000000000000004">
      <c r="A24" s="180" t="s">
        <v>116</v>
      </c>
      <c r="B24" s="176" t="s">
        <v>117</v>
      </c>
      <c r="D24" s="184">
        <v>0</v>
      </c>
      <c r="E24" s="216">
        <v>0</v>
      </c>
      <c r="F24" s="216"/>
      <c r="G24" s="184">
        <v>0</v>
      </c>
      <c r="H24" s="217">
        <f t="shared" si="0"/>
        <v>0</v>
      </c>
    </row>
    <row r="25" spans="1:8" ht="18" customHeight="1" x14ac:dyDescent="0.55000000000000004">
      <c r="A25" s="180" t="s">
        <v>118</v>
      </c>
      <c r="B25" s="176" t="s">
        <v>119</v>
      </c>
      <c r="D25" s="184">
        <v>0</v>
      </c>
      <c r="E25" s="216">
        <v>0</v>
      </c>
      <c r="F25" s="216"/>
      <c r="G25" s="184">
        <v>0</v>
      </c>
      <c r="H25" s="217">
        <f t="shared" si="0"/>
        <v>0</v>
      </c>
    </row>
    <row r="26" spans="1:8" ht="18" customHeight="1" x14ac:dyDescent="0.55000000000000004">
      <c r="A26" s="180" t="s">
        <v>120</v>
      </c>
      <c r="B26" s="176" t="s">
        <v>121</v>
      </c>
      <c r="D26" s="184">
        <v>0</v>
      </c>
      <c r="E26" s="216">
        <v>0</v>
      </c>
      <c r="F26" s="216"/>
      <c r="G26" s="184">
        <v>0</v>
      </c>
      <c r="H26" s="217">
        <f t="shared" si="0"/>
        <v>0</v>
      </c>
    </row>
    <row r="27" spans="1:8" ht="18" customHeight="1" x14ac:dyDescent="0.55000000000000004">
      <c r="A27" s="180" t="s">
        <v>122</v>
      </c>
      <c r="B27" s="176" t="s">
        <v>246</v>
      </c>
      <c r="D27" s="184">
        <v>218118</v>
      </c>
      <c r="E27" s="216">
        <v>211702.43075201209</v>
      </c>
      <c r="F27" s="216"/>
      <c r="G27" s="184">
        <v>0</v>
      </c>
      <c r="H27" s="217">
        <f t="shared" si="0"/>
        <v>429820.43075201206</v>
      </c>
    </row>
    <row r="28" spans="1:8" ht="18" customHeight="1" x14ac:dyDescent="0.55000000000000004">
      <c r="A28" s="180" t="s">
        <v>124</v>
      </c>
      <c r="B28" s="176" t="s">
        <v>125</v>
      </c>
      <c r="D28" s="184">
        <v>0</v>
      </c>
      <c r="E28" s="216">
        <v>0</v>
      </c>
      <c r="F28" s="216"/>
      <c r="G28" s="184">
        <v>0</v>
      </c>
      <c r="H28" s="217">
        <f t="shared" si="0"/>
        <v>0</v>
      </c>
    </row>
    <row r="29" spans="1:8" ht="18" customHeight="1" x14ac:dyDescent="0.55000000000000004">
      <c r="A29" s="180" t="s">
        <v>126</v>
      </c>
      <c r="B29" s="176" t="s">
        <v>127</v>
      </c>
      <c r="D29" s="184">
        <v>0</v>
      </c>
      <c r="E29" s="216">
        <v>0</v>
      </c>
      <c r="F29" s="216"/>
      <c r="G29" s="184">
        <v>0</v>
      </c>
      <c r="H29" s="217">
        <f t="shared" si="0"/>
        <v>0</v>
      </c>
    </row>
    <row r="30" spans="1:8" ht="18" customHeight="1" x14ac:dyDescent="0.55000000000000004">
      <c r="A30" s="180" t="s">
        <v>128</v>
      </c>
      <c r="B30" s="185" t="s">
        <v>659</v>
      </c>
      <c r="D30" s="184">
        <v>51605.272909799998</v>
      </c>
      <c r="E30" s="216">
        <v>50087.391754122174</v>
      </c>
      <c r="F30" s="216"/>
      <c r="G30" s="184">
        <v>0</v>
      </c>
      <c r="H30" s="217">
        <f t="shared" si="0"/>
        <v>101692.66466392217</v>
      </c>
    </row>
    <row r="31" spans="1:8" ht="18" customHeight="1" x14ac:dyDescent="0.55000000000000004">
      <c r="A31" s="180" t="s">
        <v>130</v>
      </c>
      <c r="B31" s="185" t="s">
        <v>660</v>
      </c>
      <c r="D31" s="184">
        <v>71200.78731</v>
      </c>
      <c r="E31" s="216">
        <v>69106.537493393567</v>
      </c>
      <c r="F31" s="216"/>
      <c r="G31" s="184">
        <v>0</v>
      </c>
      <c r="H31" s="217">
        <f t="shared" si="0"/>
        <v>140307.32480339357</v>
      </c>
    </row>
    <row r="32" spans="1:8" ht="18" customHeight="1" x14ac:dyDescent="0.55000000000000004">
      <c r="A32" s="180" t="s">
        <v>131</v>
      </c>
      <c r="B32" s="185" t="s">
        <v>661</v>
      </c>
      <c r="D32" s="184">
        <v>557008.56488783937</v>
      </c>
      <c r="E32" s="216">
        <v>540625.10721923667</v>
      </c>
      <c r="F32" s="216"/>
      <c r="G32" s="184">
        <v>0</v>
      </c>
      <c r="H32" s="217">
        <f t="shared" si="0"/>
        <v>1097633.672107076</v>
      </c>
    </row>
    <row r="33" spans="1:8" ht="18" customHeight="1" x14ac:dyDescent="0.55000000000000004">
      <c r="A33" s="180" t="s">
        <v>132</v>
      </c>
      <c r="B33" s="185" t="s">
        <v>662</v>
      </c>
      <c r="D33" s="184">
        <v>0</v>
      </c>
      <c r="E33" s="216">
        <v>0</v>
      </c>
      <c r="F33" s="216"/>
      <c r="G33" s="184">
        <v>0</v>
      </c>
      <c r="H33" s="217">
        <f t="shared" si="0"/>
        <v>0</v>
      </c>
    </row>
    <row r="34" spans="1:8" ht="18" customHeight="1" x14ac:dyDescent="0.55000000000000004">
      <c r="A34" s="180" t="s">
        <v>133</v>
      </c>
      <c r="B34" s="185"/>
      <c r="D34" s="184">
        <v>0</v>
      </c>
      <c r="E34" s="216">
        <v>0</v>
      </c>
      <c r="F34" s="216"/>
      <c r="G34" s="184">
        <v>0</v>
      </c>
      <c r="H34" s="217">
        <f t="shared" si="0"/>
        <v>0</v>
      </c>
    </row>
    <row r="35" spans="1:8" ht="18" customHeight="1" x14ac:dyDescent="0.55000000000000004">
      <c r="H35" s="186"/>
    </row>
    <row r="36" spans="1:8" ht="18" customHeight="1" x14ac:dyDescent="0.55000000000000004">
      <c r="A36" s="183" t="s">
        <v>134</v>
      </c>
      <c r="B36" s="179" t="s">
        <v>135</v>
      </c>
      <c r="C36" s="179" t="s">
        <v>248</v>
      </c>
      <c r="D36" s="217">
        <v>1027825.4592245794</v>
      </c>
      <c r="E36" s="217">
        <v>997593.7249866887</v>
      </c>
      <c r="F36" s="217">
        <v>0</v>
      </c>
      <c r="G36" s="217">
        <v>0</v>
      </c>
      <c r="H36" s="217">
        <f>SUM(H21:H34)</f>
        <v>2025419.1842112681</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285834.64</v>
      </c>
      <c r="E40" s="216">
        <v>277427.30119076057</v>
      </c>
      <c r="F40" s="216"/>
      <c r="G40" s="184">
        <v>0</v>
      </c>
      <c r="H40" s="217">
        <f>(D40+E40)-F40-G40</f>
        <v>563261.94119076058</v>
      </c>
    </row>
    <row r="41" spans="1:8" ht="18" customHeight="1" x14ac:dyDescent="0.55000000000000004">
      <c r="A41" s="180" t="s">
        <v>251</v>
      </c>
      <c r="B41" s="176" t="s">
        <v>141</v>
      </c>
      <c r="D41" s="184">
        <v>440.18171712000003</v>
      </c>
      <c r="E41" s="216">
        <v>427.23452207932672</v>
      </c>
      <c r="F41" s="216"/>
      <c r="G41" s="184">
        <v>0</v>
      </c>
      <c r="H41" s="217">
        <f t="shared" ref="H41:H47" si="1">(D41+E41)-F41-G41</f>
        <v>867.41623919932681</v>
      </c>
    </row>
    <row r="42" spans="1:8" ht="18" customHeight="1" x14ac:dyDescent="0.55000000000000004">
      <c r="A42" s="180" t="s">
        <v>252</v>
      </c>
      <c r="B42" s="176" t="s">
        <v>143</v>
      </c>
      <c r="D42" s="184">
        <v>17432.31778664</v>
      </c>
      <c r="E42" s="216">
        <v>16919.575867526859</v>
      </c>
      <c r="F42" s="216"/>
      <c r="G42" s="184">
        <v>0</v>
      </c>
      <c r="H42" s="217">
        <f t="shared" si="1"/>
        <v>34351.893654166859</v>
      </c>
    </row>
    <row r="43" spans="1:8" ht="18" customHeight="1" x14ac:dyDescent="0.55000000000000004">
      <c r="A43" s="180" t="s">
        <v>253</v>
      </c>
      <c r="B43" s="176" t="s">
        <v>145</v>
      </c>
      <c r="D43" s="184">
        <v>0</v>
      </c>
      <c r="E43" s="216">
        <v>0</v>
      </c>
      <c r="F43" s="216"/>
      <c r="G43" s="184">
        <v>0</v>
      </c>
      <c r="H43" s="217">
        <f t="shared" si="1"/>
        <v>0</v>
      </c>
    </row>
    <row r="44" spans="1:8" ht="18" customHeight="1" x14ac:dyDescent="0.55000000000000004">
      <c r="A44" s="180" t="s">
        <v>146</v>
      </c>
      <c r="B44" s="185" t="s">
        <v>663</v>
      </c>
      <c r="D44" s="184">
        <v>1103.1263182563864</v>
      </c>
      <c r="E44" s="220">
        <v>1070.6797375796345</v>
      </c>
      <c r="F44" s="220"/>
      <c r="G44" s="219">
        <v>0</v>
      </c>
      <c r="H44" s="217">
        <f t="shared" si="1"/>
        <v>2173.8060558360212</v>
      </c>
    </row>
    <row r="45" spans="1:8" ht="18" customHeight="1" x14ac:dyDescent="0.55000000000000004">
      <c r="A45" s="180" t="s">
        <v>147</v>
      </c>
      <c r="B45" s="185" t="s">
        <v>664</v>
      </c>
      <c r="D45" s="184">
        <v>605319.81999999995</v>
      </c>
      <c r="E45" s="216">
        <v>587515.36909549148</v>
      </c>
      <c r="F45" s="216"/>
      <c r="G45" s="184">
        <v>622171.42000000004</v>
      </c>
      <c r="H45" s="217">
        <f t="shared" si="1"/>
        <v>570663.7690954915</v>
      </c>
    </row>
    <row r="46" spans="1:8" ht="18" customHeight="1" x14ac:dyDescent="0.55000000000000004">
      <c r="A46" s="180" t="s">
        <v>148</v>
      </c>
      <c r="B46" s="185" t="s">
        <v>665</v>
      </c>
      <c r="D46" s="184">
        <v>67945.756800000003</v>
      </c>
      <c r="E46" s="216">
        <v>65947.248158542876</v>
      </c>
      <c r="F46" s="216"/>
      <c r="G46" s="184">
        <v>0</v>
      </c>
      <c r="H46" s="217">
        <f t="shared" si="1"/>
        <v>133893.00495854288</v>
      </c>
    </row>
    <row r="47" spans="1:8" ht="18" customHeight="1" x14ac:dyDescent="0.55000000000000004">
      <c r="A47" s="180" t="s">
        <v>149</v>
      </c>
      <c r="B47" s="185"/>
      <c r="D47" s="184">
        <v>0</v>
      </c>
      <c r="E47" s="216">
        <v>0</v>
      </c>
      <c r="F47" s="216"/>
      <c r="G47" s="184">
        <v>0</v>
      </c>
      <c r="H47" s="217">
        <f t="shared" si="1"/>
        <v>0</v>
      </c>
    </row>
    <row r="49" spans="1:8" ht="18" customHeight="1" x14ac:dyDescent="0.55000000000000004">
      <c r="A49" s="183" t="s">
        <v>150</v>
      </c>
      <c r="B49" s="179" t="s">
        <v>254</v>
      </c>
      <c r="C49" s="179" t="s">
        <v>248</v>
      </c>
      <c r="D49" s="217">
        <f>SUM(D40:D47)</f>
        <v>978075.84262201632</v>
      </c>
      <c r="E49" s="217">
        <f>SUM(E40:E47)</f>
        <v>949307.40857198089</v>
      </c>
      <c r="F49" s="217">
        <f>SUM(F40:F47)</f>
        <v>0</v>
      </c>
      <c r="G49" s="217">
        <f>SUM(G40:G47)</f>
        <v>622171.42000000004</v>
      </c>
      <c r="H49" s="217">
        <f>SUM(H40:H47)</f>
        <v>1305211.8311939971</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184">
        <v>7050850.1142724697</v>
      </c>
      <c r="E53" s="216">
        <v>6843461.37439177</v>
      </c>
      <c r="F53" s="216"/>
      <c r="G53" s="184">
        <v>0</v>
      </c>
      <c r="H53" s="217">
        <f>(D53+E53)-F53-G53</f>
        <v>13894311.48866424</v>
      </c>
    </row>
    <row r="54" spans="1:8" ht="18" customHeight="1" x14ac:dyDescent="0.55000000000000004">
      <c r="A54" s="180" t="s">
        <v>259</v>
      </c>
      <c r="B54" s="185" t="s">
        <v>666</v>
      </c>
      <c r="D54" s="184">
        <v>432737.35</v>
      </c>
      <c r="E54" s="216">
        <v>420009.11833128956</v>
      </c>
      <c r="F54" s="216"/>
      <c r="G54" s="184">
        <v>0</v>
      </c>
      <c r="H54" s="217">
        <f t="shared" ref="H54:H62" si="2">(D54+E54)-F54-G54</f>
        <v>852746.46833128948</v>
      </c>
    </row>
    <row r="55" spans="1:8" ht="18" customHeight="1" x14ac:dyDescent="0.55000000000000004">
      <c r="A55" s="180" t="s">
        <v>260</v>
      </c>
      <c r="B55" s="185" t="s">
        <v>667</v>
      </c>
      <c r="D55" s="184">
        <v>1061382.1200000001</v>
      </c>
      <c r="E55" s="216">
        <v>1030163.3737734796</v>
      </c>
      <c r="F55" s="216"/>
      <c r="G55" s="184">
        <v>507779.35</v>
      </c>
      <c r="H55" s="217">
        <f t="shared" si="2"/>
        <v>1583766.1437734799</v>
      </c>
    </row>
    <row r="56" spans="1:8" ht="18" customHeight="1" x14ac:dyDescent="0.55000000000000004">
      <c r="A56" s="180" t="s">
        <v>261</v>
      </c>
      <c r="B56" s="185" t="s">
        <v>668</v>
      </c>
      <c r="D56" s="184">
        <v>0</v>
      </c>
      <c r="E56" s="216">
        <v>0</v>
      </c>
      <c r="F56" s="216"/>
      <c r="G56" s="184">
        <v>0</v>
      </c>
      <c r="H56" s="217">
        <f t="shared" si="2"/>
        <v>0</v>
      </c>
    </row>
    <row r="57" spans="1:8" ht="18" customHeight="1" x14ac:dyDescent="0.55000000000000004">
      <c r="A57" s="180" t="s">
        <v>263</v>
      </c>
      <c r="B57" s="185" t="s">
        <v>669</v>
      </c>
      <c r="D57" s="184">
        <v>0</v>
      </c>
      <c r="E57" s="216">
        <v>0</v>
      </c>
      <c r="F57" s="216"/>
      <c r="G57" s="184">
        <v>0</v>
      </c>
      <c r="H57" s="217">
        <f t="shared" si="2"/>
        <v>0</v>
      </c>
    </row>
    <row r="58" spans="1:8" ht="18" customHeight="1" x14ac:dyDescent="0.55000000000000004">
      <c r="A58" s="180" t="s">
        <v>264</v>
      </c>
      <c r="B58" s="185" t="s">
        <v>670</v>
      </c>
      <c r="D58" s="184">
        <v>0</v>
      </c>
      <c r="E58" s="216">
        <v>0</v>
      </c>
      <c r="F58" s="216"/>
      <c r="G58" s="184">
        <v>0</v>
      </c>
      <c r="H58" s="217">
        <f>(D58+E58)-F58-G58</f>
        <v>0</v>
      </c>
    </row>
    <row r="59" spans="1:8" ht="18" customHeight="1" x14ac:dyDescent="0.55000000000000004">
      <c r="A59" s="180" t="s">
        <v>265</v>
      </c>
      <c r="B59" s="185" t="s">
        <v>671</v>
      </c>
      <c r="D59" s="184">
        <v>1265225</v>
      </c>
      <c r="E59" s="216">
        <v>1228010.5628522842</v>
      </c>
      <c r="F59" s="216"/>
      <c r="G59" s="184">
        <v>936139</v>
      </c>
      <c r="H59" s="217">
        <f t="shared" si="2"/>
        <v>1557096.5628522839</v>
      </c>
    </row>
    <row r="60" spans="1:8" ht="18" customHeight="1" x14ac:dyDescent="0.55000000000000004">
      <c r="A60" s="180" t="s">
        <v>266</v>
      </c>
      <c r="B60" s="185"/>
      <c r="C60" s="212"/>
      <c r="D60" s="184">
        <v>0</v>
      </c>
      <c r="E60" s="216">
        <v>0</v>
      </c>
      <c r="F60" s="216"/>
      <c r="G60" s="184">
        <v>0</v>
      </c>
      <c r="H60" s="217">
        <f t="shared" si="2"/>
        <v>0</v>
      </c>
    </row>
    <row r="61" spans="1:8" ht="18" customHeight="1" x14ac:dyDescent="0.55000000000000004">
      <c r="A61" s="180" t="s">
        <v>267</v>
      </c>
      <c r="B61" s="185"/>
      <c r="C61" s="212"/>
      <c r="D61" s="184">
        <v>0</v>
      </c>
      <c r="E61" s="216">
        <v>0</v>
      </c>
      <c r="F61" s="216"/>
      <c r="G61" s="184">
        <v>0</v>
      </c>
      <c r="H61" s="217">
        <f t="shared" si="2"/>
        <v>0</v>
      </c>
    </row>
    <row r="62" spans="1:8" ht="18" customHeight="1" x14ac:dyDescent="0.55000000000000004">
      <c r="A62" s="180" t="s">
        <v>268</v>
      </c>
      <c r="B62" s="185"/>
      <c r="C62" s="212"/>
      <c r="D62" s="184">
        <v>0</v>
      </c>
      <c r="E62" s="216">
        <v>0</v>
      </c>
      <c r="F62" s="216"/>
      <c r="G62" s="184">
        <v>0</v>
      </c>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9810194.5842724703</v>
      </c>
      <c r="E64" s="217">
        <f>SUM(E53:E62)</f>
        <v>9521644.4293488245</v>
      </c>
      <c r="F64" s="217">
        <f>SUM(F53:F62)</f>
        <v>0</v>
      </c>
      <c r="G64" s="217">
        <f>SUM(G53:G62)</f>
        <v>1443918.35</v>
      </c>
      <c r="H64" s="217">
        <f>SUM(H53:H62)</f>
        <v>17887920.663621292</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184">
        <v>280452.62757348001</v>
      </c>
      <c r="E68" s="216">
        <v>272203.5914876099</v>
      </c>
      <c r="F68" s="216"/>
      <c r="G68" s="184">
        <v>0</v>
      </c>
      <c r="H68" s="217">
        <f>(D68+E68)-F68-G68</f>
        <v>552656.21906108991</v>
      </c>
      <c r="J68" s="254"/>
    </row>
    <row r="69" spans="1:10" ht="18" customHeight="1" x14ac:dyDescent="0.55000000000000004">
      <c r="A69" s="180" t="s">
        <v>273</v>
      </c>
      <c r="B69" s="176" t="s">
        <v>159</v>
      </c>
      <c r="D69" s="184">
        <v>0</v>
      </c>
      <c r="E69" s="216">
        <v>0</v>
      </c>
      <c r="F69" s="216"/>
      <c r="G69" s="184">
        <v>0</v>
      </c>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280452.62757348001</v>
      </c>
      <c r="E74" s="229">
        <f>SUM(E68:E72)</f>
        <v>272203.5914876099</v>
      </c>
      <c r="F74" s="229">
        <f>SUM(F68:F72)</f>
        <v>0</v>
      </c>
      <c r="G74" s="217">
        <f>SUM(G68:G72)</f>
        <v>0</v>
      </c>
      <c r="H74" s="217">
        <f>SUM(H68:H72)</f>
        <v>552656.21906108991</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64606.597323440001</v>
      </c>
      <c r="E77" s="230">
        <v>0</v>
      </c>
      <c r="F77" s="216"/>
      <c r="G77" s="184">
        <v>0</v>
      </c>
      <c r="H77" s="217">
        <f>(D77-F77-G77)</f>
        <v>64606.597323440001</v>
      </c>
    </row>
    <row r="78" spans="1:10" ht="18" customHeight="1" x14ac:dyDescent="0.55000000000000004">
      <c r="A78" s="180" t="s">
        <v>281</v>
      </c>
      <c r="B78" s="176" t="s">
        <v>166</v>
      </c>
      <c r="D78" s="184">
        <v>0</v>
      </c>
      <c r="E78" s="230">
        <v>0</v>
      </c>
      <c r="F78" s="216"/>
      <c r="G78" s="184">
        <v>0</v>
      </c>
      <c r="H78" s="217">
        <f>(D78-F78-G78)</f>
        <v>0</v>
      </c>
    </row>
    <row r="79" spans="1:10" ht="18" customHeight="1" x14ac:dyDescent="0.55000000000000004">
      <c r="A79" s="180" t="s">
        <v>282</v>
      </c>
      <c r="B79" s="176" t="s">
        <v>168</v>
      </c>
      <c r="D79" s="184">
        <v>0</v>
      </c>
      <c r="E79" s="230">
        <v>0</v>
      </c>
      <c r="F79" s="216"/>
      <c r="G79" s="184">
        <v>0</v>
      </c>
      <c r="H79" s="217">
        <f>(D79-F79-G79)</f>
        <v>0</v>
      </c>
    </row>
    <row r="80" spans="1:10" ht="18" customHeight="1" x14ac:dyDescent="0.55000000000000004">
      <c r="A80" s="180" t="s">
        <v>283</v>
      </c>
      <c r="B80" s="176" t="s">
        <v>170</v>
      </c>
      <c r="D80" s="184">
        <v>0</v>
      </c>
      <c r="E80" s="230">
        <v>0</v>
      </c>
      <c r="F80" s="216"/>
      <c r="G80" s="184">
        <v>0</v>
      </c>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64606.597323440001</v>
      </c>
      <c r="E82" s="231"/>
      <c r="F82" s="217">
        <f>SUM(F77:F80)</f>
        <v>0</v>
      </c>
      <c r="G82" s="217">
        <f>SUM(G77:G80)</f>
        <v>0</v>
      </c>
      <c r="H82" s="217">
        <f>SUM(H77:H80)</f>
        <v>64606.597323440001</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v>0</v>
      </c>
      <c r="E86" s="216">
        <v>0</v>
      </c>
      <c r="F86" s="216"/>
      <c r="G86" s="184">
        <v>0</v>
      </c>
      <c r="H86" s="217">
        <f>(D86+E86)-F86-G86</f>
        <v>0</v>
      </c>
    </row>
    <row r="87" spans="1:8" ht="18" customHeight="1" x14ac:dyDescent="0.55000000000000004">
      <c r="A87" s="180" t="s">
        <v>287</v>
      </c>
      <c r="B87" s="176" t="s">
        <v>177</v>
      </c>
      <c r="D87" s="184">
        <v>0</v>
      </c>
      <c r="E87" s="216">
        <v>0</v>
      </c>
      <c r="F87" s="216"/>
      <c r="G87" s="184">
        <v>0</v>
      </c>
      <c r="H87" s="217">
        <f t="shared" ref="H87:H96" si="3">(D87+E87)-F87-G87</f>
        <v>0</v>
      </c>
    </row>
    <row r="88" spans="1:8" ht="18" customHeight="1" x14ac:dyDescent="0.55000000000000004">
      <c r="A88" s="180" t="s">
        <v>288</v>
      </c>
      <c r="B88" s="176" t="s">
        <v>289</v>
      </c>
      <c r="D88" s="184">
        <v>0</v>
      </c>
      <c r="E88" s="216">
        <v>0</v>
      </c>
      <c r="F88" s="216"/>
      <c r="G88" s="184">
        <v>0</v>
      </c>
      <c r="H88" s="217">
        <f t="shared" si="3"/>
        <v>0</v>
      </c>
    </row>
    <row r="89" spans="1:8" ht="18" customHeight="1" x14ac:dyDescent="0.55000000000000004">
      <c r="A89" s="180" t="s">
        <v>290</v>
      </c>
      <c r="B89" s="176" t="s">
        <v>181</v>
      </c>
      <c r="D89" s="184">
        <v>0</v>
      </c>
      <c r="E89" s="216">
        <v>0</v>
      </c>
      <c r="F89" s="216"/>
      <c r="G89" s="184">
        <v>0</v>
      </c>
      <c r="H89" s="217">
        <f t="shared" si="3"/>
        <v>0</v>
      </c>
    </row>
    <row r="90" spans="1:8" ht="18" customHeight="1" x14ac:dyDescent="0.55000000000000004">
      <c r="A90" s="180" t="s">
        <v>291</v>
      </c>
      <c r="B90" s="176" t="s">
        <v>183</v>
      </c>
      <c r="D90" s="184">
        <v>0</v>
      </c>
      <c r="E90" s="216">
        <v>0</v>
      </c>
      <c r="F90" s="216"/>
      <c r="G90" s="184">
        <v>0</v>
      </c>
      <c r="H90" s="217">
        <f t="shared" si="3"/>
        <v>0</v>
      </c>
    </row>
    <row r="91" spans="1:8" ht="18" customHeight="1" x14ac:dyDescent="0.55000000000000004">
      <c r="A91" s="180" t="s">
        <v>292</v>
      </c>
      <c r="B91" s="176" t="s">
        <v>185</v>
      </c>
      <c r="D91" s="184">
        <v>153663.92444213998</v>
      </c>
      <c r="E91" s="216">
        <v>149144.16198247994</v>
      </c>
      <c r="F91" s="216"/>
      <c r="G91" s="184">
        <v>0</v>
      </c>
      <c r="H91" s="217">
        <f t="shared" si="3"/>
        <v>302808.08642461989</v>
      </c>
    </row>
    <row r="92" spans="1:8" ht="18" customHeight="1" x14ac:dyDescent="0.55000000000000004">
      <c r="A92" s="180" t="s">
        <v>293</v>
      </c>
      <c r="B92" s="176" t="s">
        <v>294</v>
      </c>
      <c r="D92" s="184">
        <v>0</v>
      </c>
      <c r="E92" s="216">
        <v>0</v>
      </c>
      <c r="F92" s="216"/>
      <c r="G92" s="184">
        <v>0</v>
      </c>
      <c r="H92" s="217">
        <f t="shared" si="3"/>
        <v>0</v>
      </c>
    </row>
    <row r="93" spans="1:8" ht="18" customHeight="1" x14ac:dyDescent="0.55000000000000004">
      <c r="A93" s="180" t="s">
        <v>295</v>
      </c>
      <c r="B93" s="176" t="s">
        <v>296</v>
      </c>
      <c r="D93" s="184">
        <v>0</v>
      </c>
      <c r="E93" s="216">
        <v>0</v>
      </c>
      <c r="F93" s="216"/>
      <c r="G93" s="184">
        <v>0</v>
      </c>
      <c r="H93" s="217">
        <f t="shared" si="3"/>
        <v>0</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153663.92444213998</v>
      </c>
      <c r="E98" s="217">
        <f>SUM(E86:E96)</f>
        <v>149144.16198247994</v>
      </c>
      <c r="F98" s="217">
        <f>SUM(F86:F96)</f>
        <v>0</v>
      </c>
      <c r="G98" s="217">
        <f>SUM(G86:G96)</f>
        <v>0</v>
      </c>
      <c r="H98" s="217">
        <f>SUM(H86:H96)</f>
        <v>302808.08642461989</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20874.423024</v>
      </c>
      <c r="E102" s="216">
        <v>20260.437445449559</v>
      </c>
      <c r="F102" s="216"/>
      <c r="G102" s="184">
        <v>0</v>
      </c>
      <c r="H102" s="217">
        <f>(D102+E102)-F102-G102</f>
        <v>41134.860469449559</v>
      </c>
    </row>
    <row r="103" spans="1:8" ht="18" customHeight="1" x14ac:dyDescent="0.55000000000000004">
      <c r="A103" s="180" t="s">
        <v>304</v>
      </c>
      <c r="B103" s="176" t="s">
        <v>199</v>
      </c>
      <c r="D103" s="184">
        <v>0</v>
      </c>
      <c r="E103" s="216">
        <v>0</v>
      </c>
      <c r="F103" s="216"/>
      <c r="G103" s="184">
        <v>0</v>
      </c>
      <c r="H103" s="217">
        <f>(D103+E103)-F103-G103</f>
        <v>0</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20874.423024</v>
      </c>
      <c r="E108" s="217">
        <f>SUM(E102:E106)</f>
        <v>20260.437445449559</v>
      </c>
      <c r="F108" s="217">
        <f>SUM(F102:F106)</f>
        <v>0</v>
      </c>
      <c r="G108" s="217">
        <f>SUM(G102:G106)</f>
        <v>0</v>
      </c>
      <c r="H108" s="217">
        <f>SUM(H102:H106)</f>
        <v>41134.860469449559</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4629792.54</v>
      </c>
      <c r="G111" s="184"/>
      <c r="H111" s="217">
        <f>F111-G111</f>
        <v>4629792.54</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0.97058670422437443</v>
      </c>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207022229</v>
      </c>
      <c r="F117" s="237"/>
    </row>
    <row r="118" spans="1:7" ht="18" customHeight="1" x14ac:dyDescent="0.55000000000000004">
      <c r="A118" s="180" t="s">
        <v>319</v>
      </c>
      <c r="B118" s="176" t="s">
        <v>320</v>
      </c>
      <c r="E118" s="184">
        <v>11652052</v>
      </c>
      <c r="F118" s="237"/>
    </row>
    <row r="119" spans="1:7" ht="18" customHeight="1" x14ac:dyDescent="0.55000000000000004">
      <c r="A119" s="180" t="s">
        <v>321</v>
      </c>
      <c r="B119" s="179" t="s">
        <v>322</v>
      </c>
      <c r="E119" s="217">
        <f>SUM(E117:E118)</f>
        <v>218674281</v>
      </c>
      <c r="F119" s="238"/>
    </row>
    <row r="120" spans="1:7" ht="18" customHeight="1" x14ac:dyDescent="0.55000000000000004">
      <c r="A120" s="180"/>
      <c r="B120" s="179"/>
      <c r="F120" s="212"/>
    </row>
    <row r="121" spans="1:7" ht="18" customHeight="1" x14ac:dyDescent="0.55000000000000004">
      <c r="A121" s="180" t="s">
        <v>323</v>
      </c>
      <c r="B121" s="179" t="s">
        <v>324</v>
      </c>
      <c r="E121" s="184">
        <v>210491083</v>
      </c>
      <c r="F121" s="237"/>
    </row>
    <row r="122" spans="1:7" ht="18" customHeight="1" x14ac:dyDescent="0.55000000000000004">
      <c r="A122" s="180"/>
      <c r="F122" s="212"/>
    </row>
    <row r="123" spans="1:7" ht="18" customHeight="1" x14ac:dyDescent="0.55000000000000004">
      <c r="A123" s="180" t="s">
        <v>325</v>
      </c>
      <c r="B123" s="179" t="s">
        <v>326</v>
      </c>
      <c r="E123" s="184">
        <v>8183198</v>
      </c>
      <c r="F123" s="237"/>
    </row>
    <row r="124" spans="1:7" ht="18" customHeight="1" x14ac:dyDescent="0.55000000000000004">
      <c r="A124" s="180"/>
      <c r="F124" s="212"/>
    </row>
    <row r="125" spans="1:7" ht="18" customHeight="1" x14ac:dyDescent="0.55000000000000004">
      <c r="A125" s="180" t="s">
        <v>327</v>
      </c>
      <c r="B125" s="179" t="s">
        <v>328</v>
      </c>
      <c r="E125" s="184">
        <v>11630088</v>
      </c>
      <c r="F125" s="237"/>
    </row>
    <row r="126" spans="1:7" ht="18" customHeight="1" x14ac:dyDescent="0.55000000000000004">
      <c r="A126" s="180"/>
      <c r="F126" s="212"/>
    </row>
    <row r="127" spans="1:7" ht="18" customHeight="1" x14ac:dyDescent="0.55000000000000004">
      <c r="A127" s="180" t="s">
        <v>329</v>
      </c>
      <c r="B127" s="179" t="s">
        <v>330</v>
      </c>
      <c r="E127" s="184">
        <v>19813286</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1027825.4592245794</v>
      </c>
      <c r="E141" s="239">
        <f>E36</f>
        <v>997593.7249866887</v>
      </c>
      <c r="F141" s="239">
        <f>F36</f>
        <v>0</v>
      </c>
      <c r="G141" s="239">
        <f>G36</f>
        <v>0</v>
      </c>
      <c r="H141" s="239">
        <f>H36</f>
        <v>2025419.1842112681</v>
      </c>
    </row>
    <row r="142" spans="1:8" ht="18" customHeight="1" x14ac:dyDescent="0.55000000000000004">
      <c r="A142" s="180" t="s">
        <v>150</v>
      </c>
      <c r="B142" s="179" t="s">
        <v>220</v>
      </c>
      <c r="D142" s="239">
        <f>D49</f>
        <v>978075.84262201632</v>
      </c>
      <c r="E142" s="239">
        <f>E49</f>
        <v>949307.40857198089</v>
      </c>
      <c r="F142" s="239">
        <f>F49</f>
        <v>0</v>
      </c>
      <c r="G142" s="239">
        <f>G49</f>
        <v>622171.42000000004</v>
      </c>
      <c r="H142" s="239">
        <f>H49</f>
        <v>1305211.8311939971</v>
      </c>
    </row>
    <row r="143" spans="1:8" ht="18" customHeight="1" x14ac:dyDescent="0.55000000000000004">
      <c r="A143" s="180" t="s">
        <v>269</v>
      </c>
      <c r="B143" s="179" t="s">
        <v>222</v>
      </c>
      <c r="D143" s="239">
        <f>D64</f>
        <v>9810194.5842724703</v>
      </c>
      <c r="E143" s="239">
        <f>E64</f>
        <v>9521644.4293488245</v>
      </c>
      <c r="F143" s="239">
        <f>F64</f>
        <v>0</v>
      </c>
      <c r="G143" s="239">
        <f>G64</f>
        <v>1443918.35</v>
      </c>
      <c r="H143" s="239">
        <f>H64</f>
        <v>17887920.663621292</v>
      </c>
    </row>
    <row r="144" spans="1:8" ht="18" customHeight="1" x14ac:dyDescent="0.55000000000000004">
      <c r="A144" s="180" t="s">
        <v>161</v>
      </c>
      <c r="B144" s="179" t="s">
        <v>70</v>
      </c>
      <c r="D144" s="239">
        <f>D74</f>
        <v>280452.62757348001</v>
      </c>
      <c r="E144" s="239">
        <f>E74</f>
        <v>272203.5914876099</v>
      </c>
      <c r="F144" s="239">
        <f>F74</f>
        <v>0</v>
      </c>
      <c r="G144" s="239">
        <f>G74</f>
        <v>0</v>
      </c>
      <c r="H144" s="239">
        <f>H74</f>
        <v>552656.21906108991</v>
      </c>
    </row>
    <row r="145" spans="1:8" ht="18" customHeight="1" x14ac:dyDescent="0.55000000000000004">
      <c r="A145" s="180" t="s">
        <v>171</v>
      </c>
      <c r="B145" s="179" t="s">
        <v>69</v>
      </c>
      <c r="D145" s="239">
        <f>D82</f>
        <v>64606.597323440001</v>
      </c>
      <c r="E145" s="239">
        <f>E82</f>
        <v>0</v>
      </c>
      <c r="F145" s="239">
        <f>F82</f>
        <v>0</v>
      </c>
      <c r="G145" s="239">
        <f>G82</f>
        <v>0</v>
      </c>
      <c r="H145" s="239">
        <f>H82</f>
        <v>64606.597323440001</v>
      </c>
    </row>
    <row r="146" spans="1:8" ht="18" customHeight="1" x14ac:dyDescent="0.55000000000000004">
      <c r="A146" s="180" t="s">
        <v>193</v>
      </c>
      <c r="B146" s="179" t="s">
        <v>226</v>
      </c>
      <c r="D146" s="239">
        <f>D98</f>
        <v>153663.92444213998</v>
      </c>
      <c r="E146" s="239">
        <f>E98</f>
        <v>149144.16198247994</v>
      </c>
      <c r="F146" s="239">
        <f>F98</f>
        <v>0</v>
      </c>
      <c r="G146" s="239">
        <f>G98</f>
        <v>0</v>
      </c>
      <c r="H146" s="239">
        <f>H98</f>
        <v>302808.08642461989</v>
      </c>
    </row>
    <row r="147" spans="1:8" ht="18" customHeight="1" x14ac:dyDescent="0.55000000000000004">
      <c r="A147" s="180" t="s">
        <v>204</v>
      </c>
      <c r="B147" s="179" t="s">
        <v>71</v>
      </c>
      <c r="D147" s="217">
        <f>D108</f>
        <v>20874.423024</v>
      </c>
      <c r="E147" s="217">
        <f>E108</f>
        <v>20260.437445449559</v>
      </c>
      <c r="F147" s="217">
        <f>F108</f>
        <v>0</v>
      </c>
      <c r="G147" s="217">
        <f>G108</f>
        <v>0</v>
      </c>
      <c r="H147" s="217">
        <f>H108</f>
        <v>41134.860469449559</v>
      </c>
    </row>
    <row r="148" spans="1:8" ht="18" customHeight="1" x14ac:dyDescent="0.55000000000000004">
      <c r="A148" s="180" t="s">
        <v>310</v>
      </c>
      <c r="B148" s="179" t="s">
        <v>58</v>
      </c>
      <c r="D148" s="240" t="s">
        <v>245</v>
      </c>
      <c r="E148" s="240" t="s">
        <v>245</v>
      </c>
      <c r="F148" s="240"/>
      <c r="G148" s="240" t="s">
        <v>245</v>
      </c>
      <c r="H148" s="239">
        <f>H111</f>
        <v>4629792.54</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0</v>
      </c>
      <c r="E150" s="217">
        <f>E18</f>
        <v>0</v>
      </c>
      <c r="F150" s="217">
        <f>F18</f>
        <v>0</v>
      </c>
      <c r="G150" s="217">
        <f>G18</f>
        <v>0</v>
      </c>
      <c r="H150" s="217">
        <f>H18</f>
        <v>0</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12335693.458482128</v>
      </c>
      <c r="E152" s="241">
        <f>SUM(E141:E150)</f>
        <v>11910153.753823034</v>
      </c>
      <c r="F152" s="241">
        <f>SUM(F141:F150)</f>
        <v>0</v>
      </c>
      <c r="G152" s="241">
        <f>SUM(G141:G150)</f>
        <v>2066089.77</v>
      </c>
      <c r="H152" s="241">
        <f>SUM(H141:H150)</f>
        <v>26809549.982305154</v>
      </c>
    </row>
    <row r="154" spans="1:8" ht="18" customHeight="1" x14ac:dyDescent="0.55000000000000004">
      <c r="A154" s="183" t="s">
        <v>339</v>
      </c>
      <c r="B154" s="179" t="s">
        <v>340</v>
      </c>
      <c r="D154" s="242">
        <f>H152/E121</f>
        <v>0.12736667796186479</v>
      </c>
    </row>
    <row r="155" spans="1:8" ht="18" customHeight="1" x14ac:dyDescent="0.55000000000000004">
      <c r="A155" s="183" t="s">
        <v>341</v>
      </c>
      <c r="B155" s="179" t="s">
        <v>342</v>
      </c>
      <c r="D155" s="242">
        <f>H152/E127</f>
        <v>1.3531097255803584</v>
      </c>
    </row>
  </sheetData>
  <mergeCells count="4">
    <mergeCell ref="C2:D2"/>
    <mergeCell ref="C5:E5"/>
    <mergeCell ref="C11:E11"/>
    <mergeCell ref="B13:D13"/>
  </mergeCells>
  <hyperlinks>
    <hyperlink ref="C11" r:id="rId1" xr:uid="{F262D545-E65B-4136-AA1D-8142F0D96908}"/>
  </hyperlinks>
  <pageMargins left="0.7" right="0.7" top="0.75" bottom="0.75" header="0.3" footer="0.3"/>
  <pageSetup orientation="portrait" horizontalDpi="1200" verticalDpi="1200"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0249E-655F-47D0-92FF-5C6D953F295E}">
  <sheetPr codeName="Sheet59"/>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247" t="s">
        <v>672</v>
      </c>
      <c r="D5" s="247" t="s">
        <v>673</v>
      </c>
      <c r="E5" s="247" t="s">
        <v>674</v>
      </c>
      <c r="F5" s="208"/>
    </row>
    <row r="6" spans="1:8" ht="18" customHeight="1" x14ac:dyDescent="0.55000000000000004">
      <c r="B6" s="180" t="s">
        <v>237</v>
      </c>
      <c r="C6" s="244">
        <v>214020</v>
      </c>
      <c r="D6" s="244"/>
      <c r="E6" s="244"/>
      <c r="F6" s="209"/>
      <c r="G6" s="179"/>
    </row>
    <row r="7" spans="1:8" ht="18" customHeight="1" x14ac:dyDescent="0.55000000000000004">
      <c r="B7" s="180" t="s">
        <v>238</v>
      </c>
      <c r="C7" s="246"/>
      <c r="D7" s="246"/>
      <c r="E7" s="246"/>
      <c r="F7" s="210"/>
      <c r="G7" s="179"/>
    </row>
    <row r="8" spans="1:8" ht="18" customHeight="1" x14ac:dyDescent="0.55000000000000004">
      <c r="C8" s="211"/>
      <c r="D8" s="211"/>
      <c r="E8" s="211"/>
      <c r="F8" s="212"/>
    </row>
    <row r="9" spans="1:8" ht="18" customHeight="1" x14ac:dyDescent="0.55000000000000004">
      <c r="B9" s="180" t="s">
        <v>239</v>
      </c>
      <c r="C9" s="247" t="s">
        <v>526</v>
      </c>
      <c r="D9" s="247" t="s">
        <v>525</v>
      </c>
      <c r="E9" s="247"/>
      <c r="F9" s="208"/>
    </row>
    <row r="10" spans="1:8" ht="18" customHeight="1" x14ac:dyDescent="0.55000000000000004">
      <c r="B10" s="180" t="s">
        <v>241</v>
      </c>
      <c r="C10" s="248"/>
      <c r="D10" s="248"/>
      <c r="E10" s="248"/>
      <c r="F10" s="213"/>
    </row>
    <row r="11" spans="1:8" ht="18" customHeight="1" x14ac:dyDescent="0.55000000000000004">
      <c r="B11" s="180" t="s">
        <v>243</v>
      </c>
      <c r="C11" s="258" t="s">
        <v>608</v>
      </c>
      <c r="D11" s="247"/>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8" ht="18" customHeight="1" x14ac:dyDescent="0.55000000000000004">
      <c r="A17" s="183" t="s">
        <v>101</v>
      </c>
      <c r="B17" s="179" t="s">
        <v>102</v>
      </c>
    </row>
    <row r="18" spans="1:8" ht="18" customHeight="1" x14ac:dyDescent="0.55000000000000004">
      <c r="A18" s="180" t="s">
        <v>103</v>
      </c>
      <c r="B18" s="176" t="s">
        <v>104</v>
      </c>
      <c r="D18" s="214"/>
      <c r="E18" s="214"/>
      <c r="F18" s="214"/>
      <c r="G18" s="214"/>
      <c r="H18" s="249">
        <f>(D18+E18)-G18</f>
        <v>0</v>
      </c>
    </row>
    <row r="19" spans="1:8" ht="45" customHeight="1" x14ac:dyDescent="0.55000000000000004">
      <c r="A19" s="178" t="s">
        <v>105</v>
      </c>
      <c r="B19" s="177"/>
      <c r="C19" s="177"/>
      <c r="D19" s="182" t="s">
        <v>99</v>
      </c>
      <c r="E19" s="182" t="s">
        <v>100</v>
      </c>
      <c r="F19" s="182" t="s">
        <v>431</v>
      </c>
      <c r="G19" s="182" t="s">
        <v>432</v>
      </c>
      <c r="H19" s="182" t="s">
        <v>244</v>
      </c>
    </row>
    <row r="20" spans="1:8" ht="18" customHeight="1" x14ac:dyDescent="0.55000000000000004">
      <c r="A20" s="183" t="s">
        <v>108</v>
      </c>
      <c r="B20" s="179" t="s">
        <v>109</v>
      </c>
    </row>
    <row r="21" spans="1:8" ht="18" customHeight="1" x14ac:dyDescent="0.55000000000000004">
      <c r="A21" s="180" t="s">
        <v>110</v>
      </c>
      <c r="B21" s="176" t="s">
        <v>111</v>
      </c>
      <c r="D21" s="184">
        <v>4022</v>
      </c>
      <c r="E21" s="216">
        <v>3275.5168000000003</v>
      </c>
      <c r="F21" s="216"/>
      <c r="G21" s="184"/>
      <c r="H21" s="217">
        <f>(D21+E21)-F21-G21</f>
        <v>7297.5168000000003</v>
      </c>
    </row>
    <row r="22" spans="1:8" ht="18" customHeight="1" x14ac:dyDescent="0.55000000000000004">
      <c r="A22" s="180" t="s">
        <v>112</v>
      </c>
      <c r="B22" s="176" t="s">
        <v>113</v>
      </c>
      <c r="D22" s="184"/>
      <c r="E22" s="216"/>
      <c r="F22" s="216"/>
      <c r="G22" s="184"/>
      <c r="H22" s="217">
        <f t="shared" ref="H22:H34" si="0">(D22+E22)-F22-G22</f>
        <v>0</v>
      </c>
    </row>
    <row r="23" spans="1:8" ht="18" customHeight="1" x14ac:dyDescent="0.55000000000000004">
      <c r="A23" s="180" t="s">
        <v>114</v>
      </c>
      <c r="B23" s="176" t="s">
        <v>115</v>
      </c>
      <c r="D23" s="184"/>
      <c r="E23" s="216"/>
      <c r="F23" s="216"/>
      <c r="G23" s="184"/>
      <c r="H23" s="217">
        <f t="shared" si="0"/>
        <v>0</v>
      </c>
    </row>
    <row r="24" spans="1:8" ht="18" customHeight="1" x14ac:dyDescent="0.55000000000000004">
      <c r="A24" s="180" t="s">
        <v>116</v>
      </c>
      <c r="B24" s="176" t="s">
        <v>117</v>
      </c>
      <c r="D24" s="184"/>
      <c r="E24" s="216"/>
      <c r="F24" s="216"/>
      <c r="G24" s="184"/>
      <c r="H24" s="217">
        <f t="shared" si="0"/>
        <v>0</v>
      </c>
    </row>
    <row r="25" spans="1:8" ht="18" customHeight="1" x14ac:dyDescent="0.55000000000000004">
      <c r="A25" s="180" t="s">
        <v>118</v>
      </c>
      <c r="B25" s="176" t="s">
        <v>119</v>
      </c>
      <c r="D25" s="184"/>
      <c r="E25" s="216"/>
      <c r="F25" s="216"/>
      <c r="G25" s="184"/>
      <c r="H25" s="217">
        <f t="shared" si="0"/>
        <v>0</v>
      </c>
    </row>
    <row r="26" spans="1:8" ht="18" customHeight="1" x14ac:dyDescent="0.55000000000000004">
      <c r="A26" s="180" t="s">
        <v>120</v>
      </c>
      <c r="B26" s="176" t="s">
        <v>121</v>
      </c>
      <c r="D26" s="184"/>
      <c r="E26" s="216"/>
      <c r="F26" s="216"/>
      <c r="G26" s="184"/>
      <c r="H26" s="217">
        <f t="shared" si="0"/>
        <v>0</v>
      </c>
    </row>
    <row r="27" spans="1:8" ht="18" customHeight="1" x14ac:dyDescent="0.55000000000000004">
      <c r="A27" s="180" t="s">
        <v>122</v>
      </c>
      <c r="B27" s="176" t="s">
        <v>246</v>
      </c>
      <c r="D27" s="184"/>
      <c r="E27" s="216"/>
      <c r="F27" s="216"/>
      <c r="G27" s="184"/>
      <c r="H27" s="217">
        <f t="shared" si="0"/>
        <v>0</v>
      </c>
    </row>
    <row r="28" spans="1:8" ht="18" customHeight="1" x14ac:dyDescent="0.55000000000000004">
      <c r="A28" s="180" t="s">
        <v>124</v>
      </c>
      <c r="B28" s="176" t="s">
        <v>125</v>
      </c>
      <c r="D28" s="184"/>
      <c r="E28" s="216"/>
      <c r="F28" s="216"/>
      <c r="G28" s="184"/>
      <c r="H28" s="217">
        <f t="shared" si="0"/>
        <v>0</v>
      </c>
    </row>
    <row r="29" spans="1:8" ht="18" customHeight="1" x14ac:dyDescent="0.55000000000000004">
      <c r="A29" s="180" t="s">
        <v>126</v>
      </c>
      <c r="B29" s="176" t="s">
        <v>127</v>
      </c>
      <c r="D29" s="184">
        <v>88440</v>
      </c>
      <c r="E29" s="216">
        <v>72025.535999999993</v>
      </c>
      <c r="F29" s="216"/>
      <c r="G29" s="184"/>
      <c r="H29" s="217">
        <f t="shared" si="0"/>
        <v>160465.53599999999</v>
      </c>
    </row>
    <row r="30" spans="1:8" ht="18" customHeight="1" x14ac:dyDescent="0.55000000000000004">
      <c r="A30" s="180" t="s">
        <v>128</v>
      </c>
      <c r="B30" s="185"/>
      <c r="D30" s="184"/>
      <c r="E30" s="216"/>
      <c r="F30" s="216"/>
      <c r="G30" s="184"/>
      <c r="H30" s="217">
        <f t="shared" si="0"/>
        <v>0</v>
      </c>
    </row>
    <row r="31" spans="1:8" ht="18" customHeight="1" x14ac:dyDescent="0.55000000000000004">
      <c r="A31" s="180" t="s">
        <v>130</v>
      </c>
      <c r="B31" s="185"/>
      <c r="D31" s="184"/>
      <c r="E31" s="216"/>
      <c r="F31" s="216"/>
      <c r="G31" s="184"/>
      <c r="H31" s="217">
        <f t="shared" si="0"/>
        <v>0</v>
      </c>
    </row>
    <row r="32" spans="1:8"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92462</v>
      </c>
      <c r="E36" s="217">
        <f>SUM(E21:E34)</f>
        <v>75301.05279999999</v>
      </c>
      <c r="F36" s="217">
        <f>SUM(F21:F34)</f>
        <v>0</v>
      </c>
      <c r="G36" s="217">
        <f>SUM(G21:G34)</f>
        <v>0</v>
      </c>
      <c r="H36" s="217">
        <f>SUM(H21:H34)</f>
        <v>167763.0528</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v>201432</v>
      </c>
      <c r="E40" s="216">
        <v>164046.22080000001</v>
      </c>
      <c r="F40" s="216"/>
      <c r="G40" s="184"/>
      <c r="H40" s="217">
        <f>(D40+E40)-F40-G40</f>
        <v>365478.22080000001</v>
      </c>
    </row>
    <row r="41" spans="1:8" ht="18" customHeight="1" x14ac:dyDescent="0.55000000000000004">
      <c r="A41" s="180" t="s">
        <v>251</v>
      </c>
      <c r="B41" s="176" t="s">
        <v>141</v>
      </c>
      <c r="D41" s="184">
        <v>52800</v>
      </c>
      <c r="E41" s="216">
        <v>43000.32</v>
      </c>
      <c r="F41" s="216"/>
      <c r="G41" s="184"/>
      <c r="H41" s="217">
        <f t="shared" ref="H41:H47" si="1">(D41+E41)-F41-G41</f>
        <v>95800.320000000007</v>
      </c>
    </row>
    <row r="42" spans="1:8" ht="18" customHeight="1" x14ac:dyDescent="0.55000000000000004">
      <c r="A42" s="180" t="s">
        <v>252</v>
      </c>
      <c r="B42" s="176" t="s">
        <v>143</v>
      </c>
      <c r="D42" s="184">
        <v>440</v>
      </c>
      <c r="E42" s="216">
        <v>358.33600000000001</v>
      </c>
      <c r="F42" s="216"/>
      <c r="G42" s="184"/>
      <c r="H42" s="217">
        <f t="shared" si="1"/>
        <v>798.33600000000001</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8" ht="18" customHeight="1" x14ac:dyDescent="0.55000000000000004">
      <c r="A49" s="183" t="s">
        <v>150</v>
      </c>
      <c r="B49" s="179" t="s">
        <v>254</v>
      </c>
      <c r="C49" s="179" t="s">
        <v>248</v>
      </c>
      <c r="D49" s="217">
        <f>SUM(D40:D47)</f>
        <v>254672</v>
      </c>
      <c r="E49" s="217">
        <f>SUM(E40:E47)</f>
        <v>207404.87680000003</v>
      </c>
      <c r="F49" s="217">
        <f>SUM(F40:F47)</f>
        <v>0</v>
      </c>
      <c r="G49" s="217">
        <f>SUM(G40:G47)</f>
        <v>0</v>
      </c>
      <c r="H49" s="217">
        <f>SUM(H40:H47)</f>
        <v>462076.87680000003</v>
      </c>
    </row>
    <row r="50" spans="1:8" ht="18" customHeight="1" thickBot="1" x14ac:dyDescent="0.6">
      <c r="D50" s="189"/>
      <c r="E50" s="189"/>
      <c r="F50" s="189"/>
      <c r="G50" s="189"/>
      <c r="H50" s="189"/>
    </row>
    <row r="51" spans="1:8" ht="42.75" customHeight="1" x14ac:dyDescent="0.55000000000000004">
      <c r="D51" s="182" t="s">
        <v>99</v>
      </c>
      <c r="E51" s="182" t="s">
        <v>100</v>
      </c>
      <c r="F51" s="182" t="s">
        <v>431</v>
      </c>
      <c r="G51" s="182" t="s">
        <v>432</v>
      </c>
      <c r="H51" s="182" t="s">
        <v>244</v>
      </c>
    </row>
    <row r="52" spans="1:8" ht="18" customHeight="1" x14ac:dyDescent="0.55000000000000004">
      <c r="A52" s="183" t="s">
        <v>255</v>
      </c>
      <c r="B52" s="221" t="s">
        <v>256</v>
      </c>
    </row>
    <row r="53" spans="1:8" ht="18" customHeight="1" x14ac:dyDescent="0.55000000000000004">
      <c r="A53" s="180" t="s">
        <v>257</v>
      </c>
      <c r="B53" s="176" t="s">
        <v>433</v>
      </c>
      <c r="D53" s="344">
        <v>227088</v>
      </c>
      <c r="E53" s="222"/>
      <c r="F53" s="222"/>
      <c r="G53" s="222"/>
      <c r="H53" s="217">
        <f>(D53+E53)-F53-G53</f>
        <v>227088</v>
      </c>
    </row>
    <row r="54" spans="1:8" ht="18" customHeight="1" x14ac:dyDescent="0.55000000000000004">
      <c r="A54" s="180" t="s">
        <v>259</v>
      </c>
      <c r="B54" s="193"/>
      <c r="D54" s="184"/>
      <c r="E54" s="216"/>
      <c r="F54" s="216"/>
      <c r="G54" s="184"/>
      <c r="H54" s="217">
        <f t="shared" ref="H54:H62" si="2">(D54+E54)-F54-G54</f>
        <v>0</v>
      </c>
    </row>
    <row r="55" spans="1:8" ht="18" customHeight="1" x14ac:dyDescent="0.55000000000000004">
      <c r="A55" s="180" t="s">
        <v>260</v>
      </c>
      <c r="B55" s="194"/>
      <c r="D55" s="184"/>
      <c r="E55" s="216"/>
      <c r="F55" s="216"/>
      <c r="G55" s="184"/>
      <c r="H55" s="217">
        <f t="shared" si="2"/>
        <v>0</v>
      </c>
    </row>
    <row r="56" spans="1:8" ht="18" customHeight="1" x14ac:dyDescent="0.55000000000000004">
      <c r="A56" s="180" t="s">
        <v>261</v>
      </c>
      <c r="B56" s="193"/>
      <c r="D56" s="184"/>
      <c r="E56" s="216"/>
      <c r="F56" s="216"/>
      <c r="G56" s="184"/>
      <c r="H56" s="217">
        <f t="shared" si="2"/>
        <v>0</v>
      </c>
    </row>
    <row r="57" spans="1:8" ht="18" customHeight="1" x14ac:dyDescent="0.55000000000000004">
      <c r="A57" s="180" t="s">
        <v>263</v>
      </c>
      <c r="B57" s="193"/>
      <c r="D57" s="184"/>
      <c r="E57" s="216"/>
      <c r="F57" s="216"/>
      <c r="G57" s="184"/>
      <c r="H57" s="217">
        <f t="shared" si="2"/>
        <v>0</v>
      </c>
    </row>
    <row r="58" spans="1:8" ht="18" customHeight="1" x14ac:dyDescent="0.55000000000000004">
      <c r="A58" s="180" t="s">
        <v>264</v>
      </c>
      <c r="B58" s="193"/>
      <c r="D58" s="184"/>
      <c r="E58" s="216"/>
      <c r="F58" s="216"/>
      <c r="G58" s="184"/>
      <c r="H58" s="217">
        <f>(D58+E58)-F58-G58</f>
        <v>0</v>
      </c>
    </row>
    <row r="59" spans="1:8" ht="18" customHeight="1" x14ac:dyDescent="0.55000000000000004">
      <c r="A59" s="180" t="s">
        <v>265</v>
      </c>
      <c r="B59" s="223"/>
      <c r="D59" s="224"/>
      <c r="E59" s="225"/>
      <c r="F59" s="225"/>
      <c r="G59" s="224"/>
      <c r="H59" s="217">
        <f t="shared" si="2"/>
        <v>0</v>
      </c>
    </row>
    <row r="60" spans="1:8" ht="18" customHeight="1" x14ac:dyDescent="0.55000000000000004">
      <c r="A60" s="180" t="s">
        <v>266</v>
      </c>
      <c r="B60" s="226"/>
      <c r="C60" s="212"/>
      <c r="D60" s="222"/>
      <c r="E60" s="222"/>
      <c r="F60" s="222"/>
      <c r="G60" s="222"/>
      <c r="H60" s="217">
        <f t="shared" si="2"/>
        <v>0</v>
      </c>
    </row>
    <row r="61" spans="1:8" ht="18" customHeight="1" x14ac:dyDescent="0.55000000000000004">
      <c r="A61" s="180" t="s">
        <v>267</v>
      </c>
      <c r="B61" s="226"/>
      <c r="C61" s="212"/>
      <c r="D61" s="222"/>
      <c r="E61" s="222"/>
      <c r="F61" s="222"/>
      <c r="G61" s="222"/>
      <c r="H61" s="217">
        <f t="shared" si="2"/>
        <v>0</v>
      </c>
    </row>
    <row r="62" spans="1:8" ht="18" customHeight="1" x14ac:dyDescent="0.55000000000000004">
      <c r="A62" s="180" t="s">
        <v>268</v>
      </c>
      <c r="B62" s="226"/>
      <c r="C62" s="212"/>
      <c r="D62" s="222"/>
      <c r="E62" s="222"/>
      <c r="F62" s="222"/>
      <c r="G62" s="222"/>
      <c r="H62" s="217">
        <f t="shared" si="2"/>
        <v>0</v>
      </c>
    </row>
    <row r="63" spans="1:8" ht="18" customHeight="1" x14ac:dyDescent="0.55000000000000004">
      <c r="A63" s="180"/>
      <c r="E63" s="227"/>
      <c r="F63" s="192"/>
    </row>
    <row r="64" spans="1:8" ht="18" customHeight="1" x14ac:dyDescent="0.55000000000000004">
      <c r="A64" s="180" t="s">
        <v>269</v>
      </c>
      <c r="B64" s="179" t="s">
        <v>270</v>
      </c>
      <c r="C64" s="179" t="s">
        <v>248</v>
      </c>
      <c r="D64" s="217">
        <f>SUM(D53:D62)</f>
        <v>227088</v>
      </c>
      <c r="E64" s="217">
        <f>SUM(E53:E62)</f>
        <v>0</v>
      </c>
      <c r="F64" s="217">
        <f>SUM(F53:F62)</f>
        <v>0</v>
      </c>
      <c r="G64" s="217">
        <f>SUM(G53:G62)</f>
        <v>0</v>
      </c>
      <c r="H64" s="217">
        <f>SUM(H53:H62)</f>
        <v>227088</v>
      </c>
    </row>
    <row r="65" spans="1:10" ht="18" customHeight="1" x14ac:dyDescent="0.55000000000000004">
      <c r="D65" s="190"/>
      <c r="E65" s="190"/>
      <c r="F65" s="190"/>
      <c r="G65" s="190"/>
      <c r="H65" s="190"/>
    </row>
    <row r="66" spans="1:10" ht="42.75" customHeight="1" x14ac:dyDescent="0.55000000000000004">
      <c r="D66" s="182" t="s">
        <v>99</v>
      </c>
      <c r="E66" s="182" t="s">
        <v>100</v>
      </c>
      <c r="F66" s="182" t="s">
        <v>431</v>
      </c>
      <c r="G66" s="182" t="s">
        <v>432</v>
      </c>
      <c r="H66" s="182" t="s">
        <v>244</v>
      </c>
    </row>
    <row r="67" spans="1:10" ht="18" customHeight="1" x14ac:dyDescent="0.55000000000000004">
      <c r="A67" s="183" t="s">
        <v>271</v>
      </c>
      <c r="B67" s="179" t="s">
        <v>155</v>
      </c>
      <c r="D67" s="191"/>
      <c r="E67" s="192"/>
      <c r="F67" s="192"/>
      <c r="G67" s="191"/>
      <c r="H67" s="192"/>
    </row>
    <row r="68" spans="1:10" ht="18" customHeight="1" x14ac:dyDescent="0.55000000000000004">
      <c r="A68" s="180" t="s">
        <v>272</v>
      </c>
      <c r="B68" s="176" t="s">
        <v>157</v>
      </c>
      <c r="D68" s="228"/>
      <c r="E68" s="216"/>
      <c r="F68" s="216"/>
      <c r="G68" s="228"/>
      <c r="H68" s="217">
        <f>(D68+E68)-F68-G68</f>
        <v>0</v>
      </c>
      <c r="J68" s="254"/>
    </row>
    <row r="69" spans="1:10" ht="18" customHeight="1" x14ac:dyDescent="0.55000000000000004">
      <c r="A69" s="180" t="s">
        <v>273</v>
      </c>
      <c r="B69" s="176" t="s">
        <v>159</v>
      </c>
      <c r="D69" s="228"/>
      <c r="E69" s="216"/>
      <c r="F69" s="216"/>
      <c r="G69" s="228"/>
      <c r="H69" s="217">
        <f>(D69+E69)-F69-G69</f>
        <v>0</v>
      </c>
    </row>
    <row r="70" spans="1:10" ht="18" customHeight="1" x14ac:dyDescent="0.55000000000000004">
      <c r="A70" s="180" t="s">
        <v>274</v>
      </c>
      <c r="B70" s="193"/>
      <c r="C70" s="179"/>
      <c r="D70" s="224"/>
      <c r="E70" s="216"/>
      <c r="F70" s="225"/>
      <c r="G70" s="224"/>
      <c r="H70" s="217">
        <f>(D70+E70)-F70-G70</f>
        <v>0</v>
      </c>
    </row>
    <row r="71" spans="1:10" ht="18" customHeight="1" x14ac:dyDescent="0.55000000000000004">
      <c r="A71" s="180" t="s">
        <v>275</v>
      </c>
      <c r="B71" s="193"/>
      <c r="C71" s="179"/>
      <c r="D71" s="224"/>
      <c r="E71" s="216"/>
      <c r="F71" s="225"/>
      <c r="G71" s="224"/>
      <c r="H71" s="217">
        <f>(D71+E71)-F71-G71</f>
        <v>0</v>
      </c>
    </row>
    <row r="72" spans="1:10" ht="18" customHeight="1" x14ac:dyDescent="0.55000000000000004">
      <c r="A72" s="180" t="s">
        <v>276</v>
      </c>
      <c r="B72" s="194"/>
      <c r="C72" s="179"/>
      <c r="D72" s="184"/>
      <c r="E72" s="216"/>
      <c r="F72" s="216"/>
      <c r="G72" s="184"/>
      <c r="H72" s="217">
        <f>(D72+E72)-F72-G72</f>
        <v>0</v>
      </c>
    </row>
    <row r="73" spans="1:10" ht="18" customHeight="1" x14ac:dyDescent="0.55000000000000004">
      <c r="A73" s="180"/>
      <c r="C73" s="179"/>
      <c r="D73" s="195"/>
      <c r="E73" s="192"/>
      <c r="F73" s="192"/>
      <c r="G73" s="195"/>
      <c r="H73" s="192"/>
    </row>
    <row r="74" spans="1:10"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10" ht="42.75" customHeight="1" x14ac:dyDescent="0.55000000000000004">
      <c r="D75" s="182" t="s">
        <v>99</v>
      </c>
      <c r="E75" s="182" t="s">
        <v>100</v>
      </c>
      <c r="F75" s="182" t="s">
        <v>431</v>
      </c>
      <c r="G75" s="182" t="s">
        <v>432</v>
      </c>
      <c r="H75" s="182" t="s">
        <v>244</v>
      </c>
    </row>
    <row r="76" spans="1:10" ht="18" customHeight="1" x14ac:dyDescent="0.55000000000000004">
      <c r="A76" s="183" t="s">
        <v>278</v>
      </c>
      <c r="B76" s="179" t="s">
        <v>279</v>
      </c>
    </row>
    <row r="77" spans="1:10" ht="18" customHeight="1" x14ac:dyDescent="0.55000000000000004">
      <c r="A77" s="180" t="s">
        <v>280</v>
      </c>
      <c r="B77" s="176" t="s">
        <v>164</v>
      </c>
      <c r="D77" s="184">
        <v>2152</v>
      </c>
      <c r="E77" s="230">
        <v>1752.5888</v>
      </c>
      <c r="F77" s="220"/>
      <c r="G77" s="184"/>
      <c r="H77" s="217">
        <f>(D77-F77-G77)</f>
        <v>2152</v>
      </c>
    </row>
    <row r="78" spans="1:10" ht="18" customHeight="1" x14ac:dyDescent="0.55000000000000004">
      <c r="A78" s="180" t="s">
        <v>281</v>
      </c>
      <c r="B78" s="176" t="s">
        <v>166</v>
      </c>
      <c r="D78" s="184"/>
      <c r="E78" s="230"/>
      <c r="F78" s="220"/>
      <c r="G78" s="184"/>
      <c r="H78" s="217">
        <f>(D78-F78-G78)</f>
        <v>0</v>
      </c>
    </row>
    <row r="79" spans="1:10" ht="18" customHeight="1" x14ac:dyDescent="0.55000000000000004">
      <c r="A79" s="180" t="s">
        <v>282</v>
      </c>
      <c r="B79" s="176" t="s">
        <v>168</v>
      </c>
      <c r="D79" s="184"/>
      <c r="E79" s="230"/>
      <c r="F79" s="220"/>
      <c r="G79" s="184"/>
      <c r="H79" s="217">
        <f>(D79-F79-G79)</f>
        <v>0</v>
      </c>
    </row>
    <row r="80" spans="1:10" ht="18" customHeight="1" x14ac:dyDescent="0.55000000000000004">
      <c r="A80" s="180" t="s">
        <v>283</v>
      </c>
      <c r="B80" s="176" t="s">
        <v>170</v>
      </c>
      <c r="D80" s="184"/>
      <c r="E80" s="230"/>
      <c r="F80" s="220"/>
      <c r="G80" s="184"/>
      <c r="H80" s="217">
        <f>(D80-F80-G80)</f>
        <v>0</v>
      </c>
    </row>
    <row r="81" spans="1:8" ht="18" customHeight="1" x14ac:dyDescent="0.55000000000000004">
      <c r="A81" s="180"/>
      <c r="H81" s="196"/>
    </row>
    <row r="82" spans="1:8" ht="18" customHeight="1" x14ac:dyDescent="0.55000000000000004">
      <c r="A82" s="180" t="s">
        <v>171</v>
      </c>
      <c r="B82" s="179" t="s">
        <v>284</v>
      </c>
      <c r="C82" s="179" t="s">
        <v>248</v>
      </c>
      <c r="D82" s="217">
        <f>SUM(D77:D80)</f>
        <v>2152</v>
      </c>
      <c r="E82" s="231"/>
      <c r="F82" s="217">
        <f>SUM(F77:F80)</f>
        <v>0</v>
      </c>
      <c r="G82" s="217">
        <f>SUM(G77:G80)</f>
        <v>0</v>
      </c>
      <c r="H82" s="217">
        <f>SUM(H77:H80)</f>
        <v>2152</v>
      </c>
    </row>
    <row r="83" spans="1:8" ht="18" customHeight="1" thickBot="1" x14ac:dyDescent="0.6">
      <c r="A83" s="180"/>
      <c r="D83" s="189"/>
      <c r="E83" s="189"/>
      <c r="F83" s="189"/>
      <c r="G83" s="189"/>
      <c r="H83" s="189"/>
    </row>
    <row r="84" spans="1:8" ht="42.75" customHeight="1" x14ac:dyDescent="0.55000000000000004">
      <c r="D84" s="182" t="s">
        <v>99</v>
      </c>
      <c r="E84" s="182" t="s">
        <v>100</v>
      </c>
      <c r="F84" s="182" t="s">
        <v>431</v>
      </c>
      <c r="G84" s="182" t="s">
        <v>432</v>
      </c>
      <c r="H84" s="182" t="s">
        <v>244</v>
      </c>
    </row>
    <row r="85" spans="1:8" ht="18" customHeight="1" x14ac:dyDescent="0.55000000000000004">
      <c r="A85" s="183" t="s">
        <v>285</v>
      </c>
      <c r="B85" s="179" t="s">
        <v>173</v>
      </c>
    </row>
    <row r="86" spans="1:8" ht="18" customHeight="1" x14ac:dyDescent="0.55000000000000004">
      <c r="A86" s="180" t="s">
        <v>191</v>
      </c>
      <c r="B86" s="176" t="s">
        <v>286</v>
      </c>
      <c r="D86" s="184"/>
      <c r="E86" s="216"/>
      <c r="F86" s="216"/>
      <c r="G86" s="184"/>
      <c r="H86" s="217">
        <f>(D86+E86)-F86-G86</f>
        <v>0</v>
      </c>
    </row>
    <row r="87" spans="1:8" ht="18" customHeight="1" x14ac:dyDescent="0.55000000000000004">
      <c r="A87" s="180" t="s">
        <v>287</v>
      </c>
      <c r="B87" s="176" t="s">
        <v>177</v>
      </c>
      <c r="D87" s="184"/>
      <c r="E87" s="216"/>
      <c r="F87" s="216"/>
      <c r="G87" s="184"/>
      <c r="H87" s="217">
        <f t="shared" ref="H87:H96" si="3">(D87+E87)-F87-G87</f>
        <v>0</v>
      </c>
    </row>
    <row r="88" spans="1:8" ht="18" customHeight="1" x14ac:dyDescent="0.55000000000000004">
      <c r="A88" s="180" t="s">
        <v>288</v>
      </c>
      <c r="B88" s="176" t="s">
        <v>289</v>
      </c>
      <c r="D88" s="184">
        <v>1672</v>
      </c>
      <c r="E88" s="216">
        <v>1290.0096000000003</v>
      </c>
      <c r="F88" s="216"/>
      <c r="G88" s="184"/>
      <c r="H88" s="217">
        <f t="shared" si="3"/>
        <v>2962.0096000000003</v>
      </c>
    </row>
    <row r="89" spans="1:8" ht="18" customHeight="1" x14ac:dyDescent="0.55000000000000004">
      <c r="A89" s="180" t="s">
        <v>290</v>
      </c>
      <c r="B89" s="176" t="s">
        <v>181</v>
      </c>
      <c r="D89" s="184"/>
      <c r="E89" s="216"/>
      <c r="F89" s="216"/>
      <c r="G89" s="184"/>
      <c r="H89" s="217">
        <f t="shared" si="3"/>
        <v>0</v>
      </c>
    </row>
    <row r="90" spans="1:8" ht="18" customHeight="1" x14ac:dyDescent="0.55000000000000004">
      <c r="A90" s="180" t="s">
        <v>291</v>
      </c>
      <c r="B90" s="176" t="s">
        <v>183</v>
      </c>
      <c r="D90" s="184">
        <v>9504</v>
      </c>
      <c r="E90" s="216">
        <v>7740.0576000000001</v>
      </c>
      <c r="F90" s="216"/>
      <c r="G90" s="184"/>
      <c r="H90" s="217">
        <f t="shared" si="3"/>
        <v>17244.0576</v>
      </c>
    </row>
    <row r="91" spans="1:8" ht="18" customHeight="1" x14ac:dyDescent="0.55000000000000004">
      <c r="A91" s="180" t="s">
        <v>292</v>
      </c>
      <c r="B91" s="176" t="s">
        <v>185</v>
      </c>
      <c r="D91" s="184">
        <v>5632</v>
      </c>
      <c r="E91" s="216">
        <v>4586.7007999999996</v>
      </c>
      <c r="F91" s="216"/>
      <c r="G91" s="184"/>
      <c r="H91" s="217">
        <f t="shared" si="3"/>
        <v>10218.700799999999</v>
      </c>
    </row>
    <row r="92" spans="1:8" ht="18" customHeight="1" x14ac:dyDescent="0.55000000000000004">
      <c r="A92" s="180" t="s">
        <v>293</v>
      </c>
      <c r="B92" s="176" t="s">
        <v>294</v>
      </c>
      <c r="D92" s="233">
        <v>5536</v>
      </c>
      <c r="E92" s="216">
        <v>4508.5183999999999</v>
      </c>
      <c r="F92" s="234"/>
      <c r="G92" s="233"/>
      <c r="H92" s="217">
        <f t="shared" si="3"/>
        <v>10044.518400000001</v>
      </c>
    </row>
    <row r="93" spans="1:8" ht="18" customHeight="1" x14ac:dyDescent="0.55000000000000004">
      <c r="A93" s="180" t="s">
        <v>295</v>
      </c>
      <c r="B93" s="176" t="s">
        <v>296</v>
      </c>
      <c r="D93" s="184">
        <v>1760</v>
      </c>
      <c r="E93" s="216">
        <v>1433.3440000000001</v>
      </c>
      <c r="F93" s="216"/>
      <c r="G93" s="184"/>
      <c r="H93" s="217">
        <f t="shared" si="3"/>
        <v>3193.3440000000001</v>
      </c>
    </row>
    <row r="94" spans="1:8" ht="18" customHeight="1" x14ac:dyDescent="0.55000000000000004">
      <c r="A94" s="180" t="s">
        <v>297</v>
      </c>
      <c r="B94" s="193"/>
      <c r="D94" s="184"/>
      <c r="E94" s="216"/>
      <c r="F94" s="216"/>
      <c r="G94" s="184"/>
      <c r="H94" s="217">
        <f t="shared" si="3"/>
        <v>0</v>
      </c>
    </row>
    <row r="95" spans="1:8" ht="18" customHeight="1" x14ac:dyDescent="0.55000000000000004">
      <c r="A95" s="180" t="s">
        <v>298</v>
      </c>
      <c r="B95" s="193"/>
      <c r="D95" s="184"/>
      <c r="E95" s="216"/>
      <c r="F95" s="216"/>
      <c r="G95" s="184"/>
      <c r="H95" s="217">
        <f t="shared" si="3"/>
        <v>0</v>
      </c>
    </row>
    <row r="96" spans="1:8"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24104</v>
      </c>
      <c r="E98" s="217">
        <f>SUM(E86:E96)</f>
        <v>19558.630400000002</v>
      </c>
      <c r="F98" s="217">
        <f>SUM(F86:F96)</f>
        <v>0</v>
      </c>
      <c r="G98" s="217">
        <f>SUM(G86:G96)</f>
        <v>0</v>
      </c>
      <c r="H98" s="217">
        <f>SUM(H86:H96)</f>
        <v>43662.630399999995</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c r="E102" s="216"/>
      <c r="F102" s="216"/>
      <c r="G102" s="184"/>
      <c r="H102" s="217">
        <f>(D102+E102)-F102-G102</f>
        <v>0</v>
      </c>
    </row>
    <row r="103" spans="1:8" ht="18" customHeight="1" x14ac:dyDescent="0.55000000000000004">
      <c r="A103" s="180" t="s">
        <v>304</v>
      </c>
      <c r="B103" s="176" t="s">
        <v>199</v>
      </c>
      <c r="D103" s="184"/>
      <c r="E103" s="216"/>
      <c r="F103" s="216"/>
      <c r="G103" s="184"/>
      <c r="H103" s="217">
        <f>(D103+E103)-F103-G103</f>
        <v>0</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0</v>
      </c>
      <c r="E108" s="217">
        <f>SUM(E102:E106)</f>
        <v>0</v>
      </c>
      <c r="F108" s="217">
        <f>SUM(F102:F106)</f>
        <v>0</v>
      </c>
      <c r="G108" s="217">
        <f>SUM(G102:G106)</f>
        <v>0</v>
      </c>
      <c r="H108" s="217">
        <f>SUM(H102:H106)</f>
        <v>0</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c r="G111" s="184"/>
      <c r="H111" s="217">
        <v>37632</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c r="F114" s="235" t="s">
        <v>429</v>
      </c>
      <c r="G114" s="236"/>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7134000</v>
      </c>
      <c r="F117" s="237"/>
    </row>
    <row r="118" spans="1:7" ht="18" customHeight="1" x14ac:dyDescent="0.55000000000000004">
      <c r="A118" s="180" t="s">
        <v>319</v>
      </c>
      <c r="B118" s="176" t="s">
        <v>320</v>
      </c>
      <c r="E118" s="184">
        <v>732000</v>
      </c>
      <c r="F118" s="237"/>
    </row>
    <row r="119" spans="1:7" ht="18" customHeight="1" x14ac:dyDescent="0.55000000000000004">
      <c r="A119" s="180" t="s">
        <v>321</v>
      </c>
      <c r="B119" s="179" t="s">
        <v>322</v>
      </c>
      <c r="E119" s="217">
        <f>SUM(E117:E118)</f>
        <v>7866000</v>
      </c>
      <c r="F119" s="238"/>
    </row>
    <row r="120" spans="1:7" ht="18" customHeight="1" x14ac:dyDescent="0.55000000000000004">
      <c r="A120" s="180"/>
      <c r="B120" s="179"/>
      <c r="F120" s="212"/>
    </row>
    <row r="121" spans="1:7" ht="18" customHeight="1" x14ac:dyDescent="0.55000000000000004">
      <c r="A121" s="180" t="s">
        <v>323</v>
      </c>
      <c r="B121" s="179" t="s">
        <v>324</v>
      </c>
      <c r="E121" s="184">
        <v>8462000</v>
      </c>
      <c r="F121" s="237"/>
    </row>
    <row r="122" spans="1:7" ht="18" customHeight="1" x14ac:dyDescent="0.55000000000000004">
      <c r="A122" s="180"/>
      <c r="F122" s="212"/>
    </row>
    <row r="123" spans="1:7" ht="18" customHeight="1" x14ac:dyDescent="0.55000000000000004">
      <c r="A123" s="180" t="s">
        <v>325</v>
      </c>
      <c r="B123" s="179" t="s">
        <v>326</v>
      </c>
      <c r="E123" s="184">
        <v>596000</v>
      </c>
      <c r="F123" s="237"/>
    </row>
    <row r="124" spans="1:7" ht="18" customHeight="1" x14ac:dyDescent="0.55000000000000004">
      <c r="A124" s="180"/>
      <c r="F124" s="212"/>
    </row>
    <row r="125" spans="1:7" ht="18" customHeight="1" x14ac:dyDescent="0.55000000000000004">
      <c r="A125" s="180" t="s">
        <v>327</v>
      </c>
      <c r="B125" s="179" t="s">
        <v>328</v>
      </c>
      <c r="E125" s="184"/>
      <c r="F125" s="237"/>
    </row>
    <row r="126" spans="1:7" ht="18" customHeight="1" x14ac:dyDescent="0.55000000000000004">
      <c r="A126" s="180"/>
      <c r="F126" s="212"/>
    </row>
    <row r="127" spans="1:7" ht="18" customHeight="1" x14ac:dyDescent="0.55000000000000004">
      <c r="A127" s="180" t="s">
        <v>329</v>
      </c>
      <c r="B127" s="179" t="s">
        <v>330</v>
      </c>
      <c r="E127" s="184">
        <v>596000</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92462</v>
      </c>
      <c r="E141" s="239">
        <f>E36</f>
        <v>75301.05279999999</v>
      </c>
      <c r="F141" s="239">
        <f>F36</f>
        <v>0</v>
      </c>
      <c r="G141" s="239">
        <f>G36</f>
        <v>0</v>
      </c>
      <c r="H141" s="239">
        <f>H36</f>
        <v>167763.0528</v>
      </c>
    </row>
    <row r="142" spans="1:8" ht="18" customHeight="1" x14ac:dyDescent="0.55000000000000004">
      <c r="A142" s="180" t="s">
        <v>150</v>
      </c>
      <c r="B142" s="179" t="s">
        <v>220</v>
      </c>
      <c r="D142" s="239">
        <f>D49</f>
        <v>254672</v>
      </c>
      <c r="E142" s="239">
        <f>E49</f>
        <v>207404.87680000003</v>
      </c>
      <c r="F142" s="239">
        <f>F49</f>
        <v>0</v>
      </c>
      <c r="G142" s="239">
        <f>G49</f>
        <v>0</v>
      </c>
      <c r="H142" s="239">
        <f>H49</f>
        <v>462076.87680000003</v>
      </c>
    </row>
    <row r="143" spans="1:8" ht="18" customHeight="1" x14ac:dyDescent="0.55000000000000004">
      <c r="A143" s="180" t="s">
        <v>269</v>
      </c>
      <c r="B143" s="179" t="s">
        <v>222</v>
      </c>
      <c r="D143" s="239">
        <f>D64</f>
        <v>227088</v>
      </c>
      <c r="E143" s="239">
        <f>E64</f>
        <v>0</v>
      </c>
      <c r="F143" s="239">
        <f>F64</f>
        <v>0</v>
      </c>
      <c r="G143" s="239">
        <f>G64</f>
        <v>0</v>
      </c>
      <c r="H143" s="239">
        <f>H64</f>
        <v>227088</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2152</v>
      </c>
      <c r="E145" s="239">
        <f>E82</f>
        <v>0</v>
      </c>
      <c r="F145" s="239">
        <f>F82</f>
        <v>0</v>
      </c>
      <c r="G145" s="239">
        <f>G82</f>
        <v>0</v>
      </c>
      <c r="H145" s="239">
        <f>H82</f>
        <v>2152</v>
      </c>
    </row>
    <row r="146" spans="1:8" ht="18" customHeight="1" x14ac:dyDescent="0.55000000000000004">
      <c r="A146" s="180" t="s">
        <v>193</v>
      </c>
      <c r="B146" s="179" t="s">
        <v>226</v>
      </c>
      <c r="D146" s="239">
        <f>D98</f>
        <v>24104</v>
      </c>
      <c r="E146" s="239">
        <f>E98</f>
        <v>19558.630400000002</v>
      </c>
      <c r="F146" s="239">
        <f>F98</f>
        <v>0</v>
      </c>
      <c r="G146" s="239">
        <f>G98</f>
        <v>0</v>
      </c>
      <c r="H146" s="239">
        <f>H98</f>
        <v>43662.630399999995</v>
      </c>
    </row>
    <row r="147" spans="1:8" ht="18" customHeight="1" x14ac:dyDescent="0.55000000000000004">
      <c r="A147" s="180" t="s">
        <v>204</v>
      </c>
      <c r="B147" s="179" t="s">
        <v>71</v>
      </c>
      <c r="D147" s="217">
        <f>D108</f>
        <v>0</v>
      </c>
      <c r="E147" s="217">
        <f>E108</f>
        <v>0</v>
      </c>
      <c r="F147" s="217">
        <f>F108</f>
        <v>0</v>
      </c>
      <c r="G147" s="217">
        <f>G108</f>
        <v>0</v>
      </c>
      <c r="H147" s="217">
        <f>H108</f>
        <v>0</v>
      </c>
    </row>
    <row r="148" spans="1:8" ht="18" customHeight="1" x14ac:dyDescent="0.55000000000000004">
      <c r="A148" s="180" t="s">
        <v>310</v>
      </c>
      <c r="B148" s="179" t="s">
        <v>58</v>
      </c>
      <c r="D148" s="240" t="s">
        <v>245</v>
      </c>
      <c r="E148" s="240" t="s">
        <v>245</v>
      </c>
      <c r="F148" s="240"/>
      <c r="G148" s="240" t="s">
        <v>245</v>
      </c>
      <c r="H148" s="239">
        <f>H111</f>
        <v>37632</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0</v>
      </c>
      <c r="E150" s="217">
        <f>E18</f>
        <v>0</v>
      </c>
      <c r="F150" s="217">
        <f>F18</f>
        <v>0</v>
      </c>
      <c r="G150" s="217">
        <f>G18</f>
        <v>0</v>
      </c>
      <c r="H150" s="217">
        <f>H18</f>
        <v>0</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600478</v>
      </c>
      <c r="E152" s="241">
        <f>SUM(E141:E150)</f>
        <v>302264.56000000006</v>
      </c>
      <c r="F152" s="241">
        <f>SUM(F141:F150)</f>
        <v>0</v>
      </c>
      <c r="G152" s="241">
        <f>SUM(G141:G150)</f>
        <v>0</v>
      </c>
      <c r="H152" s="241">
        <f>SUM(H141:H150)</f>
        <v>940374.56</v>
      </c>
    </row>
    <row r="154" spans="1:8" ht="18" customHeight="1" x14ac:dyDescent="0.55000000000000004">
      <c r="A154" s="183" t="s">
        <v>339</v>
      </c>
      <c r="B154" s="179" t="s">
        <v>340</v>
      </c>
      <c r="D154" s="242">
        <f>H152/E121</f>
        <v>0.11112911368470811</v>
      </c>
    </row>
    <row r="155" spans="1:8" ht="18" customHeight="1" x14ac:dyDescent="0.55000000000000004">
      <c r="A155" s="183" t="s">
        <v>341</v>
      </c>
      <c r="B155" s="179" t="s">
        <v>342</v>
      </c>
      <c r="D155" s="242">
        <f>H152/E127</f>
        <v>1.5778096644295303</v>
      </c>
    </row>
  </sheetData>
  <mergeCells count="2">
    <mergeCell ref="C2:D2"/>
    <mergeCell ref="B13:D13"/>
  </mergeCells>
  <hyperlinks>
    <hyperlink ref="C11" r:id="rId1" xr:uid="{83049EA3-575A-4141-B10D-4A7FA6CED65A}"/>
  </hyperlinks>
  <pageMargins left="0.7" right="0.7" top="0.75" bottom="0.75" header="0.3" footer="0.3"/>
  <pageSetup orientation="portrait" horizontalDpi="1200" verticalDpi="1200"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594D4-2512-4C94-82A7-74F113C90139}">
  <sheetPr codeName="Sheet60"/>
  <dimension ref="A1:J155"/>
  <sheetViews>
    <sheetView zoomScaleNormal="100" workbookViewId="0"/>
  </sheetViews>
  <sheetFormatPr defaultColWidth="9" defaultRowHeight="14.4" x14ac:dyDescent="0.55000000000000004"/>
  <cols>
    <col min="1" max="1" width="8.26171875" style="175" customWidth="1"/>
    <col min="2" max="2" width="55.41796875" style="176" bestFit="1" customWidth="1"/>
    <col min="3" max="3" width="30.15625" style="176" bestFit="1" customWidth="1"/>
    <col min="4" max="4" width="17.15625" style="176" customWidth="1"/>
    <col min="5" max="6" width="21.15625" style="176" customWidth="1"/>
    <col min="7" max="7" width="19.83984375" style="176" customWidth="1"/>
    <col min="8" max="8" width="17.578125" style="176" customWidth="1"/>
    <col min="9" max="9" width="22.26171875"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247" t="s">
        <v>650</v>
      </c>
      <c r="D5" s="247"/>
      <c r="E5" s="247"/>
      <c r="F5" s="208"/>
    </row>
    <row r="6" spans="1:8" ht="18" customHeight="1" x14ac:dyDescent="0.55000000000000004">
      <c r="B6" s="180" t="s">
        <v>237</v>
      </c>
      <c r="C6" s="244"/>
      <c r="D6" s="244"/>
      <c r="E6" s="244"/>
      <c r="F6" s="209"/>
    </row>
    <row r="7" spans="1:8" ht="18" customHeight="1" x14ac:dyDescent="0.55000000000000004">
      <c r="B7" s="180" t="s">
        <v>238</v>
      </c>
      <c r="C7" s="245">
        <v>728</v>
      </c>
      <c r="D7" s="246"/>
      <c r="E7" s="246"/>
      <c r="F7" s="210"/>
    </row>
    <row r="8" spans="1:8" ht="18" customHeight="1" x14ac:dyDescent="0.55000000000000004">
      <c r="C8" s="211"/>
      <c r="D8" s="211"/>
      <c r="E8" s="211"/>
      <c r="F8" s="212"/>
    </row>
    <row r="9" spans="1:8" ht="18" customHeight="1" x14ac:dyDescent="0.55000000000000004">
      <c r="B9" s="180" t="s">
        <v>239</v>
      </c>
      <c r="C9" s="247" t="s">
        <v>651</v>
      </c>
      <c r="D9" s="247"/>
      <c r="E9" s="247"/>
      <c r="F9" s="208"/>
    </row>
    <row r="10" spans="1:8" ht="18" customHeight="1" x14ac:dyDescent="0.55000000000000004">
      <c r="B10" s="180" t="s">
        <v>241</v>
      </c>
      <c r="C10" s="248" t="s">
        <v>652</v>
      </c>
      <c r="D10" s="248"/>
      <c r="E10" s="248"/>
      <c r="F10" s="213"/>
    </row>
    <row r="11" spans="1:8" ht="18" customHeight="1" x14ac:dyDescent="0.55000000000000004">
      <c r="B11" s="180" t="s">
        <v>243</v>
      </c>
      <c r="C11" s="247" t="s">
        <v>653</v>
      </c>
      <c r="D11" s="247"/>
      <c r="E11" s="247"/>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9" ht="18" customHeight="1" x14ac:dyDescent="0.55000000000000004">
      <c r="A17" s="183" t="s">
        <v>101</v>
      </c>
      <c r="B17" s="179" t="s">
        <v>102</v>
      </c>
    </row>
    <row r="18" spans="1:9" ht="18" customHeight="1" x14ac:dyDescent="0.55000000000000004">
      <c r="A18" s="180" t="s">
        <v>103</v>
      </c>
      <c r="B18" s="176" t="s">
        <v>104</v>
      </c>
      <c r="D18" s="214"/>
      <c r="E18" s="214"/>
      <c r="F18" s="214"/>
      <c r="G18" s="214"/>
      <c r="H18" s="249">
        <f>(D18+E18)-G18</f>
        <v>0</v>
      </c>
    </row>
    <row r="19" spans="1:9" ht="45" customHeight="1" x14ac:dyDescent="0.55000000000000004">
      <c r="A19" s="178" t="s">
        <v>105</v>
      </c>
      <c r="B19" s="177"/>
      <c r="C19" s="177"/>
      <c r="D19" s="182" t="s">
        <v>99</v>
      </c>
      <c r="E19" s="182" t="s">
        <v>100</v>
      </c>
      <c r="F19" s="182" t="s">
        <v>431</v>
      </c>
      <c r="G19" s="182" t="s">
        <v>432</v>
      </c>
      <c r="H19" s="182" t="s">
        <v>244</v>
      </c>
    </row>
    <row r="20" spans="1:9" ht="18" customHeight="1" x14ac:dyDescent="0.55000000000000004">
      <c r="A20" s="183" t="s">
        <v>108</v>
      </c>
      <c r="B20" s="179" t="s">
        <v>109</v>
      </c>
    </row>
    <row r="21" spans="1:9" ht="18" customHeight="1" x14ac:dyDescent="0.55000000000000004">
      <c r="A21" s="180" t="s">
        <v>110</v>
      </c>
      <c r="B21" s="176" t="s">
        <v>111</v>
      </c>
      <c r="D21" s="184">
        <v>80382.839654256502</v>
      </c>
      <c r="E21" s="216">
        <v>37579.281643422306</v>
      </c>
      <c r="F21" s="216"/>
      <c r="G21" s="184">
        <v>0</v>
      </c>
      <c r="H21" s="217">
        <v>117962.12129767881</v>
      </c>
      <c r="I21" s="278"/>
    </row>
    <row r="22" spans="1:9" ht="18" customHeight="1" x14ac:dyDescent="0.55000000000000004">
      <c r="A22" s="180" t="s">
        <v>112</v>
      </c>
      <c r="B22" s="176" t="s">
        <v>113</v>
      </c>
      <c r="D22" s="184">
        <v>0</v>
      </c>
      <c r="E22" s="216">
        <v>0</v>
      </c>
      <c r="F22" s="216"/>
      <c r="G22" s="184">
        <v>0</v>
      </c>
      <c r="H22" s="217">
        <v>0</v>
      </c>
      <c r="I22" s="278"/>
    </row>
    <row r="23" spans="1:9" ht="18" customHeight="1" x14ac:dyDescent="0.55000000000000004">
      <c r="A23" s="180" t="s">
        <v>114</v>
      </c>
      <c r="B23" s="176" t="s">
        <v>115</v>
      </c>
      <c r="D23" s="184">
        <v>0</v>
      </c>
      <c r="E23" s="216">
        <v>0</v>
      </c>
      <c r="F23" s="216"/>
      <c r="G23" s="184">
        <v>0</v>
      </c>
      <c r="H23" s="217">
        <v>0</v>
      </c>
      <c r="I23" s="278"/>
    </row>
    <row r="24" spans="1:9" ht="18" customHeight="1" x14ac:dyDescent="0.55000000000000004">
      <c r="A24" s="180" t="s">
        <v>116</v>
      </c>
      <c r="B24" s="176" t="s">
        <v>117</v>
      </c>
      <c r="D24" s="184">
        <v>3264.625</v>
      </c>
      <c r="E24" s="216">
        <v>2149.9161414931314</v>
      </c>
      <c r="F24" s="216"/>
      <c r="G24" s="184">
        <v>0</v>
      </c>
      <c r="H24" s="217">
        <v>5414.5411414931314</v>
      </c>
      <c r="I24" s="278"/>
    </row>
    <row r="25" spans="1:9" ht="18" customHeight="1" x14ac:dyDescent="0.55000000000000004">
      <c r="A25" s="180" t="s">
        <v>118</v>
      </c>
      <c r="B25" s="176" t="s">
        <v>119</v>
      </c>
      <c r="D25" s="184">
        <v>4210.1500000000005</v>
      </c>
      <c r="E25" s="216">
        <v>507.77454493114101</v>
      </c>
      <c r="F25" s="216"/>
      <c r="G25" s="184">
        <v>0</v>
      </c>
      <c r="H25" s="217">
        <v>4717.924544931142</v>
      </c>
      <c r="I25" s="278"/>
    </row>
    <row r="26" spans="1:9" ht="18" customHeight="1" x14ac:dyDescent="0.55000000000000004">
      <c r="A26" s="180" t="s">
        <v>120</v>
      </c>
      <c r="B26" s="176" t="s">
        <v>121</v>
      </c>
      <c r="D26" s="184">
        <v>7495.3125</v>
      </c>
      <c r="E26" s="216">
        <v>4936.031957509741</v>
      </c>
      <c r="F26" s="216"/>
      <c r="G26" s="184">
        <v>0</v>
      </c>
      <c r="H26" s="217">
        <v>12431.344457509742</v>
      </c>
      <c r="I26" s="278"/>
    </row>
    <row r="27" spans="1:9" ht="18" customHeight="1" x14ac:dyDescent="0.55000000000000004">
      <c r="A27" s="180" t="s">
        <v>122</v>
      </c>
      <c r="B27" s="176" t="s">
        <v>246</v>
      </c>
      <c r="D27" s="184">
        <v>0</v>
      </c>
      <c r="E27" s="216">
        <v>0</v>
      </c>
      <c r="F27" s="216"/>
      <c r="G27" s="184">
        <v>0</v>
      </c>
      <c r="H27" s="217">
        <v>0</v>
      </c>
      <c r="I27" s="278"/>
    </row>
    <row r="28" spans="1:9" ht="18" customHeight="1" x14ac:dyDescent="0.55000000000000004">
      <c r="A28" s="180" t="s">
        <v>124</v>
      </c>
      <c r="B28" s="176" t="s">
        <v>125</v>
      </c>
      <c r="D28" s="184">
        <v>0</v>
      </c>
      <c r="E28" s="216">
        <v>0</v>
      </c>
      <c r="F28" s="216"/>
      <c r="G28" s="184">
        <v>0</v>
      </c>
      <c r="H28" s="217">
        <v>0</v>
      </c>
      <c r="I28" s="278"/>
    </row>
    <row r="29" spans="1:9" ht="18" customHeight="1" x14ac:dyDescent="0.55000000000000004">
      <c r="A29" s="180" t="s">
        <v>126</v>
      </c>
      <c r="B29" s="176" t="s">
        <v>127</v>
      </c>
      <c r="D29" s="184">
        <v>2710.7459738507177</v>
      </c>
      <c r="E29" s="216">
        <v>599.38299996872524</v>
      </c>
      <c r="F29" s="216"/>
      <c r="G29" s="184">
        <v>0</v>
      </c>
      <c r="H29" s="217">
        <v>3310.1289738194428</v>
      </c>
      <c r="I29" s="278"/>
    </row>
    <row r="30" spans="1:9" ht="18" customHeight="1" x14ac:dyDescent="0.55000000000000004">
      <c r="A30" s="180" t="s">
        <v>128</v>
      </c>
      <c r="B30" s="185"/>
      <c r="D30" s="184">
        <v>0</v>
      </c>
      <c r="E30" s="216">
        <v>0</v>
      </c>
      <c r="F30" s="216"/>
      <c r="G30" s="184">
        <v>0</v>
      </c>
      <c r="H30" s="217">
        <v>0</v>
      </c>
      <c r="I30" s="278"/>
    </row>
    <row r="31" spans="1:9" ht="18" customHeight="1" x14ac:dyDescent="0.55000000000000004">
      <c r="A31" s="180" t="s">
        <v>130</v>
      </c>
      <c r="B31" s="185"/>
      <c r="D31" s="184">
        <v>0</v>
      </c>
      <c r="E31" s="216">
        <v>0</v>
      </c>
      <c r="F31" s="216"/>
      <c r="G31" s="184">
        <v>0</v>
      </c>
      <c r="H31" s="217">
        <v>0</v>
      </c>
      <c r="I31" s="278"/>
    </row>
    <row r="32" spans="1:9" ht="18" customHeight="1" x14ac:dyDescent="0.55000000000000004">
      <c r="A32" s="180" t="s">
        <v>131</v>
      </c>
      <c r="B32" s="185"/>
      <c r="D32" s="184">
        <v>0</v>
      </c>
      <c r="E32" s="216">
        <v>0</v>
      </c>
      <c r="F32" s="216"/>
      <c r="G32" s="184">
        <v>0</v>
      </c>
      <c r="H32" s="217">
        <v>0</v>
      </c>
      <c r="I32" s="278"/>
    </row>
    <row r="33" spans="1:9" ht="18" customHeight="1" x14ac:dyDescent="0.55000000000000004">
      <c r="A33" s="180" t="s">
        <v>132</v>
      </c>
      <c r="B33" s="185"/>
      <c r="D33" s="184">
        <v>0</v>
      </c>
      <c r="E33" s="216">
        <v>0</v>
      </c>
      <c r="F33" s="216"/>
      <c r="G33" s="184">
        <v>0</v>
      </c>
      <c r="H33" s="217">
        <v>0</v>
      </c>
      <c r="I33" s="278"/>
    </row>
    <row r="34" spans="1:9" ht="18" customHeight="1" x14ac:dyDescent="0.55000000000000004">
      <c r="A34" s="180" t="s">
        <v>133</v>
      </c>
      <c r="B34" s="185"/>
      <c r="D34" s="184">
        <v>0</v>
      </c>
      <c r="E34" s="216">
        <v>0</v>
      </c>
      <c r="F34" s="216"/>
      <c r="G34" s="184">
        <v>0</v>
      </c>
      <c r="H34" s="217">
        <v>0</v>
      </c>
      <c r="I34" s="278"/>
    </row>
    <row r="35" spans="1:9" ht="18" customHeight="1" x14ac:dyDescent="0.55000000000000004">
      <c r="H35" s="186"/>
      <c r="I35" s="278"/>
    </row>
    <row r="36" spans="1:9" ht="18" customHeight="1" x14ac:dyDescent="0.55000000000000004">
      <c r="A36" s="183" t="s">
        <v>134</v>
      </c>
      <c r="B36" s="179" t="s">
        <v>135</v>
      </c>
      <c r="C36" s="179" t="s">
        <v>248</v>
      </c>
      <c r="D36" s="217">
        <f>SUM(D21:D34)</f>
        <v>98063.673128107213</v>
      </c>
      <c r="E36" s="217">
        <f>SUM(E21:E34)</f>
        <v>45772.387287325037</v>
      </c>
      <c r="F36" s="217">
        <f>SUM(F21:F34)</f>
        <v>0</v>
      </c>
      <c r="G36" s="217">
        <f>SUM(G21:G34)</f>
        <v>0</v>
      </c>
      <c r="H36" s="217">
        <f>SUM(H21:H34)</f>
        <v>143836.06041543226</v>
      </c>
      <c r="I36" s="278"/>
    </row>
    <row r="37" spans="1:9" ht="18" customHeight="1" thickBot="1" x14ac:dyDescent="0.6">
      <c r="B37" s="179"/>
      <c r="D37" s="187"/>
      <c r="E37" s="187"/>
      <c r="F37" s="187"/>
      <c r="G37" s="187"/>
      <c r="H37" s="188"/>
      <c r="I37" s="278"/>
    </row>
    <row r="38" spans="1:9" ht="42.75" customHeight="1" x14ac:dyDescent="0.55000000000000004">
      <c r="D38" s="182" t="s">
        <v>99</v>
      </c>
      <c r="E38" s="182" t="s">
        <v>100</v>
      </c>
      <c r="F38" s="182" t="s">
        <v>431</v>
      </c>
      <c r="G38" s="182" t="s">
        <v>432</v>
      </c>
      <c r="H38" s="182" t="s">
        <v>244</v>
      </c>
      <c r="I38" s="278"/>
    </row>
    <row r="39" spans="1:9" ht="18.75" customHeight="1" x14ac:dyDescent="0.55000000000000004">
      <c r="A39" s="183" t="s">
        <v>249</v>
      </c>
      <c r="B39" s="179" t="s">
        <v>137</v>
      </c>
      <c r="I39" s="278"/>
    </row>
    <row r="40" spans="1:9" ht="18" customHeight="1" x14ac:dyDescent="0.55000000000000004">
      <c r="A40" s="180" t="s">
        <v>250</v>
      </c>
      <c r="B40" s="176" t="s">
        <v>139</v>
      </c>
      <c r="D40" s="184">
        <v>3753.7480214100033</v>
      </c>
      <c r="E40" s="216">
        <v>452.72916484154609</v>
      </c>
      <c r="F40" s="216"/>
      <c r="G40" s="184">
        <v>0</v>
      </c>
      <c r="H40" s="217">
        <v>4206.477186251549</v>
      </c>
      <c r="I40" s="278"/>
    </row>
    <row r="41" spans="1:9" ht="18" customHeight="1" x14ac:dyDescent="0.55000000000000004">
      <c r="A41" s="180" t="s">
        <v>251</v>
      </c>
      <c r="B41" s="176" t="s">
        <v>141</v>
      </c>
      <c r="D41" s="184">
        <v>151574.77516188589</v>
      </c>
      <c r="E41" s="216">
        <v>99819.445040006336</v>
      </c>
      <c r="F41" s="216"/>
      <c r="G41" s="184">
        <v>0</v>
      </c>
      <c r="H41" s="217">
        <v>251394.22020189223</v>
      </c>
      <c r="I41" s="278"/>
    </row>
    <row r="42" spans="1:9" ht="18" customHeight="1" x14ac:dyDescent="0.55000000000000004">
      <c r="A42" s="180" t="s">
        <v>252</v>
      </c>
      <c r="B42" s="176" t="s">
        <v>143</v>
      </c>
      <c r="D42" s="184">
        <v>206201.37170341754</v>
      </c>
      <c r="E42" s="216">
        <v>123589.52387237697</v>
      </c>
      <c r="F42" s="216"/>
      <c r="G42" s="184">
        <v>0</v>
      </c>
      <c r="H42" s="217">
        <v>329790.89557579451</v>
      </c>
      <c r="I42" s="278"/>
    </row>
    <row r="43" spans="1:9" ht="18" customHeight="1" x14ac:dyDescent="0.55000000000000004">
      <c r="A43" s="180" t="s">
        <v>253</v>
      </c>
      <c r="B43" s="176" t="s">
        <v>145</v>
      </c>
      <c r="D43" s="184">
        <v>0</v>
      </c>
      <c r="E43" s="216">
        <v>0</v>
      </c>
      <c r="F43" s="216"/>
      <c r="G43" s="184">
        <v>0</v>
      </c>
      <c r="H43" s="217">
        <v>0</v>
      </c>
      <c r="I43" s="278"/>
    </row>
    <row r="44" spans="1:9" ht="18" customHeight="1" x14ac:dyDescent="0.55000000000000004">
      <c r="A44" s="180" t="s">
        <v>146</v>
      </c>
      <c r="B44" s="185"/>
      <c r="D44" s="184">
        <v>0</v>
      </c>
      <c r="E44" s="216">
        <v>0</v>
      </c>
      <c r="F44" s="216"/>
      <c r="G44" s="184">
        <v>0</v>
      </c>
      <c r="H44" s="217">
        <v>0</v>
      </c>
      <c r="I44" s="278"/>
    </row>
    <row r="45" spans="1:9" ht="18" customHeight="1" x14ac:dyDescent="0.55000000000000004">
      <c r="A45" s="180" t="s">
        <v>147</v>
      </c>
      <c r="B45" s="185"/>
      <c r="D45" s="184">
        <v>0</v>
      </c>
      <c r="E45" s="216">
        <v>0</v>
      </c>
      <c r="F45" s="216"/>
      <c r="G45" s="184">
        <v>0</v>
      </c>
      <c r="H45" s="217">
        <v>0</v>
      </c>
      <c r="I45" s="278"/>
    </row>
    <row r="46" spans="1:9" ht="18" customHeight="1" x14ac:dyDescent="0.55000000000000004">
      <c r="A46" s="180" t="s">
        <v>148</v>
      </c>
      <c r="B46" s="185"/>
      <c r="D46" s="184">
        <v>0</v>
      </c>
      <c r="E46" s="216">
        <v>0</v>
      </c>
      <c r="F46" s="216"/>
      <c r="G46" s="184">
        <v>0</v>
      </c>
      <c r="H46" s="217">
        <v>0</v>
      </c>
      <c r="I46" s="278"/>
    </row>
    <row r="47" spans="1:9" ht="18" customHeight="1" x14ac:dyDescent="0.55000000000000004">
      <c r="A47" s="180" t="s">
        <v>149</v>
      </c>
      <c r="B47" s="185"/>
      <c r="D47" s="184">
        <v>0</v>
      </c>
      <c r="E47" s="216">
        <v>0</v>
      </c>
      <c r="F47" s="216"/>
      <c r="G47" s="184">
        <v>0</v>
      </c>
      <c r="H47" s="217">
        <v>0</v>
      </c>
      <c r="I47" s="278"/>
    </row>
    <row r="48" spans="1:9" ht="18" customHeight="1" x14ac:dyDescent="0.55000000000000004">
      <c r="I48" s="278"/>
    </row>
    <row r="49" spans="1:9" ht="18" customHeight="1" x14ac:dyDescent="0.55000000000000004">
      <c r="A49" s="183" t="s">
        <v>150</v>
      </c>
      <c r="B49" s="179" t="s">
        <v>254</v>
      </c>
      <c r="C49" s="179" t="s">
        <v>248</v>
      </c>
      <c r="D49" s="217">
        <f>SUM(D40:D47)</f>
        <v>361529.89488671342</v>
      </c>
      <c r="E49" s="217">
        <f>SUM(E40:E47)</f>
        <v>223861.69807722484</v>
      </c>
      <c r="F49" s="217">
        <f>SUM(F40:F47)</f>
        <v>0</v>
      </c>
      <c r="G49" s="217">
        <f>SUM(G40:G47)</f>
        <v>0</v>
      </c>
      <c r="H49" s="217">
        <f>SUM(H40:H47)</f>
        <v>585391.59296393825</v>
      </c>
      <c r="I49" s="278"/>
    </row>
    <row r="50" spans="1:9" ht="18" customHeight="1" thickBot="1" x14ac:dyDescent="0.6">
      <c r="D50" s="189"/>
      <c r="E50" s="189"/>
      <c r="F50" s="189"/>
      <c r="G50" s="189"/>
      <c r="H50" s="189"/>
      <c r="I50" s="278"/>
    </row>
    <row r="51" spans="1:9" ht="42.75" customHeight="1" x14ac:dyDescent="0.55000000000000004">
      <c r="D51" s="182" t="s">
        <v>99</v>
      </c>
      <c r="E51" s="182" t="s">
        <v>100</v>
      </c>
      <c r="F51" s="182" t="s">
        <v>431</v>
      </c>
      <c r="G51" s="182" t="s">
        <v>432</v>
      </c>
      <c r="H51" s="182" t="s">
        <v>244</v>
      </c>
      <c r="I51" s="278"/>
    </row>
    <row r="52" spans="1:9" ht="18" customHeight="1" x14ac:dyDescent="0.55000000000000004">
      <c r="A52" s="183" t="s">
        <v>255</v>
      </c>
      <c r="B52" s="221" t="s">
        <v>256</v>
      </c>
      <c r="I52" s="278"/>
    </row>
    <row r="53" spans="1:9" ht="18" customHeight="1" x14ac:dyDescent="0.55000000000000004">
      <c r="A53" s="180" t="s">
        <v>257</v>
      </c>
      <c r="B53" s="176" t="s">
        <v>433</v>
      </c>
      <c r="D53" s="203">
        <v>501380.22867555008</v>
      </c>
      <c r="E53" s="203">
        <v>330183.54226138757</v>
      </c>
      <c r="F53" s="222"/>
      <c r="G53" s="203">
        <v>271392.67633283942</v>
      </c>
      <c r="H53" s="217">
        <f>(D53+E53)-F53-G53</f>
        <v>560171.09460409824</v>
      </c>
      <c r="I53" s="278"/>
    </row>
    <row r="54" spans="1:9" ht="18" customHeight="1" x14ac:dyDescent="0.55000000000000004">
      <c r="A54" s="180" t="s">
        <v>259</v>
      </c>
      <c r="B54" s="193" t="s">
        <v>654</v>
      </c>
      <c r="D54" s="184"/>
      <c r="E54" s="216"/>
      <c r="F54" s="216"/>
      <c r="G54" s="184"/>
      <c r="H54" s="217">
        <f t="shared" ref="H54:H62" si="0">(D54+E54)-F54-G54</f>
        <v>0</v>
      </c>
      <c r="I54" s="278"/>
    </row>
    <row r="55" spans="1:9" ht="18" customHeight="1" x14ac:dyDescent="0.55000000000000004">
      <c r="A55" s="180" t="s">
        <v>260</v>
      </c>
      <c r="B55" s="194"/>
      <c r="D55" s="184"/>
      <c r="E55" s="216"/>
      <c r="F55" s="216"/>
      <c r="G55" s="184"/>
      <c r="H55" s="217">
        <f t="shared" si="0"/>
        <v>0</v>
      </c>
      <c r="I55" s="278"/>
    </row>
    <row r="56" spans="1:9" ht="18" customHeight="1" x14ac:dyDescent="0.55000000000000004">
      <c r="A56" s="180" t="s">
        <v>261</v>
      </c>
      <c r="B56" s="193"/>
      <c r="D56" s="184"/>
      <c r="E56" s="216"/>
      <c r="F56" s="216"/>
      <c r="G56" s="184"/>
      <c r="H56" s="217">
        <f t="shared" si="0"/>
        <v>0</v>
      </c>
      <c r="I56" s="278"/>
    </row>
    <row r="57" spans="1:9" ht="18" customHeight="1" x14ac:dyDescent="0.55000000000000004">
      <c r="A57" s="180" t="s">
        <v>263</v>
      </c>
      <c r="B57" s="193"/>
      <c r="D57" s="184"/>
      <c r="E57" s="216"/>
      <c r="F57" s="216"/>
      <c r="G57" s="184"/>
      <c r="H57" s="217">
        <f t="shared" si="0"/>
        <v>0</v>
      </c>
      <c r="I57" s="278"/>
    </row>
    <row r="58" spans="1:9" ht="18" customHeight="1" x14ac:dyDescent="0.55000000000000004">
      <c r="A58" s="180" t="s">
        <v>264</v>
      </c>
      <c r="B58" s="193"/>
      <c r="D58" s="184"/>
      <c r="E58" s="216"/>
      <c r="F58" s="216"/>
      <c r="G58" s="184"/>
      <c r="H58" s="217">
        <f>(D58+E58)-F58-G58</f>
        <v>0</v>
      </c>
      <c r="I58" s="278"/>
    </row>
    <row r="59" spans="1:9" ht="18" customHeight="1" x14ac:dyDescent="0.55000000000000004">
      <c r="A59" s="180" t="s">
        <v>265</v>
      </c>
      <c r="B59" s="223"/>
      <c r="D59" s="224"/>
      <c r="E59" s="225"/>
      <c r="F59" s="225"/>
      <c r="G59" s="224"/>
      <c r="H59" s="217">
        <f t="shared" si="0"/>
        <v>0</v>
      </c>
      <c r="I59" s="278"/>
    </row>
    <row r="60" spans="1:9" ht="18" customHeight="1" x14ac:dyDescent="0.55000000000000004">
      <c r="A60" s="180" t="s">
        <v>266</v>
      </c>
      <c r="B60" s="226"/>
      <c r="C60" s="212"/>
      <c r="D60" s="222"/>
      <c r="E60" s="222"/>
      <c r="F60" s="222"/>
      <c r="G60" s="222"/>
      <c r="H60" s="217">
        <f t="shared" si="0"/>
        <v>0</v>
      </c>
      <c r="I60" s="278"/>
    </row>
    <row r="61" spans="1:9" ht="18" customHeight="1" x14ac:dyDescent="0.55000000000000004">
      <c r="A61" s="180" t="s">
        <v>267</v>
      </c>
      <c r="B61" s="226"/>
      <c r="C61" s="212"/>
      <c r="D61" s="222"/>
      <c r="E61" s="222"/>
      <c r="F61" s="222"/>
      <c r="G61" s="222"/>
      <c r="H61" s="217">
        <f t="shared" si="0"/>
        <v>0</v>
      </c>
      <c r="I61" s="278"/>
    </row>
    <row r="62" spans="1:9" ht="18" customHeight="1" x14ac:dyDescent="0.55000000000000004">
      <c r="A62" s="180" t="s">
        <v>268</v>
      </c>
      <c r="B62" s="226"/>
      <c r="C62" s="212"/>
      <c r="D62" s="222"/>
      <c r="E62" s="222"/>
      <c r="F62" s="222"/>
      <c r="G62" s="222"/>
      <c r="H62" s="217">
        <f t="shared" si="0"/>
        <v>0</v>
      </c>
      <c r="I62" s="278"/>
    </row>
    <row r="63" spans="1:9" ht="18" customHeight="1" x14ac:dyDescent="0.55000000000000004">
      <c r="A63" s="180"/>
      <c r="E63" s="227"/>
      <c r="F63" s="192"/>
      <c r="I63" s="278"/>
    </row>
    <row r="64" spans="1:9" ht="18" customHeight="1" x14ac:dyDescent="0.55000000000000004">
      <c r="A64" s="180" t="s">
        <v>269</v>
      </c>
      <c r="B64" s="179" t="s">
        <v>270</v>
      </c>
      <c r="C64" s="179" t="s">
        <v>248</v>
      </c>
      <c r="D64" s="217">
        <f>SUM(D53:D62)</f>
        <v>501380.22867555008</v>
      </c>
      <c r="E64" s="217">
        <f>SUM(E53:E62)</f>
        <v>330183.54226138757</v>
      </c>
      <c r="F64" s="217">
        <f>SUM(F53:F62)</f>
        <v>0</v>
      </c>
      <c r="G64" s="217">
        <f>SUM(G53:G62)</f>
        <v>271392.67633283942</v>
      </c>
      <c r="H64" s="217">
        <f>SUM(H53:H62)</f>
        <v>560171.09460409824</v>
      </c>
      <c r="I64" s="278"/>
    </row>
    <row r="65" spans="1:10" ht="18" customHeight="1" x14ac:dyDescent="0.55000000000000004">
      <c r="D65" s="190"/>
      <c r="E65" s="190"/>
      <c r="F65" s="190"/>
      <c r="G65" s="190"/>
      <c r="H65" s="190"/>
      <c r="I65" s="278"/>
    </row>
    <row r="66" spans="1:10" ht="42.75" customHeight="1" x14ac:dyDescent="0.55000000000000004">
      <c r="D66" s="182" t="s">
        <v>99</v>
      </c>
      <c r="E66" s="182" t="s">
        <v>100</v>
      </c>
      <c r="F66" s="182" t="s">
        <v>431</v>
      </c>
      <c r="G66" s="182" t="s">
        <v>432</v>
      </c>
      <c r="H66" s="182" t="s">
        <v>244</v>
      </c>
      <c r="I66" s="278"/>
    </row>
    <row r="67" spans="1:10" ht="18" customHeight="1" x14ac:dyDescent="0.55000000000000004">
      <c r="A67" s="183" t="s">
        <v>271</v>
      </c>
      <c r="B67" s="179" t="s">
        <v>155</v>
      </c>
      <c r="D67" s="191"/>
      <c r="E67" s="192"/>
      <c r="F67" s="192"/>
      <c r="G67" s="191"/>
      <c r="H67" s="192"/>
      <c r="I67" s="278"/>
    </row>
    <row r="68" spans="1:10" ht="18" customHeight="1" x14ac:dyDescent="0.55000000000000004">
      <c r="A68" s="180" t="s">
        <v>272</v>
      </c>
      <c r="B68" s="176" t="s">
        <v>157</v>
      </c>
      <c r="D68" s="216">
        <v>234.51401686208618</v>
      </c>
      <c r="E68" s="216">
        <v>28.284086835889394</v>
      </c>
      <c r="F68" s="216"/>
      <c r="G68" s="228">
        <v>0</v>
      </c>
      <c r="H68" s="217">
        <f>(D68+E68)-F68-G68</f>
        <v>262.79810369797559</v>
      </c>
      <c r="I68" s="278"/>
      <c r="J68" s="254"/>
    </row>
    <row r="69" spans="1:10" ht="18" customHeight="1" x14ac:dyDescent="0.55000000000000004">
      <c r="A69" s="180" t="s">
        <v>273</v>
      </c>
      <c r="B69" s="176" t="s">
        <v>159</v>
      </c>
      <c r="D69" s="216">
        <v>0</v>
      </c>
      <c r="E69" s="216">
        <v>0</v>
      </c>
      <c r="F69" s="216"/>
      <c r="G69" s="228">
        <v>0</v>
      </c>
      <c r="H69" s="217">
        <f>(D69+E69)-F69-G69</f>
        <v>0</v>
      </c>
      <c r="I69" s="278"/>
    </row>
    <row r="70" spans="1:10" ht="18" customHeight="1" x14ac:dyDescent="0.55000000000000004">
      <c r="A70" s="180" t="s">
        <v>274</v>
      </c>
      <c r="B70" s="193"/>
      <c r="C70" s="179"/>
      <c r="D70" s="224"/>
      <c r="E70" s="216"/>
      <c r="F70" s="225"/>
      <c r="G70" s="224"/>
      <c r="H70" s="217">
        <f>(D70+E70)-F70-G70</f>
        <v>0</v>
      </c>
      <c r="I70" s="278"/>
    </row>
    <row r="71" spans="1:10" ht="18" customHeight="1" x14ac:dyDescent="0.55000000000000004">
      <c r="A71" s="180" t="s">
        <v>275</v>
      </c>
      <c r="B71" s="193"/>
      <c r="C71" s="179"/>
      <c r="D71" s="224"/>
      <c r="E71" s="216"/>
      <c r="F71" s="225"/>
      <c r="G71" s="224"/>
      <c r="H71" s="217">
        <f>(D71+E71)-F71-G71</f>
        <v>0</v>
      </c>
      <c r="I71" s="278"/>
    </row>
    <row r="72" spans="1:10" ht="18" customHeight="1" x14ac:dyDescent="0.55000000000000004">
      <c r="A72" s="180" t="s">
        <v>276</v>
      </c>
      <c r="B72" s="194"/>
      <c r="C72" s="179"/>
      <c r="D72" s="184"/>
      <c r="E72" s="216"/>
      <c r="F72" s="216"/>
      <c r="G72" s="184"/>
      <c r="H72" s="217">
        <f>(D72+E72)-F72-G72</f>
        <v>0</v>
      </c>
      <c r="I72" s="278"/>
    </row>
    <row r="73" spans="1:10" ht="18" customHeight="1" x14ac:dyDescent="0.55000000000000004">
      <c r="A73" s="180"/>
      <c r="C73" s="179"/>
      <c r="D73" s="195"/>
      <c r="E73" s="192"/>
      <c r="F73" s="192"/>
      <c r="G73" s="195"/>
      <c r="H73" s="192"/>
      <c r="I73" s="278"/>
    </row>
    <row r="74" spans="1:10" ht="18" customHeight="1" x14ac:dyDescent="0.55000000000000004">
      <c r="A74" s="183" t="s">
        <v>161</v>
      </c>
      <c r="B74" s="179" t="s">
        <v>277</v>
      </c>
      <c r="C74" s="179" t="s">
        <v>248</v>
      </c>
      <c r="D74" s="217">
        <f>SUM(D68:D72)</f>
        <v>234.51401686208618</v>
      </c>
      <c r="E74" s="229">
        <f>SUM(E68:E72)</f>
        <v>28.284086835889394</v>
      </c>
      <c r="F74" s="229">
        <f>SUM(F68:F72)</f>
        <v>0</v>
      </c>
      <c r="G74" s="217">
        <f>SUM(G68:G72)</f>
        <v>0</v>
      </c>
      <c r="H74" s="217">
        <f>SUM(H68:H72)</f>
        <v>262.79810369797559</v>
      </c>
      <c r="I74" s="278"/>
    </row>
    <row r="75" spans="1:10" ht="42.75" customHeight="1" x14ac:dyDescent="0.55000000000000004">
      <c r="D75" s="182" t="s">
        <v>99</v>
      </c>
      <c r="E75" s="182" t="s">
        <v>100</v>
      </c>
      <c r="F75" s="182" t="s">
        <v>431</v>
      </c>
      <c r="G75" s="182" t="s">
        <v>432</v>
      </c>
      <c r="H75" s="182" t="s">
        <v>244</v>
      </c>
      <c r="I75" s="278"/>
    </row>
    <row r="76" spans="1:10" ht="18" customHeight="1" x14ac:dyDescent="0.55000000000000004">
      <c r="A76" s="183" t="s">
        <v>278</v>
      </c>
      <c r="B76" s="179" t="s">
        <v>279</v>
      </c>
      <c r="I76" s="278"/>
    </row>
    <row r="77" spans="1:10" ht="18" customHeight="1" x14ac:dyDescent="0.55000000000000004">
      <c r="A77" s="180" t="s">
        <v>280</v>
      </c>
      <c r="B77" s="176" t="s">
        <v>164</v>
      </c>
      <c r="D77" s="184"/>
      <c r="E77" s="230"/>
      <c r="F77" s="220"/>
      <c r="G77" s="184"/>
      <c r="H77" s="217">
        <f>(D77-F77-G77)</f>
        <v>0</v>
      </c>
      <c r="I77" s="278"/>
    </row>
    <row r="78" spans="1:10" ht="18" customHeight="1" x14ac:dyDescent="0.55000000000000004">
      <c r="A78" s="180" t="s">
        <v>281</v>
      </c>
      <c r="B78" s="176" t="s">
        <v>166</v>
      </c>
      <c r="D78" s="184"/>
      <c r="E78" s="230"/>
      <c r="F78" s="220"/>
      <c r="G78" s="184"/>
      <c r="H78" s="217">
        <f>(D78-F78-G78)</f>
        <v>0</v>
      </c>
      <c r="I78" s="278"/>
    </row>
    <row r="79" spans="1:10" ht="18" customHeight="1" x14ac:dyDescent="0.55000000000000004">
      <c r="A79" s="180" t="s">
        <v>282</v>
      </c>
      <c r="B79" s="176" t="s">
        <v>168</v>
      </c>
      <c r="D79" s="184">
        <v>76676.020628028637</v>
      </c>
      <c r="E79" s="230"/>
      <c r="F79" s="220">
        <v>0</v>
      </c>
      <c r="G79" s="184">
        <v>0</v>
      </c>
      <c r="H79" s="217">
        <f>(D79-F79-G79)</f>
        <v>76676.020628028637</v>
      </c>
      <c r="I79" s="278"/>
    </row>
    <row r="80" spans="1:10" ht="18" customHeight="1" x14ac:dyDescent="0.55000000000000004">
      <c r="A80" s="180" t="s">
        <v>283</v>
      </c>
      <c r="B80" s="176" t="s">
        <v>170</v>
      </c>
      <c r="D80" s="184"/>
      <c r="E80" s="230"/>
      <c r="F80" s="220"/>
      <c r="G80" s="184"/>
      <c r="H80" s="217">
        <f>(D80-F80-G80)</f>
        <v>0</v>
      </c>
      <c r="I80" s="278"/>
    </row>
    <row r="81" spans="1:9" ht="18" customHeight="1" x14ac:dyDescent="0.55000000000000004">
      <c r="A81" s="180"/>
      <c r="H81" s="196"/>
      <c r="I81" s="278"/>
    </row>
    <row r="82" spans="1:9" ht="18" customHeight="1" x14ac:dyDescent="0.55000000000000004">
      <c r="A82" s="180" t="s">
        <v>171</v>
      </c>
      <c r="B82" s="179" t="s">
        <v>284</v>
      </c>
      <c r="C82" s="179" t="s">
        <v>248</v>
      </c>
      <c r="D82" s="217">
        <f>SUM(D77:D80)</f>
        <v>76676.020628028637</v>
      </c>
      <c r="E82" s="231"/>
      <c r="F82" s="217">
        <f>SUM(F77:F80)</f>
        <v>0</v>
      </c>
      <c r="G82" s="217">
        <f>SUM(G77:G80)</f>
        <v>0</v>
      </c>
      <c r="H82" s="217">
        <f>SUM(H77:H80)</f>
        <v>76676.020628028637</v>
      </c>
      <c r="I82" s="278"/>
    </row>
    <row r="83" spans="1:9" ht="18" customHeight="1" thickBot="1" x14ac:dyDescent="0.6">
      <c r="A83" s="180"/>
      <c r="D83" s="189"/>
      <c r="E83" s="189"/>
      <c r="F83" s="189"/>
      <c r="G83" s="189"/>
      <c r="H83" s="189"/>
      <c r="I83" s="278"/>
    </row>
    <row r="84" spans="1:9" ht="42.75" customHeight="1" x14ac:dyDescent="0.55000000000000004">
      <c r="D84" s="182" t="s">
        <v>99</v>
      </c>
      <c r="E84" s="182" t="s">
        <v>100</v>
      </c>
      <c r="F84" s="182" t="s">
        <v>431</v>
      </c>
      <c r="G84" s="182" t="s">
        <v>432</v>
      </c>
      <c r="H84" s="182" t="s">
        <v>244</v>
      </c>
      <c r="I84" s="278"/>
    </row>
    <row r="85" spans="1:9" ht="18" customHeight="1" x14ac:dyDescent="0.55000000000000004">
      <c r="A85" s="183" t="s">
        <v>285</v>
      </c>
      <c r="B85" s="179" t="s">
        <v>173</v>
      </c>
      <c r="I85" s="278"/>
    </row>
    <row r="86" spans="1:9" ht="18" customHeight="1" x14ac:dyDescent="0.55000000000000004">
      <c r="A86" s="180" t="s">
        <v>191</v>
      </c>
      <c r="B86" s="176" t="s">
        <v>286</v>
      </c>
      <c r="D86" s="184">
        <v>4347.4375</v>
      </c>
      <c r="E86" s="216">
        <v>524.33241052672167</v>
      </c>
      <c r="F86" s="216">
        <v>0</v>
      </c>
      <c r="G86" s="184">
        <v>0</v>
      </c>
      <c r="H86" s="217">
        <f>(D86+E86)-F86-G86</f>
        <v>4871.769910526722</v>
      </c>
      <c r="I86" s="278"/>
    </row>
    <row r="87" spans="1:9" ht="18" customHeight="1" x14ac:dyDescent="0.55000000000000004">
      <c r="A87" s="180" t="s">
        <v>287</v>
      </c>
      <c r="B87" s="176" t="s">
        <v>177</v>
      </c>
      <c r="D87" s="184">
        <v>0</v>
      </c>
      <c r="E87" s="216">
        <v>0</v>
      </c>
      <c r="F87" s="216">
        <v>0</v>
      </c>
      <c r="G87" s="184">
        <v>0</v>
      </c>
      <c r="H87" s="217">
        <f t="shared" ref="H87:H96" si="1">(D87+E87)-F87-G87</f>
        <v>0</v>
      </c>
      <c r="I87" s="278"/>
    </row>
    <row r="88" spans="1:9" ht="18" customHeight="1" x14ac:dyDescent="0.55000000000000004">
      <c r="A88" s="180" t="s">
        <v>288</v>
      </c>
      <c r="B88" s="176" t="s">
        <v>289</v>
      </c>
      <c r="D88" s="184">
        <v>0</v>
      </c>
      <c r="E88" s="216">
        <v>0</v>
      </c>
      <c r="F88" s="216">
        <v>0</v>
      </c>
      <c r="G88" s="184">
        <v>0</v>
      </c>
      <c r="H88" s="217">
        <f t="shared" si="1"/>
        <v>0</v>
      </c>
      <c r="I88" s="278"/>
    </row>
    <row r="89" spans="1:9" ht="18" customHeight="1" x14ac:dyDescent="0.55000000000000004">
      <c r="A89" s="180" t="s">
        <v>290</v>
      </c>
      <c r="B89" s="176" t="s">
        <v>181</v>
      </c>
      <c r="D89" s="184">
        <v>0</v>
      </c>
      <c r="E89" s="216">
        <v>0</v>
      </c>
      <c r="F89" s="216">
        <v>0</v>
      </c>
      <c r="G89" s="184">
        <v>0</v>
      </c>
      <c r="H89" s="217">
        <f t="shared" si="1"/>
        <v>0</v>
      </c>
      <c r="I89" s="278"/>
    </row>
    <row r="90" spans="1:9" ht="18" customHeight="1" x14ac:dyDescent="0.55000000000000004">
      <c r="A90" s="180" t="s">
        <v>291</v>
      </c>
      <c r="B90" s="176" t="s">
        <v>183</v>
      </c>
      <c r="D90" s="184">
        <v>26283.14451566014</v>
      </c>
      <c r="E90" s="216">
        <v>17308.743467753389</v>
      </c>
      <c r="F90" s="216">
        <v>0</v>
      </c>
      <c r="G90" s="184">
        <v>0</v>
      </c>
      <c r="H90" s="217">
        <f t="shared" si="1"/>
        <v>43591.88798341353</v>
      </c>
      <c r="I90" s="278"/>
    </row>
    <row r="91" spans="1:9" ht="18" customHeight="1" x14ac:dyDescent="0.55000000000000004">
      <c r="A91" s="180" t="s">
        <v>292</v>
      </c>
      <c r="B91" s="176" t="s">
        <v>185</v>
      </c>
      <c r="D91" s="184">
        <v>18310.887500000001</v>
      </c>
      <c r="E91" s="216">
        <v>2208.4254878324564</v>
      </c>
      <c r="F91" s="216">
        <v>0</v>
      </c>
      <c r="G91" s="184">
        <v>0</v>
      </c>
      <c r="H91" s="217">
        <f t="shared" si="1"/>
        <v>20519.312987832458</v>
      </c>
      <c r="I91" s="278"/>
    </row>
    <row r="92" spans="1:9" ht="18" customHeight="1" x14ac:dyDescent="0.55000000000000004">
      <c r="A92" s="180" t="s">
        <v>293</v>
      </c>
      <c r="B92" s="176" t="s">
        <v>294</v>
      </c>
      <c r="D92" s="233">
        <v>457.625</v>
      </c>
      <c r="E92" s="216">
        <v>55.192885318602279</v>
      </c>
      <c r="F92" s="234">
        <v>0</v>
      </c>
      <c r="G92" s="233">
        <v>0</v>
      </c>
      <c r="H92" s="217">
        <f t="shared" si="1"/>
        <v>512.81788531860229</v>
      </c>
      <c r="I92" s="278"/>
    </row>
    <row r="93" spans="1:9" ht="18" customHeight="1" x14ac:dyDescent="0.55000000000000004">
      <c r="A93" s="180" t="s">
        <v>295</v>
      </c>
      <c r="B93" s="176" t="s">
        <v>296</v>
      </c>
      <c r="D93" s="184">
        <v>0</v>
      </c>
      <c r="E93" s="216">
        <v>0</v>
      </c>
      <c r="F93" s="216">
        <v>0</v>
      </c>
      <c r="G93" s="184">
        <v>0</v>
      </c>
      <c r="H93" s="217">
        <f t="shared" si="1"/>
        <v>0</v>
      </c>
      <c r="I93" s="278"/>
    </row>
    <row r="94" spans="1:9" ht="18" customHeight="1" x14ac:dyDescent="0.55000000000000004">
      <c r="A94" s="180" t="s">
        <v>297</v>
      </c>
      <c r="B94" s="193"/>
      <c r="D94" s="184">
        <v>0</v>
      </c>
      <c r="E94" s="216">
        <v>0</v>
      </c>
      <c r="F94" s="216">
        <v>0</v>
      </c>
      <c r="G94" s="184">
        <v>0</v>
      </c>
      <c r="H94" s="217">
        <f t="shared" si="1"/>
        <v>0</v>
      </c>
      <c r="I94" s="278"/>
    </row>
    <row r="95" spans="1:9" ht="18" customHeight="1" x14ac:dyDescent="0.55000000000000004">
      <c r="A95" s="180" t="s">
        <v>298</v>
      </c>
      <c r="B95" s="193"/>
      <c r="D95" s="184">
        <v>0</v>
      </c>
      <c r="E95" s="216">
        <v>0</v>
      </c>
      <c r="F95" s="216">
        <v>0</v>
      </c>
      <c r="G95" s="184">
        <v>0</v>
      </c>
      <c r="H95" s="217">
        <f t="shared" si="1"/>
        <v>0</v>
      </c>
      <c r="I95" s="278"/>
    </row>
    <row r="96" spans="1:9" ht="18" customHeight="1" x14ac:dyDescent="0.55000000000000004">
      <c r="A96" s="180" t="s">
        <v>299</v>
      </c>
      <c r="B96" s="193"/>
      <c r="D96" s="184">
        <v>0</v>
      </c>
      <c r="E96" s="216">
        <v>0</v>
      </c>
      <c r="F96" s="216">
        <v>0</v>
      </c>
      <c r="G96" s="184">
        <v>0</v>
      </c>
      <c r="H96" s="217">
        <f t="shared" si="1"/>
        <v>0</v>
      </c>
      <c r="I96" s="278"/>
    </row>
    <row r="97" spans="1:9" ht="18" customHeight="1" x14ac:dyDescent="0.55000000000000004">
      <c r="A97" s="180"/>
      <c r="I97" s="278"/>
    </row>
    <row r="98" spans="1:9" ht="18" customHeight="1" x14ac:dyDescent="0.55000000000000004">
      <c r="A98" s="183" t="s">
        <v>193</v>
      </c>
      <c r="B98" s="179" t="s">
        <v>300</v>
      </c>
      <c r="C98" s="179" t="s">
        <v>248</v>
      </c>
      <c r="D98" s="217">
        <f>SUM(D86:D96)</f>
        <v>49399.094515660137</v>
      </c>
      <c r="E98" s="217">
        <f>SUM(E86:E96)</f>
        <v>20096.69425143117</v>
      </c>
      <c r="F98" s="217">
        <f>SUM(F86:F96)</f>
        <v>0</v>
      </c>
      <c r="G98" s="217">
        <f>SUM(G86:G96)</f>
        <v>0</v>
      </c>
      <c r="H98" s="217">
        <f>SUM(H86:H96)</f>
        <v>69495.788767091304</v>
      </c>
      <c r="I98" s="278"/>
    </row>
    <row r="99" spans="1:9" ht="18" customHeight="1" thickBot="1" x14ac:dyDescent="0.6">
      <c r="B99" s="179"/>
      <c r="D99" s="189"/>
      <c r="E99" s="189"/>
      <c r="F99" s="189"/>
      <c r="G99" s="189"/>
      <c r="H99" s="189"/>
      <c r="I99" s="278"/>
    </row>
    <row r="100" spans="1:9" ht="42.75" customHeight="1" x14ac:dyDescent="0.55000000000000004">
      <c r="D100" s="182" t="s">
        <v>99</v>
      </c>
      <c r="E100" s="182" t="s">
        <v>100</v>
      </c>
      <c r="F100" s="182" t="s">
        <v>431</v>
      </c>
      <c r="G100" s="182" t="s">
        <v>432</v>
      </c>
      <c r="H100" s="182" t="s">
        <v>244</v>
      </c>
      <c r="I100" s="278"/>
    </row>
    <row r="101" spans="1:9" ht="18" customHeight="1" x14ac:dyDescent="0.55000000000000004">
      <c r="A101" s="183" t="s">
        <v>301</v>
      </c>
      <c r="B101" s="179" t="s">
        <v>195</v>
      </c>
      <c r="I101" s="278"/>
    </row>
    <row r="102" spans="1:9" ht="18" customHeight="1" x14ac:dyDescent="0.55000000000000004">
      <c r="A102" s="180" t="s">
        <v>302</v>
      </c>
      <c r="B102" s="176" t="s">
        <v>303</v>
      </c>
      <c r="D102" s="184">
        <v>97624.8</v>
      </c>
      <c r="E102" s="216">
        <v>34960.222328231212</v>
      </c>
      <c r="F102" s="216">
        <v>0</v>
      </c>
      <c r="G102" s="184">
        <v>0</v>
      </c>
      <c r="H102" s="217">
        <f>(D102+E102)-F102-G102</f>
        <v>132585.02232823122</v>
      </c>
      <c r="I102" s="278"/>
    </row>
    <row r="103" spans="1:9" ht="18" customHeight="1" x14ac:dyDescent="0.55000000000000004">
      <c r="A103" s="180" t="s">
        <v>304</v>
      </c>
      <c r="B103" s="176" t="s">
        <v>199</v>
      </c>
      <c r="D103" s="184"/>
      <c r="E103" s="216"/>
      <c r="F103" s="216"/>
      <c r="G103" s="184"/>
      <c r="H103" s="217">
        <f>(D103+E103)-F103-G103</f>
        <v>0</v>
      </c>
      <c r="I103" s="278"/>
    </row>
    <row r="104" spans="1:9" ht="18" customHeight="1" x14ac:dyDescent="0.55000000000000004">
      <c r="A104" s="180" t="s">
        <v>305</v>
      </c>
      <c r="B104" s="193"/>
      <c r="D104" s="184"/>
      <c r="E104" s="216"/>
      <c r="F104" s="216"/>
      <c r="G104" s="184"/>
      <c r="H104" s="217">
        <f>(D104+E104)-F104-G104</f>
        <v>0</v>
      </c>
      <c r="I104" s="278"/>
    </row>
    <row r="105" spans="1:9" ht="18" customHeight="1" x14ac:dyDescent="0.55000000000000004">
      <c r="A105" s="180" t="s">
        <v>306</v>
      </c>
      <c r="B105" s="193"/>
      <c r="D105" s="184"/>
      <c r="E105" s="216"/>
      <c r="F105" s="216"/>
      <c r="G105" s="184"/>
      <c r="H105" s="217">
        <f>(D105+E105)-F105-G105</f>
        <v>0</v>
      </c>
      <c r="I105" s="278"/>
    </row>
    <row r="106" spans="1:9" ht="18" customHeight="1" x14ac:dyDescent="0.55000000000000004">
      <c r="A106" s="180" t="s">
        <v>307</v>
      </c>
      <c r="B106" s="193"/>
      <c r="D106" s="184"/>
      <c r="E106" s="216"/>
      <c r="F106" s="216"/>
      <c r="G106" s="184"/>
      <c r="H106" s="217">
        <f>(D106+E106)-F106-G106</f>
        <v>0</v>
      </c>
      <c r="I106" s="278"/>
    </row>
    <row r="107" spans="1:9" ht="18" customHeight="1" x14ac:dyDescent="0.55000000000000004">
      <c r="B107" s="179"/>
      <c r="I107" s="278"/>
    </row>
    <row r="108" spans="1:9" ht="18" customHeight="1" x14ac:dyDescent="0.55000000000000004">
      <c r="A108" s="183" t="s">
        <v>204</v>
      </c>
      <c r="B108" s="179" t="s">
        <v>308</v>
      </c>
      <c r="C108" s="179" t="s">
        <v>248</v>
      </c>
      <c r="D108" s="217">
        <f>SUM(D102:D106)</f>
        <v>97624.8</v>
      </c>
      <c r="E108" s="217">
        <f>SUM(E102:E106)</f>
        <v>34960.222328231212</v>
      </c>
      <c r="F108" s="217">
        <f>SUM(F102:F106)</f>
        <v>0</v>
      </c>
      <c r="G108" s="217">
        <f>SUM(G102:G106)</f>
        <v>0</v>
      </c>
      <c r="H108" s="217">
        <f>SUM(H102:H106)</f>
        <v>132585.02232823122</v>
      </c>
      <c r="I108" s="278"/>
    </row>
    <row r="109" spans="1:9" ht="18" customHeight="1" thickBot="1" x14ac:dyDescent="0.6">
      <c r="A109" s="197"/>
      <c r="B109" s="198"/>
      <c r="C109" s="199"/>
      <c r="D109" s="189"/>
      <c r="E109" s="189"/>
      <c r="F109" s="189"/>
      <c r="G109" s="189"/>
      <c r="H109" s="189"/>
    </row>
    <row r="110" spans="1:9" ht="25.5" x14ac:dyDescent="0.55000000000000004">
      <c r="A110" s="183" t="s">
        <v>309</v>
      </c>
      <c r="B110" s="179" t="s">
        <v>434</v>
      </c>
      <c r="F110" s="182"/>
      <c r="G110" s="182" t="s">
        <v>435</v>
      </c>
      <c r="H110" s="182" t="s">
        <v>244</v>
      </c>
    </row>
    <row r="111" spans="1:9" ht="18" customHeight="1" x14ac:dyDescent="0.55000000000000004">
      <c r="A111" s="183" t="s">
        <v>310</v>
      </c>
      <c r="B111" s="179" t="s">
        <v>311</v>
      </c>
      <c r="E111" s="179" t="s">
        <v>436</v>
      </c>
      <c r="F111" s="184">
        <v>33672.57999999998</v>
      </c>
      <c r="G111" s="184">
        <v>0</v>
      </c>
      <c r="H111" s="217">
        <f>F111-G111</f>
        <v>33672.57999999998</v>
      </c>
    </row>
    <row r="112" spans="1:9"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0.65854918757686765</v>
      </c>
      <c r="F114" s="235" t="s">
        <v>429</v>
      </c>
      <c r="G114" s="236">
        <v>0.12060723369265726</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73483036</v>
      </c>
      <c r="F117" s="237"/>
    </row>
    <row r="118" spans="1:7" ht="18" customHeight="1" x14ac:dyDescent="0.55000000000000004">
      <c r="A118" s="180" t="s">
        <v>319</v>
      </c>
      <c r="B118" s="176" t="s">
        <v>320</v>
      </c>
      <c r="E118" s="184">
        <v>6011178</v>
      </c>
      <c r="F118" s="237"/>
    </row>
    <row r="119" spans="1:7" ht="18" customHeight="1" x14ac:dyDescent="0.55000000000000004">
      <c r="A119" s="180" t="s">
        <v>321</v>
      </c>
      <c r="B119" s="179" t="s">
        <v>322</v>
      </c>
      <c r="E119" s="217">
        <f>SUM(E117:E118)</f>
        <v>79494214</v>
      </c>
      <c r="F119" s="238"/>
    </row>
    <row r="120" spans="1:7" ht="18" customHeight="1" x14ac:dyDescent="0.55000000000000004">
      <c r="A120" s="180"/>
      <c r="B120" s="179"/>
      <c r="F120" s="212"/>
    </row>
    <row r="121" spans="1:7" ht="18" customHeight="1" x14ac:dyDescent="0.55000000000000004">
      <c r="A121" s="180" t="s">
        <v>323</v>
      </c>
      <c r="B121" s="179" t="s">
        <v>324</v>
      </c>
      <c r="E121" s="184">
        <v>62131847</v>
      </c>
      <c r="F121" s="237"/>
    </row>
    <row r="122" spans="1:7" ht="18" customHeight="1" x14ac:dyDescent="0.55000000000000004">
      <c r="A122" s="180"/>
      <c r="F122" s="212"/>
    </row>
    <row r="123" spans="1:7" ht="18" customHeight="1" x14ac:dyDescent="0.55000000000000004">
      <c r="A123" s="180" t="s">
        <v>325</v>
      </c>
      <c r="B123" s="179" t="s">
        <v>326</v>
      </c>
      <c r="E123" s="184">
        <v>4377066</v>
      </c>
      <c r="F123" s="419"/>
    </row>
    <row r="124" spans="1:7" ht="18" customHeight="1" x14ac:dyDescent="0.55000000000000004">
      <c r="A124" s="180"/>
      <c r="F124" s="212"/>
    </row>
    <row r="125" spans="1:7" ht="18" customHeight="1" x14ac:dyDescent="0.55000000000000004">
      <c r="A125" s="180" t="s">
        <v>327</v>
      </c>
      <c r="B125" s="179" t="s">
        <v>328</v>
      </c>
      <c r="E125" s="184">
        <v>9416389</v>
      </c>
      <c r="F125" s="237"/>
    </row>
    <row r="126" spans="1:7" ht="18" customHeight="1" x14ac:dyDescent="0.55000000000000004">
      <c r="A126" s="180"/>
      <c r="F126" s="212"/>
    </row>
    <row r="127" spans="1:7" ht="18" customHeight="1" x14ac:dyDescent="0.55000000000000004">
      <c r="A127" s="180" t="s">
        <v>329</v>
      </c>
      <c r="B127" s="179" t="s">
        <v>330</v>
      </c>
      <c r="E127" s="184">
        <v>13793455</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v>526224.21</v>
      </c>
      <c r="E131" s="216">
        <v>0</v>
      </c>
      <c r="F131" s="216">
        <v>0</v>
      </c>
      <c r="G131" s="184">
        <v>0</v>
      </c>
      <c r="H131" s="217">
        <f>(D131+E131)-F131-G131</f>
        <v>526224.21</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526224.21</v>
      </c>
      <c r="E137" s="217">
        <f>SUM(E131:E135)</f>
        <v>0</v>
      </c>
      <c r="F137" s="217">
        <f>SUM(F131:F135)</f>
        <v>0</v>
      </c>
      <c r="G137" s="217">
        <f>SUM(G131:G135)</f>
        <v>0</v>
      </c>
      <c r="H137" s="217">
        <f>SUM(H131:H135)</f>
        <v>526224.21</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98063.673128107213</v>
      </c>
      <c r="E141" s="239">
        <f>E36</f>
        <v>45772.387287325037</v>
      </c>
      <c r="F141" s="239">
        <f>F36</f>
        <v>0</v>
      </c>
      <c r="G141" s="239">
        <f>G36</f>
        <v>0</v>
      </c>
      <c r="H141" s="239">
        <f>H36</f>
        <v>143836.06041543226</v>
      </c>
    </row>
    <row r="142" spans="1:8" ht="18" customHeight="1" x14ac:dyDescent="0.55000000000000004">
      <c r="A142" s="180" t="s">
        <v>150</v>
      </c>
      <c r="B142" s="179" t="s">
        <v>220</v>
      </c>
      <c r="D142" s="239">
        <f>D49</f>
        <v>361529.89488671342</v>
      </c>
      <c r="E142" s="239">
        <f>E49</f>
        <v>223861.69807722484</v>
      </c>
      <c r="F142" s="239">
        <f>F49</f>
        <v>0</v>
      </c>
      <c r="G142" s="239">
        <f>G49</f>
        <v>0</v>
      </c>
      <c r="H142" s="239">
        <f>H49</f>
        <v>585391.59296393825</v>
      </c>
    </row>
    <row r="143" spans="1:8" ht="18" customHeight="1" x14ac:dyDescent="0.55000000000000004">
      <c r="A143" s="180" t="s">
        <v>269</v>
      </c>
      <c r="B143" s="179" t="s">
        <v>222</v>
      </c>
      <c r="D143" s="239">
        <f>D64</f>
        <v>501380.22867555008</v>
      </c>
      <c r="E143" s="239">
        <f>E64</f>
        <v>330183.54226138757</v>
      </c>
      <c r="F143" s="239">
        <f>F64</f>
        <v>0</v>
      </c>
      <c r="G143" s="239">
        <f>G64</f>
        <v>271392.67633283942</v>
      </c>
      <c r="H143" s="239">
        <f>H64</f>
        <v>560171.09460409824</v>
      </c>
    </row>
    <row r="144" spans="1:8" ht="18" customHeight="1" x14ac:dyDescent="0.55000000000000004">
      <c r="A144" s="180" t="s">
        <v>161</v>
      </c>
      <c r="B144" s="179" t="s">
        <v>70</v>
      </c>
      <c r="D144" s="239">
        <f>D74</f>
        <v>234.51401686208618</v>
      </c>
      <c r="E144" s="239">
        <f>E74</f>
        <v>28.284086835889394</v>
      </c>
      <c r="F144" s="239">
        <f>F74</f>
        <v>0</v>
      </c>
      <c r="G144" s="239">
        <f>G74</f>
        <v>0</v>
      </c>
      <c r="H144" s="239">
        <f>H74</f>
        <v>262.79810369797559</v>
      </c>
    </row>
    <row r="145" spans="1:8" ht="18" customHeight="1" x14ac:dyDescent="0.55000000000000004">
      <c r="A145" s="180" t="s">
        <v>171</v>
      </c>
      <c r="B145" s="179" t="s">
        <v>69</v>
      </c>
      <c r="D145" s="239">
        <f>D82</f>
        <v>76676.020628028637</v>
      </c>
      <c r="E145" s="239">
        <f>E82</f>
        <v>0</v>
      </c>
      <c r="F145" s="239">
        <f>F82</f>
        <v>0</v>
      </c>
      <c r="G145" s="239">
        <f>G82</f>
        <v>0</v>
      </c>
      <c r="H145" s="239">
        <f>H82</f>
        <v>76676.020628028637</v>
      </c>
    </row>
    <row r="146" spans="1:8" ht="18" customHeight="1" x14ac:dyDescent="0.55000000000000004">
      <c r="A146" s="180" t="s">
        <v>193</v>
      </c>
      <c r="B146" s="179" t="s">
        <v>226</v>
      </c>
      <c r="D146" s="239">
        <f>D98</f>
        <v>49399.094515660137</v>
      </c>
      <c r="E146" s="239">
        <f>E98</f>
        <v>20096.69425143117</v>
      </c>
      <c r="F146" s="239">
        <f>F98</f>
        <v>0</v>
      </c>
      <c r="G146" s="239">
        <f>G98</f>
        <v>0</v>
      </c>
      <c r="H146" s="239">
        <f>H98</f>
        <v>69495.788767091304</v>
      </c>
    </row>
    <row r="147" spans="1:8" ht="18" customHeight="1" x14ac:dyDescent="0.55000000000000004">
      <c r="A147" s="180" t="s">
        <v>204</v>
      </c>
      <c r="B147" s="179" t="s">
        <v>71</v>
      </c>
      <c r="D147" s="217">
        <f>D108</f>
        <v>97624.8</v>
      </c>
      <c r="E147" s="217">
        <f>E108</f>
        <v>34960.222328231212</v>
      </c>
      <c r="F147" s="217">
        <f>F108</f>
        <v>0</v>
      </c>
      <c r="G147" s="217">
        <f>G108</f>
        <v>0</v>
      </c>
      <c r="H147" s="217">
        <f>H108</f>
        <v>132585.02232823122</v>
      </c>
    </row>
    <row r="148" spans="1:8" ht="18" customHeight="1" x14ac:dyDescent="0.55000000000000004">
      <c r="A148" s="180" t="s">
        <v>310</v>
      </c>
      <c r="B148" s="179" t="s">
        <v>58</v>
      </c>
      <c r="D148" s="240" t="s">
        <v>245</v>
      </c>
      <c r="E148" s="240" t="s">
        <v>245</v>
      </c>
      <c r="F148" s="240"/>
      <c r="G148" s="240" t="s">
        <v>245</v>
      </c>
      <c r="H148" s="239">
        <f>H111</f>
        <v>33672.57999999998</v>
      </c>
    </row>
    <row r="149" spans="1:8" ht="18" customHeight="1" x14ac:dyDescent="0.55000000000000004">
      <c r="A149" s="180" t="s">
        <v>215</v>
      </c>
      <c r="B149" s="179" t="s">
        <v>230</v>
      </c>
      <c r="D149" s="217">
        <f>D137</f>
        <v>526224.21</v>
      </c>
      <c r="E149" s="217">
        <f>E137</f>
        <v>0</v>
      </c>
      <c r="F149" s="217">
        <f>F137</f>
        <v>0</v>
      </c>
      <c r="G149" s="217">
        <f>G137</f>
        <v>0</v>
      </c>
      <c r="H149" s="217">
        <f>H137</f>
        <v>526224.21</v>
      </c>
    </row>
    <row r="150" spans="1:8" ht="18" customHeight="1" x14ac:dyDescent="0.55000000000000004">
      <c r="A150" s="180" t="s">
        <v>103</v>
      </c>
      <c r="B150" s="179" t="s">
        <v>104</v>
      </c>
      <c r="D150" s="217">
        <f>D18</f>
        <v>0</v>
      </c>
      <c r="E150" s="217">
        <f>E18</f>
        <v>0</v>
      </c>
      <c r="F150" s="217">
        <f>F18</f>
        <v>0</v>
      </c>
      <c r="G150" s="217">
        <f>G18</f>
        <v>0</v>
      </c>
      <c r="H150" s="217">
        <f>H18</f>
        <v>0</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1711132.4358509216</v>
      </c>
      <c r="E152" s="241">
        <f>SUM(E141:E150)</f>
        <v>654902.82829243573</v>
      </c>
      <c r="F152" s="241">
        <f>SUM(F141:F150)</f>
        <v>0</v>
      </c>
      <c r="G152" s="241">
        <f>SUM(G141:G150)</f>
        <v>271392.67633283942</v>
      </c>
      <c r="H152" s="241">
        <f>SUM(H141:H150)</f>
        <v>2128315.1678105178</v>
      </c>
    </row>
    <row r="154" spans="1:8" ht="18" customHeight="1" x14ac:dyDescent="0.55000000000000004">
      <c r="A154" s="183" t="s">
        <v>339</v>
      </c>
      <c r="B154" s="179" t="s">
        <v>340</v>
      </c>
      <c r="D154" s="242">
        <f>H152/E121</f>
        <v>3.4254818914533761E-2</v>
      </c>
    </row>
    <row r="155" spans="1:8" ht="18" customHeight="1" x14ac:dyDescent="0.55000000000000004">
      <c r="A155" s="183" t="s">
        <v>341</v>
      </c>
      <c r="B155" s="179" t="s">
        <v>342</v>
      </c>
      <c r="D155" s="242">
        <f>H152/E127</f>
        <v>0.15429891697261619</v>
      </c>
    </row>
  </sheetData>
  <mergeCells count="2">
    <mergeCell ref="C2:D2"/>
    <mergeCell ref="B13:D13"/>
  </mergeCell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D4521-8DB8-4614-9C39-52E1C1D969A9}">
  <sheetPr codeName="Sheet7">
    <tabColor theme="7" tint="-0.249977111117893"/>
    <pageSetUpPr fitToPage="1"/>
  </sheetPr>
  <dimension ref="A1:J63"/>
  <sheetViews>
    <sheetView workbookViewId="0">
      <selection sqref="A1:C1"/>
    </sheetView>
  </sheetViews>
  <sheetFormatPr defaultColWidth="9.26171875" defaultRowHeight="14.4" x14ac:dyDescent="0.55000000000000004"/>
  <cols>
    <col min="1" max="1" width="18.578125" style="3" customWidth="1"/>
    <col min="2" max="2" width="57.41796875" style="3" bestFit="1" customWidth="1"/>
    <col min="3" max="3" width="15.83984375" style="475" bestFit="1" customWidth="1"/>
    <col min="4" max="4" width="16.41796875" style="3" customWidth="1"/>
    <col min="5" max="5" width="21" style="19" customWidth="1"/>
    <col min="6" max="6" width="20.68359375" style="19" customWidth="1"/>
    <col min="7" max="7" width="15.26171875" style="90" customWidth="1"/>
    <col min="8" max="8" width="23.578125" style="459" customWidth="1"/>
    <col min="9" max="9" width="30.578125" style="460" customWidth="1"/>
    <col min="10" max="10" width="18.26171875" style="19" bestFit="1" customWidth="1"/>
    <col min="11" max="11" width="18.26171875" style="3" bestFit="1" customWidth="1"/>
    <col min="12" max="16384" width="9.26171875" style="3"/>
  </cols>
  <sheetData>
    <row r="1" spans="1:10" ht="27.75" customHeight="1" x14ac:dyDescent="0.55000000000000004">
      <c r="A1" s="483" t="s">
        <v>691</v>
      </c>
      <c r="B1" s="483"/>
      <c r="C1" s="483"/>
      <c r="D1" s="421"/>
    </row>
    <row r="2" spans="1:10" s="29" customFormat="1" ht="72" x14ac:dyDescent="0.55000000000000004">
      <c r="A2" s="105" t="s">
        <v>93</v>
      </c>
      <c r="B2" s="105" t="s">
        <v>1</v>
      </c>
      <c r="C2" s="106" t="s">
        <v>94</v>
      </c>
      <c r="D2" s="106" t="s">
        <v>741</v>
      </c>
      <c r="E2" s="107" t="s">
        <v>95</v>
      </c>
      <c r="F2" s="105" t="s">
        <v>718</v>
      </c>
      <c r="G2" s="108" t="s">
        <v>740</v>
      </c>
      <c r="H2" s="107" t="s">
        <v>722</v>
      </c>
      <c r="I2" s="106" t="s">
        <v>96</v>
      </c>
    </row>
    <row r="3" spans="1:10" x14ac:dyDescent="0.55000000000000004">
      <c r="A3" s="8">
        <v>210001</v>
      </c>
      <c r="B3" s="8" t="s">
        <v>5</v>
      </c>
      <c r="C3" s="461">
        <f>'#1-Meritus'!$E$121</f>
        <v>417623284</v>
      </c>
      <c r="D3" s="462">
        <f>'#1-Meritus'!$H$152+'#1-Meritus'!$F$152</f>
        <v>59137484.46774102</v>
      </c>
      <c r="E3" s="463">
        <f>D3/C3</f>
        <v>0.14160485474210538</v>
      </c>
      <c r="F3" s="464">
        <f>'Rate Support-Attachment I'!H3</f>
        <v>10784457.939999999</v>
      </c>
      <c r="G3" s="465">
        <f>D3-F3</f>
        <v>48353026.527741022</v>
      </c>
      <c r="H3" s="466">
        <f>G3/C3</f>
        <v>0.11578144318155648</v>
      </c>
      <c r="I3" s="461">
        <f>'#1-Meritus'!$H$111</f>
        <v>6062105.1900000004</v>
      </c>
      <c r="J3" s="3"/>
    </row>
    <row r="4" spans="1:10" x14ac:dyDescent="0.55000000000000004">
      <c r="A4" s="11" t="s">
        <v>6</v>
      </c>
      <c r="B4" s="8" t="s">
        <v>7</v>
      </c>
      <c r="C4" s="461">
        <f>'#2-UMMC'!$E$121</f>
        <v>1867360000</v>
      </c>
      <c r="D4" s="462">
        <f>'#2-UMMC'!$H$152+'#2-UMMC'!$F$152</f>
        <v>249725986.12126681</v>
      </c>
      <c r="E4" s="463">
        <f t="shared" ref="E4" si="0">D4/C4</f>
        <v>0.13373210635403288</v>
      </c>
      <c r="F4" s="464">
        <f>'Rate Support-Attachment I'!H4</f>
        <v>152833210.00859115</v>
      </c>
      <c r="G4" s="465">
        <f t="shared" ref="G4" si="1">D4-F4</f>
        <v>96892776.112675667</v>
      </c>
      <c r="H4" s="466">
        <f t="shared" ref="H4" si="2">G4/C4</f>
        <v>5.1887571819400471E-2</v>
      </c>
      <c r="I4" s="461">
        <f>'#2-UMMC'!$H$111</f>
        <v>20877000</v>
      </c>
      <c r="J4" s="441"/>
    </row>
    <row r="5" spans="1:10" x14ac:dyDescent="0.55000000000000004">
      <c r="A5" s="11" t="s">
        <v>8</v>
      </c>
      <c r="B5" s="8" t="s">
        <v>692</v>
      </c>
      <c r="C5" s="461">
        <f>'#3-UM Capital'!$E$121</f>
        <v>348047000</v>
      </c>
      <c r="D5" s="462">
        <f>'#3-UM Capital'!$H$152+'#3-UM Capital'!$F$152</f>
        <v>60253321.956357814</v>
      </c>
      <c r="E5" s="463">
        <f t="shared" ref="E5:E36" si="3">D5/C5</f>
        <v>0.17311834883322602</v>
      </c>
      <c r="F5" s="464">
        <f>'Rate Support-Attachment I'!H5</f>
        <v>17214926.956587616</v>
      </c>
      <c r="G5" s="465">
        <f t="shared" ref="G5:G36" si="4">D5-F5</f>
        <v>43038394.999770194</v>
      </c>
      <c r="H5" s="466">
        <f t="shared" ref="H5:H36" si="5">G5/C5</f>
        <v>0.12365684806870966</v>
      </c>
      <c r="I5" s="461">
        <f>'#3-UM Capital'!$H$111</f>
        <v>9544000</v>
      </c>
      <c r="J5" s="3"/>
    </row>
    <row r="6" spans="1:10" x14ac:dyDescent="0.55000000000000004">
      <c r="A6" s="8">
        <v>210004</v>
      </c>
      <c r="B6" s="8" t="s">
        <v>349</v>
      </c>
      <c r="C6" s="461">
        <f>'#4-Holy Cross Hospital'!$E$121</f>
        <v>482480260</v>
      </c>
      <c r="D6" s="462">
        <f>'#4-Holy Cross Hospital'!$H$152+'#4-Holy Cross Hospital'!$F$152</f>
        <v>48828937.408018559</v>
      </c>
      <c r="E6" s="463">
        <f t="shared" si="3"/>
        <v>0.10120401072578297</v>
      </c>
      <c r="F6" s="464">
        <f>'Rate Support-Attachment I'!H6</f>
        <v>28143742.836149998</v>
      </c>
      <c r="G6" s="465">
        <f t="shared" si="4"/>
        <v>20685194.571868561</v>
      </c>
      <c r="H6" s="466">
        <f t="shared" si="5"/>
        <v>4.2872623580223909E-2</v>
      </c>
      <c r="I6" s="461">
        <f>'#4-Holy Cross Hospital'!$H$111</f>
        <v>28661872</v>
      </c>
      <c r="J6" s="3"/>
    </row>
    <row r="7" spans="1:10" x14ac:dyDescent="0.55000000000000004">
      <c r="A7" s="8">
        <v>210005</v>
      </c>
      <c r="B7" s="8" t="s">
        <v>11</v>
      </c>
      <c r="C7" s="461">
        <f>'#5-Frederick Memorial Hospital'!$E$121</f>
        <v>383617000</v>
      </c>
      <c r="D7" s="462">
        <f>'#5-Frederick Memorial Hospital'!$H$152+'#5-Frederick Memorial Hospital'!$F$152</f>
        <v>26845082.561452877</v>
      </c>
      <c r="E7" s="463">
        <f t="shared" si="3"/>
        <v>6.9978865799620135E-2</v>
      </c>
      <c r="F7" s="464">
        <f>'Rate Support-Attachment I'!H7</f>
        <v>5973245.4000000004</v>
      </c>
      <c r="G7" s="465">
        <f t="shared" si="4"/>
        <v>20871837.161452875</v>
      </c>
      <c r="H7" s="466">
        <f t="shared" si="5"/>
        <v>5.4408008929356294E-2</v>
      </c>
      <c r="I7" s="461">
        <f>'#5-Frederick Memorial Hospital'!$H$111</f>
        <v>5525800</v>
      </c>
      <c r="J7" s="3"/>
    </row>
    <row r="8" spans="1:10" x14ac:dyDescent="0.55000000000000004">
      <c r="A8" s="8">
        <v>210006</v>
      </c>
      <c r="B8" s="8" t="s">
        <v>12</v>
      </c>
      <c r="C8" s="461">
        <f>'#6-UM Harford Memorial'!$E$121</f>
        <v>98857946</v>
      </c>
      <c r="D8" s="462">
        <f>'#6-UM Harford Memorial'!$H$152+'#6-UM Harford Memorial'!$F$152</f>
        <v>6391324.0916404957</v>
      </c>
      <c r="E8" s="463">
        <f t="shared" si="3"/>
        <v>6.4651597066769886E-2</v>
      </c>
      <c r="F8" s="464">
        <f>'Rate Support-Attachment I'!H8</f>
        <v>1646220.2</v>
      </c>
      <c r="G8" s="465">
        <f t="shared" si="4"/>
        <v>4745103.8916404955</v>
      </c>
      <c r="H8" s="466">
        <f t="shared" si="5"/>
        <v>4.7999215881346508E-2</v>
      </c>
      <c r="I8" s="461">
        <f>'#6-UM Harford Memorial'!$H$111</f>
        <v>1430047</v>
      </c>
      <c r="J8" s="3"/>
    </row>
    <row r="9" spans="1:10" x14ac:dyDescent="0.55000000000000004">
      <c r="A9" s="8">
        <v>210008</v>
      </c>
      <c r="B9" s="8" t="s">
        <v>13</v>
      </c>
      <c r="C9" s="461">
        <f>'#8-Mercy'!$E$121</f>
        <v>527348607</v>
      </c>
      <c r="D9" s="462">
        <f>'#8-Mercy'!$H$152+'#8-Mercy'!$F$152</f>
        <v>78594887.521046877</v>
      </c>
      <c r="E9" s="463">
        <f t="shared" si="3"/>
        <v>0.14903782142928251</v>
      </c>
      <c r="F9" s="464">
        <f>'Rate Support-Attachment I'!H9</f>
        <v>28334983.017822728</v>
      </c>
      <c r="G9" s="465">
        <f t="shared" si="4"/>
        <v>50259904.503224149</v>
      </c>
      <c r="H9" s="466">
        <f t="shared" si="5"/>
        <v>9.5306792956455361E-2</v>
      </c>
      <c r="I9" s="461">
        <f>'#8-Mercy'!$H$111</f>
        <v>22257214</v>
      </c>
      <c r="J9" s="3"/>
    </row>
    <row r="10" spans="1:10" x14ac:dyDescent="0.55000000000000004">
      <c r="A10" s="8">
        <v>210009</v>
      </c>
      <c r="B10" s="8" t="s">
        <v>366</v>
      </c>
      <c r="C10" s="461">
        <f>'#9-Johns Hopkins'!$E$121</f>
        <v>2809105000</v>
      </c>
      <c r="D10" s="462">
        <f>'#9-Johns Hopkins'!$H$152+'#9-Johns Hopkins'!$F$152</f>
        <v>309985196.17050964</v>
      </c>
      <c r="E10" s="463">
        <f t="shared" si="3"/>
        <v>0.11035016354693386</v>
      </c>
      <c r="F10" s="464">
        <f>'Rate Support-Attachment I'!H10</f>
        <v>169484704.91678542</v>
      </c>
      <c r="G10" s="465">
        <f t="shared" si="4"/>
        <v>140500491.25372422</v>
      </c>
      <c r="H10" s="466">
        <f t="shared" si="5"/>
        <v>5.0016105219891825E-2</v>
      </c>
      <c r="I10" s="461">
        <f>'#9-Johns Hopkins'!$H$111</f>
        <v>37794000</v>
      </c>
      <c r="J10" s="3"/>
    </row>
    <row r="11" spans="1:10" x14ac:dyDescent="0.55000000000000004">
      <c r="A11" s="8">
        <v>210010</v>
      </c>
      <c r="B11" s="8" t="s">
        <v>15</v>
      </c>
      <c r="C11" s="461">
        <f>'#10-UM Shore Health Dorchester'!$E$121</f>
        <v>34558000</v>
      </c>
      <c r="D11" s="462">
        <f>'#10-UM Shore Health Dorchester'!$H$152+'#10-UM Shore Health Dorchester'!$F$152</f>
        <v>8169284.3860167973</v>
      </c>
      <c r="E11" s="463">
        <f t="shared" si="3"/>
        <v>0.23639343671557375</v>
      </c>
      <c r="F11" s="464">
        <f>'Rate Support-Attachment I'!H11</f>
        <v>773019.2200000002</v>
      </c>
      <c r="G11" s="465">
        <f t="shared" si="4"/>
        <v>7396265.1660167966</v>
      </c>
      <c r="H11" s="466">
        <f t="shared" si="5"/>
        <v>0.21402468794539026</v>
      </c>
      <c r="I11" s="461">
        <f>'#10-UM Shore Health Dorchester'!$H$111</f>
        <v>501000</v>
      </c>
      <c r="J11" s="3"/>
    </row>
    <row r="12" spans="1:10" x14ac:dyDescent="0.55000000000000004">
      <c r="A12" s="8">
        <v>210011</v>
      </c>
      <c r="B12" s="8" t="s">
        <v>687</v>
      </c>
      <c r="C12" s="461">
        <f>'#11-St. Agnes Hospital'!$E$121</f>
        <v>462155000</v>
      </c>
      <c r="D12" s="462">
        <f>'#11-St. Agnes Hospital'!$H$152+'#11-St. Agnes Hospital'!$F$152</f>
        <v>48049941.063558877</v>
      </c>
      <c r="E12" s="463">
        <f t="shared" si="3"/>
        <v>0.10396931995447171</v>
      </c>
      <c r="F12" s="464">
        <f>'Rate Support-Attachment I'!H12</f>
        <v>23719251.7011685</v>
      </c>
      <c r="G12" s="465">
        <f t="shared" si="4"/>
        <v>24330689.362390377</v>
      </c>
      <c r="H12" s="466">
        <f t="shared" si="5"/>
        <v>5.2646167113609886E-2</v>
      </c>
      <c r="I12" s="461">
        <f>'#11-St. Agnes Hospital'!$H$111</f>
        <v>17929501</v>
      </c>
      <c r="J12" s="3"/>
    </row>
    <row r="13" spans="1:10" x14ac:dyDescent="0.55000000000000004">
      <c r="A13" s="8">
        <v>210012</v>
      </c>
      <c r="B13" s="8" t="s">
        <v>690</v>
      </c>
      <c r="C13" s="461">
        <f>'#12-Sinai'!$E$121</f>
        <v>852535000</v>
      </c>
      <c r="D13" s="462">
        <f>'#12-Sinai'!$H$152+'#12-Sinai'!$F$152</f>
        <v>75918983.563693419</v>
      </c>
      <c r="E13" s="463">
        <f t="shared" si="3"/>
        <v>8.9050870126966539E-2</v>
      </c>
      <c r="F13" s="464">
        <f>'Rate Support-Attachment I'!H13</f>
        <v>24691293.157185603</v>
      </c>
      <c r="G13" s="465">
        <f t="shared" si="4"/>
        <v>51227690.40650782</v>
      </c>
      <c r="H13" s="467">
        <f t="shared" si="5"/>
        <v>6.0088665458318799E-2</v>
      </c>
      <c r="I13" s="461">
        <f>'#12-Sinai'!$H$111</f>
        <v>3261955</v>
      </c>
      <c r="J13" s="3"/>
    </row>
    <row r="14" spans="1:10" x14ac:dyDescent="0.55000000000000004">
      <c r="A14" s="8">
        <v>210013</v>
      </c>
      <c r="B14" s="8" t="s">
        <v>675</v>
      </c>
      <c r="C14" s="461">
        <f>'#13-Grace Medical'!$E$121</f>
        <v>66425000</v>
      </c>
      <c r="D14" s="462">
        <f>'#13-Grace Medical'!$H$152+'#13-Grace Medical'!$F$152</f>
        <v>6147416.701562969</v>
      </c>
      <c r="E14" s="463">
        <f t="shared" si="3"/>
        <v>9.2546732428497841E-2</v>
      </c>
      <c r="F14" s="464">
        <f>'Rate Support-Attachment I'!H14</f>
        <v>769099.95000000007</v>
      </c>
      <c r="G14" s="465">
        <f t="shared" si="4"/>
        <v>5378316.7515629688</v>
      </c>
      <c r="H14" s="466">
        <f t="shared" si="5"/>
        <v>8.0968261220368362E-2</v>
      </c>
      <c r="I14" s="461">
        <f>'#13-Grace Medical'!$H$111</f>
        <v>545277</v>
      </c>
      <c r="J14" s="3"/>
    </row>
    <row r="15" spans="1:10" x14ac:dyDescent="0.55000000000000004">
      <c r="A15" s="8">
        <v>210015</v>
      </c>
      <c r="B15" s="8" t="s">
        <v>19</v>
      </c>
      <c r="C15" s="461">
        <f>'#15-MedStar Franklin Square'!$E$121</f>
        <v>613396845</v>
      </c>
      <c r="D15" s="462">
        <f>'#15-MedStar Franklin Square'!$H$152+'#15-MedStar Franklin Square'!$F$152</f>
        <v>51424262.941143006</v>
      </c>
      <c r="E15" s="463">
        <f t="shared" si="3"/>
        <v>8.3835225694946322E-2</v>
      </c>
      <c r="F15" s="464">
        <f>'Rate Support-Attachment I'!H15</f>
        <v>21832507.139899071</v>
      </c>
      <c r="G15" s="465">
        <f t="shared" si="4"/>
        <v>29591755.801243935</v>
      </c>
      <c r="H15" s="466">
        <f t="shared" si="5"/>
        <v>4.824243235428434E-2</v>
      </c>
      <c r="I15" s="461">
        <f>'#15-MedStar Franklin Square'!$H$111</f>
        <v>9875732</v>
      </c>
      <c r="J15" s="3"/>
    </row>
    <row r="16" spans="1:10" x14ac:dyDescent="0.55000000000000004">
      <c r="A16" s="8">
        <v>210016</v>
      </c>
      <c r="B16" s="8" t="s">
        <v>59</v>
      </c>
      <c r="C16" s="461">
        <f>'#16-Adventist White Oak'!$E$121</f>
        <v>297894223.96999997</v>
      </c>
      <c r="D16" s="462">
        <f>'#16-Adventist White Oak'!$H$152+'#16-Adventist White Oak'!$F$152</f>
        <v>28026737.056491144</v>
      </c>
      <c r="E16" s="463">
        <f t="shared" si="3"/>
        <v>9.4082848210288339E-2</v>
      </c>
      <c r="F16" s="464">
        <f>'Rate Support-Attachment I'!H16</f>
        <v>12734207.74275</v>
      </c>
      <c r="G16" s="465">
        <f t="shared" si="4"/>
        <v>15292529.313741144</v>
      </c>
      <c r="H16" s="466">
        <f t="shared" si="5"/>
        <v>5.1335434134772644E-2</v>
      </c>
      <c r="I16" s="461">
        <f>'#16-Adventist White Oak'!$H$111</f>
        <v>2682921.9025267037</v>
      </c>
      <c r="J16" s="3"/>
    </row>
    <row r="17" spans="1:9" s="3" customFormat="1" x14ac:dyDescent="0.55000000000000004">
      <c r="A17" s="8">
        <v>210017</v>
      </c>
      <c r="B17" s="8" t="s">
        <v>676</v>
      </c>
      <c r="C17" s="461">
        <f>'#17-Garrett Regional'!$E$121</f>
        <v>61545442</v>
      </c>
      <c r="D17" s="462">
        <f>'#17-Garrett Regional'!$H$152+'#17-Garrett Regional'!$F$152</f>
        <v>11025423.637911055</v>
      </c>
      <c r="E17" s="463">
        <f t="shared" si="3"/>
        <v>0.17914281349886244</v>
      </c>
      <c r="F17" s="464">
        <f>'Rate Support-Attachment I'!H17</f>
        <v>2993699.712173006</v>
      </c>
      <c r="G17" s="465">
        <f t="shared" si="4"/>
        <v>8031723.9257380497</v>
      </c>
      <c r="H17" s="466">
        <f t="shared" si="5"/>
        <v>0.13050071077136874</v>
      </c>
      <c r="I17" s="461">
        <f>'#17-Garrett Regional'!$H$111</f>
        <v>2721400</v>
      </c>
    </row>
    <row r="18" spans="1:9" s="3" customFormat="1" x14ac:dyDescent="0.55000000000000004">
      <c r="A18" s="8">
        <v>210018</v>
      </c>
      <c r="B18" s="8" t="s">
        <v>22</v>
      </c>
      <c r="C18" s="461">
        <f>'#18-MedStar Montgomery General'!$E$121</f>
        <v>184307676.24000001</v>
      </c>
      <c r="D18" s="462">
        <f>'#18-MedStar Montgomery General'!$H$152+'#18-MedStar Montgomery General'!$F$152</f>
        <v>8482620.8836298138</v>
      </c>
      <c r="E18" s="463">
        <f t="shared" si="3"/>
        <v>4.6024240860071369E-2</v>
      </c>
      <c r="F18" s="464">
        <f>'Rate Support-Attachment I'!H18</f>
        <v>3706887.0100000002</v>
      </c>
      <c r="G18" s="465">
        <f t="shared" si="4"/>
        <v>4775733.873629814</v>
      </c>
      <c r="H18" s="466">
        <f t="shared" si="5"/>
        <v>2.5911746982317733E-2</v>
      </c>
      <c r="I18" s="461">
        <f>'#18-MedStar Montgomery General'!$H$111</f>
        <v>3346776.2100000004</v>
      </c>
    </row>
    <row r="19" spans="1:9" s="3" customFormat="1" x14ac:dyDescent="0.55000000000000004">
      <c r="A19" s="8">
        <v>210019</v>
      </c>
      <c r="B19" s="8" t="s">
        <v>689</v>
      </c>
      <c r="C19" s="461">
        <f>'#19-Peninsula Regional'!$E$121</f>
        <v>423885800</v>
      </c>
      <c r="D19" s="462">
        <f>'#19-Peninsula Regional'!$H$152+'#19-Peninsula Regional'!$F$152</f>
        <v>35598165.099223971</v>
      </c>
      <c r="E19" s="463">
        <f t="shared" si="3"/>
        <v>8.3980555845994301E-2</v>
      </c>
      <c r="F19" s="464">
        <f>'Rate Support-Attachment I'!H19</f>
        <v>14539292.849999998</v>
      </c>
      <c r="G19" s="465">
        <f t="shared" si="4"/>
        <v>21058872.249223974</v>
      </c>
      <c r="H19" s="466">
        <f t="shared" si="5"/>
        <v>4.9680532467055921E-2</v>
      </c>
      <c r="I19" s="461">
        <f>'#19-Peninsula Regional'!$H$111</f>
        <v>13233220.999999998</v>
      </c>
    </row>
    <row r="20" spans="1:9" s="39" customFormat="1" x14ac:dyDescent="0.55000000000000004">
      <c r="A20" s="8">
        <v>210022</v>
      </c>
      <c r="B20" s="8" t="s">
        <v>510</v>
      </c>
      <c r="C20" s="468">
        <f>'#22-Suburban'!$E$121</f>
        <v>335865000</v>
      </c>
      <c r="D20" s="469">
        <f>'#22-Suburban'!$H$152+'#22-Suburban'!$F$152</f>
        <v>33706779.031948127</v>
      </c>
      <c r="E20" s="470">
        <f t="shared" si="3"/>
        <v>0.10035811719574271</v>
      </c>
      <c r="F20" s="464">
        <f>'Rate Support-Attachment I'!H20</f>
        <v>7411865.5163062038</v>
      </c>
      <c r="G20" s="465">
        <f t="shared" si="4"/>
        <v>26294913.515641924</v>
      </c>
      <c r="H20" s="466">
        <f t="shared" si="5"/>
        <v>7.8290127032116838E-2</v>
      </c>
      <c r="I20" s="468">
        <f>'#22-Suburban'!$H$111</f>
        <v>5868000</v>
      </c>
    </row>
    <row r="21" spans="1:9" s="39" customFormat="1" x14ac:dyDescent="0.55000000000000004">
      <c r="A21" s="8">
        <v>210023</v>
      </c>
      <c r="B21" s="8" t="s">
        <v>25</v>
      </c>
      <c r="C21" s="468">
        <f>'#23-AAMC'!$E$121</f>
        <v>600619000</v>
      </c>
      <c r="D21" s="469">
        <f>'#23-AAMC'!$H$152+'#23-AAMC'!$F$152</f>
        <v>67118053.557484806</v>
      </c>
      <c r="E21" s="470">
        <f t="shared" si="3"/>
        <v>0.11174813576907291</v>
      </c>
      <c r="F21" s="464">
        <f>'Rate Support-Attachment I'!H21</f>
        <v>9453866.4938142803</v>
      </c>
      <c r="G21" s="465">
        <f t="shared" si="4"/>
        <v>57664187.063670523</v>
      </c>
      <c r="H21" s="466">
        <f t="shared" si="5"/>
        <v>9.6007930258067961E-2</v>
      </c>
      <c r="I21" s="468">
        <f>'#23-AAMC'!$H$111</f>
        <v>3806489</v>
      </c>
    </row>
    <row r="22" spans="1:9" s="3" customFormat="1" x14ac:dyDescent="0.55000000000000004">
      <c r="A22" s="8">
        <v>210024</v>
      </c>
      <c r="B22" s="8" t="s">
        <v>26</v>
      </c>
      <c r="C22" s="461">
        <f>'#24-MedStar Union Memorial'!$E$121</f>
        <v>469421642.41000044</v>
      </c>
      <c r="D22" s="462">
        <f>'#24-MedStar Union Memorial'!$H$152+'#24-MedStar Union Memorial'!$F$152</f>
        <v>38444531.451881781</v>
      </c>
      <c r="E22" s="463">
        <f t="shared" si="3"/>
        <v>8.189765442962621E-2</v>
      </c>
      <c r="F22" s="464">
        <f>'Rate Support-Attachment I'!H22</f>
        <v>19769406.842645731</v>
      </c>
      <c r="G22" s="465">
        <f t="shared" si="4"/>
        <v>18675124.60923605</v>
      </c>
      <c r="H22" s="466">
        <f t="shared" si="5"/>
        <v>3.9783262896355545E-2</v>
      </c>
      <c r="I22" s="461">
        <f>'#24-MedStar Union Memorial'!$H$111</f>
        <v>7263944.6399999997</v>
      </c>
    </row>
    <row r="23" spans="1:9" s="3" customFormat="1" x14ac:dyDescent="0.55000000000000004">
      <c r="A23" s="8">
        <v>210027</v>
      </c>
      <c r="B23" s="8" t="s">
        <v>683</v>
      </c>
      <c r="C23" s="461">
        <f>'#27-UPMC Western Maryland'!$E$121</f>
        <v>331929405</v>
      </c>
      <c r="D23" s="462">
        <f>'#27-UPMC Western Maryland'!$H$152+'#27-UPMC Western Maryland'!$F$152</f>
        <v>69562821.230209529</v>
      </c>
      <c r="E23" s="463">
        <f t="shared" si="3"/>
        <v>0.20957113224183777</v>
      </c>
      <c r="F23" s="464">
        <f>'Rate Support-Attachment I'!H23</f>
        <v>13267874</v>
      </c>
      <c r="G23" s="465">
        <f t="shared" si="4"/>
        <v>56294947.230209529</v>
      </c>
      <c r="H23" s="466">
        <f t="shared" si="5"/>
        <v>0.16959915687556976</v>
      </c>
      <c r="I23" s="461">
        <f>'#27-UPMC Western Maryland'!$H$111</f>
        <v>14029126</v>
      </c>
    </row>
    <row r="24" spans="1:9" s="3" customFormat="1" x14ac:dyDescent="0.55000000000000004">
      <c r="A24" s="8">
        <v>210028</v>
      </c>
      <c r="B24" s="8" t="s">
        <v>28</v>
      </c>
      <c r="C24" s="461">
        <f>'#28-MedStar St. Marys'!$E$121</f>
        <v>176289631.13</v>
      </c>
      <c r="D24" s="462">
        <f>'#28-MedStar St. Marys'!$H$152+'#28-MedStar St. Marys'!$F$152</f>
        <v>16652258.014280921</v>
      </c>
      <c r="E24" s="463">
        <f t="shared" si="3"/>
        <v>9.4459656575043627E-2</v>
      </c>
      <c r="F24" s="464">
        <f>'Rate Support-Attachment I'!H24</f>
        <v>3947390.1482999995</v>
      </c>
      <c r="G24" s="465">
        <f t="shared" si="4"/>
        <v>12704867.865980921</v>
      </c>
      <c r="H24" s="466">
        <f t="shared" si="5"/>
        <v>7.2068151623801757E-2</v>
      </c>
      <c r="I24" s="461">
        <f>'#28-MedStar St. Marys'!$H$111</f>
        <v>3589292.3199999994</v>
      </c>
    </row>
    <row r="25" spans="1:9" s="39" customFormat="1" x14ac:dyDescent="0.55000000000000004">
      <c r="A25" s="8">
        <v>210029</v>
      </c>
      <c r="B25" s="8" t="s">
        <v>29</v>
      </c>
      <c r="C25" s="468">
        <f>'#29-JH Bayview'!$E$121</f>
        <v>714247000</v>
      </c>
      <c r="D25" s="469">
        <f>'#29-JH Bayview'!$H$152+'#29-JH Bayview'!$F$152</f>
        <v>94748768.804637149</v>
      </c>
      <c r="E25" s="470">
        <f t="shared" si="3"/>
        <v>0.13265546625276292</v>
      </c>
      <c r="F25" s="464">
        <f>'Rate Support-Attachment I'!H25</f>
        <v>50333668.321984962</v>
      </c>
      <c r="G25" s="465">
        <f t="shared" si="4"/>
        <v>44415100.482652187</v>
      </c>
      <c r="H25" s="466">
        <f t="shared" si="5"/>
        <v>6.2184511076213395E-2</v>
      </c>
      <c r="I25" s="468">
        <f>'#29-JH Bayview'!$H$111</f>
        <v>22241000</v>
      </c>
    </row>
    <row r="26" spans="1:9" s="3" customFormat="1" x14ac:dyDescent="0.55000000000000004">
      <c r="A26" s="8">
        <v>210030</v>
      </c>
      <c r="B26" s="8" t="s">
        <v>30</v>
      </c>
      <c r="C26" s="461">
        <f>'#30-UM Shore Chester'!$E$121</f>
        <v>46947000</v>
      </c>
      <c r="D26" s="462">
        <f>'#30-UM Shore Chester'!$H$152+'#30-UM Shore Chester'!$F$152</f>
        <v>10508243.027362037</v>
      </c>
      <c r="E26" s="463">
        <f t="shared" si="3"/>
        <v>0.2238320452289185</v>
      </c>
      <c r="F26" s="464">
        <f>'Rate Support-Attachment I'!H26</f>
        <v>719851.92999999993</v>
      </c>
      <c r="G26" s="465">
        <f t="shared" si="4"/>
        <v>9788391.0973620377</v>
      </c>
      <c r="H26" s="466">
        <f t="shared" si="5"/>
        <v>0.20849875598785944</v>
      </c>
      <c r="I26" s="461">
        <f>'#30-UM Shore Chester'!$H$111</f>
        <v>629000</v>
      </c>
    </row>
    <row r="27" spans="1:9" s="3" customFormat="1" x14ac:dyDescent="0.55000000000000004">
      <c r="A27" s="8">
        <v>210032</v>
      </c>
      <c r="B27" s="8" t="s">
        <v>553</v>
      </c>
      <c r="C27" s="461">
        <f>'#32-ChristianaCare Union'!$E$121</f>
        <v>181465929</v>
      </c>
      <c r="D27" s="462">
        <f>'#32-ChristianaCare Union'!$H$152+'#32-ChristianaCare Union'!$F$152</f>
        <v>14800261.651186146</v>
      </c>
      <c r="E27" s="463">
        <f t="shared" si="3"/>
        <v>8.1559451588216023E-2</v>
      </c>
      <c r="F27" s="464">
        <f>'Rate Support-Attachment I'!H27</f>
        <v>2092329.6200000029</v>
      </c>
      <c r="G27" s="465">
        <f t="shared" si="4"/>
        <v>12707932.031186143</v>
      </c>
      <c r="H27" s="466">
        <f t="shared" si="5"/>
        <v>7.0029300272593561E-2</v>
      </c>
      <c r="I27" s="461">
        <f>'#32-ChristianaCare Union'!$H$111</f>
        <v>1763814</v>
      </c>
    </row>
    <row r="28" spans="1:9" s="3" customFormat="1" x14ac:dyDescent="0.55000000000000004">
      <c r="A28" s="8">
        <v>210033</v>
      </c>
      <c r="B28" s="8" t="s">
        <v>685</v>
      </c>
      <c r="C28" s="461">
        <f>'#33-Carroll Hospital Center'!$E$121</f>
        <v>219612494</v>
      </c>
      <c r="D28" s="462">
        <f>'#33-Carroll Hospital Center'!$H$152+'#33-Carroll Hospital Center'!$F$152</f>
        <v>19301413.844038837</v>
      </c>
      <c r="E28" s="463">
        <f t="shared" si="3"/>
        <v>8.7888505305344047E-2</v>
      </c>
      <c r="F28" s="464">
        <f>'Rate Support-Attachment I'!H28</f>
        <v>1357407.4794000001</v>
      </c>
      <c r="G28" s="465">
        <f t="shared" si="4"/>
        <v>17944006.364638835</v>
      </c>
      <c r="H28" s="466">
        <f t="shared" si="5"/>
        <v>8.170758428998505E-2</v>
      </c>
      <c r="I28" s="461">
        <f>'#33-Carroll Hospital Center'!$H$111</f>
        <v>856982</v>
      </c>
    </row>
    <row r="29" spans="1:9" s="3" customFormat="1" x14ac:dyDescent="0.55000000000000004">
      <c r="A29" s="8">
        <v>210034</v>
      </c>
      <c r="B29" s="8" t="s">
        <v>33</v>
      </c>
      <c r="C29" s="461">
        <f>'#34-MedStar Harbor Hospital'!$E$121</f>
        <v>207141258</v>
      </c>
      <c r="D29" s="462">
        <f>'#34-MedStar Harbor Hospital'!$H$152+'#34-MedStar Harbor Hospital'!$F$152</f>
        <v>23082210.421417072</v>
      </c>
      <c r="E29" s="463">
        <f t="shared" si="3"/>
        <v>0.11143222091186233</v>
      </c>
      <c r="F29" s="464">
        <f>'Rate Support-Attachment I'!H29</f>
        <v>6256270.2717401739</v>
      </c>
      <c r="G29" s="465">
        <f t="shared" si="4"/>
        <v>16825940.149676897</v>
      </c>
      <c r="H29" s="466">
        <f t="shared" si="5"/>
        <v>8.1229303674871453E-2</v>
      </c>
      <c r="I29" s="461">
        <f>'#34-MedStar Harbor Hospital'!$H$111</f>
        <v>3598223</v>
      </c>
    </row>
    <row r="30" spans="1:9" s="3" customFormat="1" x14ac:dyDescent="0.55000000000000004">
      <c r="A30" s="8">
        <v>210035</v>
      </c>
      <c r="B30" s="8" t="s">
        <v>34</v>
      </c>
      <c r="C30" s="461">
        <f>'#35-UM Charles Regional'!$E$121</f>
        <v>138614740</v>
      </c>
      <c r="D30" s="462">
        <f>'#35-UM Charles Regional'!$H$152+'#35-UM Charles Regional'!$F$152</f>
        <v>15366360.417688867</v>
      </c>
      <c r="E30" s="463">
        <f t="shared" si="3"/>
        <v>0.11085661176934622</v>
      </c>
      <c r="F30" s="464">
        <f>'Rate Support-Attachment I'!H30</f>
        <v>1876704.2</v>
      </c>
      <c r="G30" s="465">
        <f t="shared" si="4"/>
        <v>13489656.217688868</v>
      </c>
      <c r="H30" s="466">
        <f t="shared" si="5"/>
        <v>9.7317617287229832E-2</v>
      </c>
      <c r="I30" s="461">
        <f>'#35-UM Charles Regional'!$H$111</f>
        <v>1355033.5699999996</v>
      </c>
    </row>
    <row r="31" spans="1:9" s="3" customFormat="1" x14ac:dyDescent="0.55000000000000004">
      <c r="A31" s="8">
        <v>210037</v>
      </c>
      <c r="B31" s="8" t="s">
        <v>35</v>
      </c>
      <c r="C31" s="461">
        <f>'#37-UM Shore Health Easton'!$E$121</f>
        <v>219817000</v>
      </c>
      <c r="D31" s="462">
        <f>'#37-UM Shore Health Easton'!$H$152+'#37-UM Shore Health Easton'!$F$152</f>
        <v>29468358.639988307</v>
      </c>
      <c r="E31" s="463">
        <f t="shared" si="3"/>
        <v>0.13405859710572116</v>
      </c>
      <c r="F31" s="464">
        <f>'Rate Support-Attachment I'!H31</f>
        <v>3520447.2899999996</v>
      </c>
      <c r="G31" s="465">
        <f t="shared" si="4"/>
        <v>25947911.349988308</v>
      </c>
      <c r="H31" s="466">
        <f t="shared" si="5"/>
        <v>0.11804324210588038</v>
      </c>
      <c r="I31" s="461">
        <f>'#37-UM Shore Health Easton'!$H$111</f>
        <v>3380000</v>
      </c>
    </row>
    <row r="32" spans="1:9" s="3" customFormat="1" x14ac:dyDescent="0.55000000000000004">
      <c r="A32" s="8">
        <v>210038</v>
      </c>
      <c r="B32" s="8" t="s">
        <v>36</v>
      </c>
      <c r="C32" s="461">
        <f>'#38-UM Midtown'!$E$121</f>
        <v>245964000</v>
      </c>
      <c r="D32" s="462">
        <f>'#38-UM Midtown'!$H$152+'#38-UM Midtown'!$F$152</f>
        <v>31818706.519244183</v>
      </c>
      <c r="E32" s="463">
        <f t="shared" si="3"/>
        <v>0.12936326665383627</v>
      </c>
      <c r="F32" s="464">
        <f>'Rate Support-Attachment I'!H32</f>
        <v>8621046.930883985</v>
      </c>
      <c r="G32" s="465">
        <f t="shared" si="4"/>
        <v>23197659.588360198</v>
      </c>
      <c r="H32" s="466">
        <f t="shared" si="5"/>
        <v>9.4313231157243327E-2</v>
      </c>
      <c r="I32" s="461">
        <f>'#38-UM Midtown'!$H$111</f>
        <v>3929000</v>
      </c>
    </row>
    <row r="33" spans="1:10" x14ac:dyDescent="0.55000000000000004">
      <c r="A33" s="8">
        <v>210039</v>
      </c>
      <c r="B33" s="8" t="s">
        <v>576</v>
      </c>
      <c r="C33" s="461">
        <f>'#39-CalvertHealth'!$E$121</f>
        <v>143031019.86000001</v>
      </c>
      <c r="D33" s="462">
        <f>'#39-CalvertHealth'!$H$152+'#39-CalvertHealth'!$F$152</f>
        <v>21626249.570279457</v>
      </c>
      <c r="E33" s="463">
        <f t="shared" si="3"/>
        <v>0.1511997159178996</v>
      </c>
      <c r="F33" s="464">
        <f>'Rate Support-Attachment I'!H33</f>
        <v>3817036.2</v>
      </c>
      <c r="G33" s="465">
        <f t="shared" si="4"/>
        <v>17809213.370279457</v>
      </c>
      <c r="H33" s="466">
        <f t="shared" si="5"/>
        <v>0.12451294402928308</v>
      </c>
      <c r="I33" s="461">
        <f>'#39-CalvertHealth'!$H$111</f>
        <v>3510458.27</v>
      </c>
      <c r="J33" s="3"/>
    </row>
    <row r="34" spans="1:10" x14ac:dyDescent="0.55000000000000004">
      <c r="A34" s="8">
        <v>210040</v>
      </c>
      <c r="B34" s="8" t="s">
        <v>582</v>
      </c>
      <c r="C34" s="461">
        <f>'#40-Lifebridge Northwest'!$E$121</f>
        <v>276365800</v>
      </c>
      <c r="D34" s="462">
        <f>'#40-Lifebridge Northwest'!$H$152+'#40-Lifebridge Northwest'!$F$152</f>
        <v>16410327.591614936</v>
      </c>
      <c r="E34" s="463">
        <f t="shared" si="3"/>
        <v>5.9379009962936567E-2</v>
      </c>
      <c r="F34" s="464">
        <f>'Rate Support-Attachment I'!H34</f>
        <v>1959904.3395</v>
      </c>
      <c r="G34" s="465">
        <f t="shared" si="4"/>
        <v>14450423.252114935</v>
      </c>
      <c r="H34" s="466">
        <f t="shared" si="5"/>
        <v>5.2287306360320036E-2</v>
      </c>
      <c r="I34" s="461">
        <f>'#40-Lifebridge Northwest'!$H$111</f>
        <v>1379300</v>
      </c>
      <c r="J34" s="3"/>
    </row>
    <row r="35" spans="1:10" x14ac:dyDescent="0.55000000000000004">
      <c r="A35" s="8">
        <v>210043</v>
      </c>
      <c r="B35" s="8" t="s">
        <v>39</v>
      </c>
      <c r="C35" s="461">
        <f>'#43-UM BWMC'!$E$121</f>
        <v>434108000</v>
      </c>
      <c r="D35" s="462">
        <f>'#43-UM BWMC'!$H$152+'#43-UM BWMC'!$F$152</f>
        <v>21922297.237171397</v>
      </c>
      <c r="E35" s="463">
        <f t="shared" si="3"/>
        <v>5.0499638885188471E-2</v>
      </c>
      <c r="F35" s="464">
        <f>'Rate Support-Attachment I'!H35</f>
        <v>8528958.5450738799</v>
      </c>
      <c r="G35" s="465">
        <f t="shared" si="4"/>
        <v>13393338.692097517</v>
      </c>
      <c r="H35" s="466">
        <f t="shared" si="5"/>
        <v>3.0852549808106547E-2</v>
      </c>
      <c r="I35" s="461">
        <f>'#43-UM BWMC'!$H$111</f>
        <v>6901000</v>
      </c>
      <c r="J35" s="3"/>
    </row>
    <row r="36" spans="1:10" x14ac:dyDescent="0.55000000000000004">
      <c r="A36" s="8">
        <v>210044</v>
      </c>
      <c r="B36" s="8" t="s">
        <v>40</v>
      </c>
      <c r="C36" s="461">
        <f>'#44-GBMC'!$E$121</f>
        <v>557120000</v>
      </c>
      <c r="D36" s="462">
        <f>'#44-GBMC'!$H$152+'#44-GBMC'!$F$152</f>
        <v>65221016.212311186</v>
      </c>
      <c r="E36" s="463">
        <f t="shared" si="3"/>
        <v>0.11706816522887561</v>
      </c>
      <c r="F36" s="464">
        <f>'Rate Support-Attachment I'!H36</f>
        <v>13696854.337361967</v>
      </c>
      <c r="G36" s="465">
        <f t="shared" si="4"/>
        <v>51524161.874949217</v>
      </c>
      <c r="H36" s="466">
        <f t="shared" si="5"/>
        <v>9.2483059080537791E-2</v>
      </c>
      <c r="I36" s="461">
        <f>'#44-GBMC'!$H$111</f>
        <v>4777000</v>
      </c>
      <c r="J36" s="3"/>
    </row>
    <row r="37" spans="1:10" x14ac:dyDescent="0.55000000000000004">
      <c r="A37" s="8">
        <v>210045</v>
      </c>
      <c r="B37" s="8" t="s">
        <v>686</v>
      </c>
      <c r="C37" s="461">
        <f>'#45-McCready'!$E$121</f>
        <v>9152200</v>
      </c>
      <c r="D37" s="462">
        <f>'#45-McCready'!$H$152+'#45-McCready'!$F$152</f>
        <v>554487.04000000004</v>
      </c>
      <c r="E37" s="463">
        <f t="shared" ref="E37:E53" si="6">D37/C37</f>
        <v>6.0585109591136561E-2</v>
      </c>
      <c r="F37" s="464">
        <f>'Rate Support-Attachment I'!H37</f>
        <v>198520.4</v>
      </c>
      <c r="G37" s="465">
        <f t="shared" ref="G37:G53" si="7">D37-F37</f>
        <v>355966.64</v>
      </c>
      <c r="H37" s="466">
        <f t="shared" ref="H37:H53" si="8">G37/C37</f>
        <v>3.8894106335088829E-2</v>
      </c>
      <c r="I37" s="461">
        <f>'#45-McCready'!$H$111</f>
        <v>167600</v>
      </c>
      <c r="J37" s="3"/>
    </row>
    <row r="38" spans="1:10" x14ac:dyDescent="0.55000000000000004">
      <c r="A38" s="8">
        <v>210048</v>
      </c>
      <c r="B38" s="8" t="s">
        <v>42</v>
      </c>
      <c r="C38" s="461">
        <f>'#48-Howard County'!$E$121</f>
        <v>280849000</v>
      </c>
      <c r="D38" s="462">
        <f>'#48-Howard County'!$H$152+'#48-Howard County'!$F$152</f>
        <v>30491289.581048582</v>
      </c>
      <c r="E38" s="463">
        <f t="shared" si="6"/>
        <v>0.10856826829025057</v>
      </c>
      <c r="F38" s="464">
        <f>'Rate Support-Attachment I'!H38</f>
        <v>6068472.0103500001</v>
      </c>
      <c r="G38" s="465">
        <f t="shared" si="7"/>
        <v>24422817.570698582</v>
      </c>
      <c r="H38" s="466">
        <f t="shared" si="8"/>
        <v>8.6960671288480937E-2</v>
      </c>
      <c r="I38" s="461">
        <f>'#48-Howard County'!$H$111</f>
        <v>5128937.7699999996</v>
      </c>
      <c r="J38" s="3"/>
    </row>
    <row r="39" spans="1:10" x14ac:dyDescent="0.55000000000000004">
      <c r="A39" s="8">
        <v>210049</v>
      </c>
      <c r="B39" s="8" t="s">
        <v>43</v>
      </c>
      <c r="C39" s="461">
        <f>'#49-UM Upper Chesapeake Medical'!$E$121</f>
        <v>294765774</v>
      </c>
      <c r="D39" s="462">
        <f>'#49-UM Upper Chesapeake Medical'!$H$152+'#49-UM Upper Chesapeake Medical'!$F$152</f>
        <v>14840150.798960814</v>
      </c>
      <c r="E39" s="463">
        <f t="shared" si="6"/>
        <v>5.0345569628313817E-2</v>
      </c>
      <c r="F39" s="464">
        <f>'Rate Support-Attachment I'!H39</f>
        <v>4318833</v>
      </c>
      <c r="G39" s="465">
        <f t="shared" si="7"/>
        <v>10521317.798960814</v>
      </c>
      <c r="H39" s="466">
        <f t="shared" si="8"/>
        <v>3.5693824476924561E-2</v>
      </c>
      <c r="I39" s="461">
        <f>'#49-UM Upper Chesapeake Medical'!$H$111</f>
        <v>3671000</v>
      </c>
      <c r="J39" s="3"/>
    </row>
    <row r="40" spans="1:10" x14ac:dyDescent="0.55000000000000004">
      <c r="A40" s="8">
        <v>210051</v>
      </c>
      <c r="B40" s="8" t="s">
        <v>44</v>
      </c>
      <c r="C40" s="461">
        <f>'#51-Doctors Community Hospital'!$E$121</f>
        <v>240162000</v>
      </c>
      <c r="D40" s="462">
        <f>'#51-Doctors Community Hospital'!$H$152+'#51-Doctors Community Hospital'!$F$152</f>
        <v>21356972.99008378</v>
      </c>
      <c r="E40" s="463">
        <f t="shared" si="6"/>
        <v>8.8927361489676879E-2</v>
      </c>
      <c r="F40" s="464">
        <f>'Rate Support-Attachment I'!H40</f>
        <v>7402842.6479500001</v>
      </c>
      <c r="G40" s="465">
        <f t="shared" si="7"/>
        <v>13954130.342133779</v>
      </c>
      <c r="H40" s="466">
        <f t="shared" si="8"/>
        <v>5.8102990240478422E-2</v>
      </c>
      <c r="I40" s="461">
        <f>'#51-Doctors Community Hospital'!$H$111</f>
        <v>6776100</v>
      </c>
      <c r="J40" s="3"/>
    </row>
    <row r="41" spans="1:10" x14ac:dyDescent="0.55000000000000004">
      <c r="A41" s="471">
        <v>210056</v>
      </c>
      <c r="B41" s="14" t="s">
        <v>45</v>
      </c>
      <c r="C41" s="461">
        <f>'#2004-MedStar Good Samaritan'!$E$121</f>
        <v>292805276.94999999</v>
      </c>
      <c r="D41" s="462">
        <f>'#2004-MedStar Good Samaritan'!$H$152+'#2004-MedStar Good Samaritan'!$F$152</f>
        <v>23836232.987853084</v>
      </c>
      <c r="E41" s="463">
        <f t="shared" si="6"/>
        <v>8.1406432411815471E-2</v>
      </c>
      <c r="F41" s="464">
        <f>'Rate Support-Attachment I'!H41</f>
        <v>9332390.6777479053</v>
      </c>
      <c r="G41" s="465">
        <f t="shared" si="7"/>
        <v>14503842.310105179</v>
      </c>
      <c r="H41" s="466">
        <f t="shared" si="8"/>
        <v>4.9534087845629515E-2</v>
      </c>
      <c r="I41" s="461">
        <f>'#2004-MedStar Good Samaritan'!$H$111</f>
        <v>5827941.2599999998</v>
      </c>
      <c r="J41" s="3"/>
    </row>
    <row r="42" spans="1:10" x14ac:dyDescent="0.55000000000000004">
      <c r="A42" s="471">
        <v>210057</v>
      </c>
      <c r="B42" s="14" t="s">
        <v>684</v>
      </c>
      <c r="C42" s="461">
        <f>'#57-Adventist Shady Grove'!$E$121</f>
        <v>408846143.60999995</v>
      </c>
      <c r="D42" s="462">
        <f>'#57-Adventist Shady Grove'!$H$152+'#57-Adventist Shady Grove'!$F$152</f>
        <v>32342997.311222646</v>
      </c>
      <c r="E42" s="463">
        <f t="shared" si="6"/>
        <v>7.9107991641165554E-2</v>
      </c>
      <c r="F42" s="464">
        <f>'Rate Support-Attachment I'!H42</f>
        <v>8954672.9343499988</v>
      </c>
      <c r="G42" s="465">
        <f t="shared" si="7"/>
        <v>23388324.376872648</v>
      </c>
      <c r="H42" s="466">
        <f t="shared" si="8"/>
        <v>5.720568664378272E-2</v>
      </c>
      <c r="I42" s="461">
        <f>'#57-Adventist Shady Grove'!$H$111</f>
        <v>6258688.7978376122</v>
      </c>
      <c r="J42" s="3"/>
    </row>
    <row r="43" spans="1:10" x14ac:dyDescent="0.55000000000000004">
      <c r="A43" s="471">
        <v>210058</v>
      </c>
      <c r="B43" s="14" t="s">
        <v>693</v>
      </c>
      <c r="C43" s="461">
        <f>'#58-UM ROI'!$E$121</f>
        <v>111255000</v>
      </c>
      <c r="D43" s="462">
        <f>'#58-UM ROI'!$H$152+'#58-UM ROI'!$F$152</f>
        <v>12054029.42207511</v>
      </c>
      <c r="E43" s="463">
        <f t="shared" si="6"/>
        <v>0.10834595678463987</v>
      </c>
      <c r="F43" s="464">
        <f>'Rate Support-Attachment I'!H43</f>
        <v>6228595.881599999</v>
      </c>
      <c r="G43" s="465">
        <f t="shared" si="7"/>
        <v>5825433.5404751105</v>
      </c>
      <c r="H43" s="466">
        <f t="shared" si="8"/>
        <v>5.2361094247225834E-2</v>
      </c>
      <c r="I43" s="461">
        <f>'#58-UM ROI'!$H$111</f>
        <v>1884000</v>
      </c>
      <c r="J43" s="3"/>
    </row>
    <row r="44" spans="1:10" x14ac:dyDescent="0.55000000000000004">
      <c r="A44" s="471">
        <v>210060</v>
      </c>
      <c r="B44" s="14" t="s">
        <v>677</v>
      </c>
      <c r="C44" s="461">
        <f>'#60-Adventist Fort Washington'!$E$121</f>
        <v>51160793.519999996</v>
      </c>
      <c r="D44" s="462">
        <f>'#60-Adventist Fort Washington'!$H$152+'#60-Adventist Fort Washington'!$F$152</f>
        <v>1941540.4306445215</v>
      </c>
      <c r="E44" s="463">
        <f t="shared" si="6"/>
        <v>3.7949771632950262E-2</v>
      </c>
      <c r="F44" s="464">
        <f>'Rate Support-Attachment I'!H44</f>
        <v>869284.03824999998</v>
      </c>
      <c r="G44" s="465">
        <f t="shared" si="7"/>
        <v>1072256.3923945215</v>
      </c>
      <c r="H44" s="466">
        <f t="shared" si="8"/>
        <v>2.095855671150508E-2</v>
      </c>
      <c r="I44" s="461">
        <f>'#60-Adventist Fort Washington'!$H$111</f>
        <v>0</v>
      </c>
      <c r="J44" s="441"/>
    </row>
    <row r="45" spans="1:10" x14ac:dyDescent="0.55000000000000004">
      <c r="A45" s="471">
        <v>210061</v>
      </c>
      <c r="B45" s="14" t="s">
        <v>49</v>
      </c>
      <c r="C45" s="461">
        <f>'#61-Atlantic General'!$E$121</f>
        <v>146641248</v>
      </c>
      <c r="D45" s="462">
        <f>'#61-Atlantic General'!$H$152+'#61-Atlantic General'!$F$152</f>
        <v>2491085.8234148268</v>
      </c>
      <c r="E45" s="463">
        <f t="shared" si="6"/>
        <v>1.698762017774717E-2</v>
      </c>
      <c r="F45" s="464">
        <f>'Rate Support-Attachment I'!H45</f>
        <v>1617504.75</v>
      </c>
      <c r="G45" s="465">
        <f t="shared" si="7"/>
        <v>873581.07341482677</v>
      </c>
      <c r="H45" s="466">
        <f t="shared" si="8"/>
        <v>5.9572670399997332E-3</v>
      </c>
      <c r="I45" s="461">
        <f>'#61-Atlantic General'!$H$111</f>
        <v>1217677</v>
      </c>
      <c r="J45" s="3"/>
    </row>
    <row r="46" spans="1:10" x14ac:dyDescent="0.55000000000000004">
      <c r="A46" s="471">
        <v>210062</v>
      </c>
      <c r="B46" s="14" t="s">
        <v>50</v>
      </c>
      <c r="C46" s="461">
        <f>'#62-MedStar Southern Maryland'!$E$121</f>
        <v>266837862.47000006</v>
      </c>
      <c r="D46" s="462">
        <f>'#62-MedStar Southern Maryland'!$H$152+'#62-MedStar Southern Maryland'!$F$152</f>
        <v>16199890</v>
      </c>
      <c r="E46" s="463">
        <f t="shared" si="6"/>
        <v>6.0710612242373646E-2</v>
      </c>
      <c r="F46" s="464">
        <f>'Rate Support-Attachment I'!H46</f>
        <v>6922267.5529000005</v>
      </c>
      <c r="G46" s="465">
        <f t="shared" si="7"/>
        <v>9277622.4470999986</v>
      </c>
      <c r="H46" s="466">
        <f t="shared" si="8"/>
        <v>3.4768763177838224E-2</v>
      </c>
      <c r="I46" s="461">
        <f>'#62-MedStar Southern Maryland'!$H$111</f>
        <v>5579397</v>
      </c>
      <c r="J46" s="3"/>
    </row>
    <row r="47" spans="1:10" s="39" customFormat="1" x14ac:dyDescent="0.55000000000000004">
      <c r="A47" s="471">
        <v>210063</v>
      </c>
      <c r="B47" s="14" t="s">
        <v>51</v>
      </c>
      <c r="C47" s="468">
        <f>'#63-UM St Joseph'!$E$121</f>
        <v>353751000</v>
      </c>
      <c r="D47" s="469">
        <f>'#63-UM St Joseph'!$H$152+'#63-UM St Joseph'!$F$152</f>
        <v>51032616.420000002</v>
      </c>
      <c r="E47" s="470">
        <f t="shared" si="6"/>
        <v>0.14426140539532045</v>
      </c>
      <c r="F47" s="464">
        <f>'Rate Support-Attachment I'!H47</f>
        <v>7200163.7682499997</v>
      </c>
      <c r="G47" s="465">
        <f t="shared" si="7"/>
        <v>43832452.651749998</v>
      </c>
      <c r="H47" s="466">
        <f t="shared" si="8"/>
        <v>0.12390764309288171</v>
      </c>
      <c r="I47" s="468">
        <f>'#63-UM St Joseph'!$H$111</f>
        <v>6890000</v>
      </c>
    </row>
    <row r="48" spans="1:10" x14ac:dyDescent="0.55000000000000004">
      <c r="A48" s="471">
        <v>210064</v>
      </c>
      <c r="B48" s="14" t="s">
        <v>688</v>
      </c>
      <c r="C48" s="461">
        <f>'#64-Levindale'!$E$121</f>
        <v>83280000</v>
      </c>
      <c r="D48" s="462">
        <f>'#64-Levindale'!$H$152+'#64-Levindale'!$F$152</f>
        <v>2672481.6677210545</v>
      </c>
      <c r="E48" s="463">
        <f t="shared" si="6"/>
        <v>3.2090317816054932E-2</v>
      </c>
      <c r="F48" s="464">
        <f>'Rate Support-Attachment I'!H48</f>
        <v>1039909.6</v>
      </c>
      <c r="G48" s="465">
        <f t="shared" si="7"/>
        <v>1632572.0677210544</v>
      </c>
      <c r="H48" s="466">
        <f t="shared" si="8"/>
        <v>1.9603410995689893E-2</v>
      </c>
      <c r="I48" s="461">
        <f>'#64-Levindale'!$H$111</f>
        <v>1768778</v>
      </c>
      <c r="J48" s="3"/>
    </row>
    <row r="49" spans="1:10" x14ac:dyDescent="0.55000000000000004">
      <c r="A49" s="471">
        <v>210065</v>
      </c>
      <c r="B49" s="14" t="s">
        <v>645</v>
      </c>
      <c r="C49" s="461">
        <f>'#65-Holy Cross Germantown'!$E$121</f>
        <v>123537343</v>
      </c>
      <c r="D49" s="462">
        <f>'#65-Holy Cross Germantown'!$H$152+'#65-Holy Cross Germantown'!$F$152</f>
        <v>8421561.7735476661</v>
      </c>
      <c r="E49" s="463">
        <f t="shared" si="6"/>
        <v>6.8170170808576208E-2</v>
      </c>
      <c r="F49" s="464">
        <f>'Rate Support-Attachment I'!H49</f>
        <v>5048215.5302500008</v>
      </c>
      <c r="G49" s="465">
        <f t="shared" si="7"/>
        <v>3373346.2432976654</v>
      </c>
      <c r="H49" s="466">
        <f t="shared" si="8"/>
        <v>2.7306287810461211E-2</v>
      </c>
      <c r="I49" s="461">
        <f>'#65-Holy Cross Germantown'!$H$111</f>
        <v>4751018</v>
      </c>
      <c r="J49" s="3"/>
    </row>
    <row r="50" spans="1:10" x14ac:dyDescent="0.55000000000000004">
      <c r="A50" s="472">
        <v>213029</v>
      </c>
      <c r="B50" s="14" t="s">
        <v>56</v>
      </c>
      <c r="C50" s="473">
        <f>'#3029-Adventist Rehab'!$E$121</f>
        <v>52271126.609999999</v>
      </c>
      <c r="D50" s="474">
        <f>'#3029-Adventist Rehab'!$H$152+'#3029-Adventist Rehab'!$F$152</f>
        <v>2098748.4557222687</v>
      </c>
      <c r="E50" s="463">
        <f t="shared" si="6"/>
        <v>4.0151199942202065E-2</v>
      </c>
      <c r="F50" s="464">
        <f>'Rate Support-Attachment I'!H53</f>
        <v>63254.853999999999</v>
      </c>
      <c r="G50" s="465">
        <f t="shared" si="7"/>
        <v>2035493.6017222686</v>
      </c>
      <c r="H50" s="466">
        <f t="shared" si="8"/>
        <v>3.8941070027231017E-2</v>
      </c>
      <c r="I50" s="473">
        <f>'#3029-Adventist Rehab'!$H$111</f>
        <v>242956.24</v>
      </c>
      <c r="J50" s="3"/>
    </row>
    <row r="51" spans="1:10" x14ac:dyDescent="0.55000000000000004">
      <c r="A51" s="472">
        <v>213300</v>
      </c>
      <c r="B51" s="14" t="s">
        <v>54</v>
      </c>
      <c r="C51" s="473">
        <f>'#5034-Mt Washington Pediatric'!$E$121</f>
        <v>62131847</v>
      </c>
      <c r="D51" s="474">
        <f>'#5034-Mt Washington Pediatric'!$H$152+'#5034-Mt Washington Pediatric'!$F$152</f>
        <v>2128315.1678105178</v>
      </c>
      <c r="E51" s="463">
        <f t="shared" si="6"/>
        <v>3.4254818914533761E-2</v>
      </c>
      <c r="F51" s="464">
        <f>'Rate Support-Attachment I'!H50</f>
        <v>99674.079999999987</v>
      </c>
      <c r="G51" s="465">
        <f t="shared" si="7"/>
        <v>2028641.0878105178</v>
      </c>
      <c r="H51" s="466">
        <f t="shared" si="8"/>
        <v>3.2650583972025131E-2</v>
      </c>
      <c r="I51" s="473">
        <f>'#5034-Mt Washington Pediatric'!$H$111</f>
        <v>33672.57999999998</v>
      </c>
      <c r="J51" s="3"/>
    </row>
    <row r="52" spans="1:10" x14ac:dyDescent="0.55000000000000004">
      <c r="A52" s="472">
        <v>214000</v>
      </c>
      <c r="B52" s="14" t="s">
        <v>655</v>
      </c>
      <c r="C52" s="473">
        <f>'#4000-Sheppard Pratt'!$E$121</f>
        <v>210491083</v>
      </c>
      <c r="D52" s="474">
        <f>'#4000-Sheppard Pratt'!$H$152+'#4000-Sheppard Pratt'!$F$152</f>
        <v>26809549.982305154</v>
      </c>
      <c r="E52" s="463">
        <f t="shared" si="6"/>
        <v>0.12736667796186479</v>
      </c>
      <c r="F52" s="464">
        <f>'Rate Support-Attachment I'!H51</f>
        <v>7289464.6499999994</v>
      </c>
      <c r="G52" s="465">
        <f t="shared" si="7"/>
        <v>19520085.332305156</v>
      </c>
      <c r="H52" s="466">
        <f t="shared" si="8"/>
        <v>9.2735925218766418E-2</v>
      </c>
      <c r="I52" s="473">
        <f>'#4000-Sheppard Pratt'!$H$111</f>
        <v>4629792.54</v>
      </c>
      <c r="J52" s="3"/>
    </row>
    <row r="53" spans="1:10" s="442" customFormat="1" x14ac:dyDescent="0.55000000000000004">
      <c r="A53" s="472">
        <v>214020</v>
      </c>
      <c r="B53" s="14" t="s">
        <v>678</v>
      </c>
      <c r="C53" s="473">
        <f>'#4020-McNew Family Medical'!$E$121</f>
        <v>8462000</v>
      </c>
      <c r="D53" s="474">
        <f>'#4020-McNew Family Medical'!$H$152+'#4020-McNew Family Medical'!$F$152</f>
        <v>940374.56</v>
      </c>
      <c r="E53" s="463">
        <f t="shared" si="6"/>
        <v>0.11112911368470811</v>
      </c>
      <c r="F53" s="464">
        <f>'Rate Support-Attachment I'!H52</f>
        <v>37631.85</v>
      </c>
      <c r="G53" s="465">
        <f t="shared" si="7"/>
        <v>902742.71000000008</v>
      </c>
      <c r="H53" s="466">
        <f t="shared" si="8"/>
        <v>0.10668195580241079</v>
      </c>
      <c r="I53" s="473">
        <f>'#4020-McNew Family Medical'!$H$111</f>
        <v>37632</v>
      </c>
    </row>
    <row r="54" spans="1:10" x14ac:dyDescent="0.55000000000000004">
      <c r="A54" s="471"/>
      <c r="B54" s="109" t="s">
        <v>97</v>
      </c>
      <c r="C54" s="110">
        <f>SUM(C3:C53)</f>
        <v>18226100701.77</v>
      </c>
      <c r="D54" s="110">
        <f>SUM(D3:D53)</f>
        <v>1952576037.2664199</v>
      </c>
      <c r="E54" s="111">
        <f t="shared" ref="E54" si="9">D54/C54</f>
        <v>0.10713076094640464</v>
      </c>
      <c r="F54" s="110">
        <f>SUM(F3:F53)</f>
        <v>749497330.45177221</v>
      </c>
      <c r="G54" s="112">
        <f>SUM(G3:G53)</f>
        <v>1203078706.8146474</v>
      </c>
      <c r="H54" s="113">
        <f t="shared" ref="H54" si="10">G54/C54</f>
        <v>6.6008562473146667E-2</v>
      </c>
      <c r="I54" s="110">
        <f>SUM(I3:I53)</f>
        <v>329992676.29036427</v>
      </c>
      <c r="J54" s="3"/>
    </row>
    <row r="55" spans="1:10" x14ac:dyDescent="0.55000000000000004">
      <c r="C55" s="110"/>
      <c r="D55" s="110"/>
      <c r="E55" s="110"/>
      <c r="F55" s="112"/>
      <c r="G55" s="113"/>
      <c r="H55" s="110"/>
      <c r="I55" s="471"/>
      <c r="J55" s="3"/>
    </row>
    <row r="56" spans="1:10" x14ac:dyDescent="0.55000000000000004">
      <c r="C56" s="114">
        <f>AVERAGE(C3:C53)</f>
        <v>357374523.56411767</v>
      </c>
      <c r="D56" s="114">
        <f>AVERAGE(D3:D53)</f>
        <v>38285804.652282745</v>
      </c>
      <c r="E56" s="115">
        <f>AVERAGE(E3:E53)</f>
        <v>0.10178214904448994</v>
      </c>
      <c r="F56" s="112"/>
      <c r="G56" s="113">
        <f>AVERAGE(H3:H53)</f>
        <v>7.3466651114252587E-2</v>
      </c>
      <c r="H56" s="110"/>
      <c r="I56" s="114">
        <f>AVERAGE(I3:I53)</f>
        <v>6470444.6331443973</v>
      </c>
      <c r="J56" s="3"/>
    </row>
    <row r="57" spans="1:10" x14ac:dyDescent="0.55000000000000004">
      <c r="A57" s="475"/>
      <c r="B57" s="484"/>
      <c r="C57" s="484"/>
      <c r="D57" s="484"/>
      <c r="E57" s="484"/>
      <c r="F57" s="3"/>
      <c r="H57" s="476"/>
      <c r="I57" s="477"/>
    </row>
    <row r="58" spans="1:10" x14ac:dyDescent="0.55000000000000004">
      <c r="D58" s="2"/>
      <c r="H58" s="478"/>
      <c r="I58" s="479"/>
    </row>
    <row r="59" spans="1:10" x14ac:dyDescent="0.55000000000000004">
      <c r="C59" s="485"/>
      <c r="D59" s="485"/>
      <c r="E59" s="485"/>
      <c r="F59" s="485"/>
      <c r="G59" s="485"/>
      <c r="H59" s="485"/>
      <c r="I59" s="485"/>
    </row>
    <row r="60" spans="1:10" x14ac:dyDescent="0.55000000000000004">
      <c r="C60" s="116"/>
      <c r="D60" s="1"/>
      <c r="E60" s="117"/>
      <c r="F60" s="117"/>
      <c r="G60" s="118"/>
      <c r="H60" s="119"/>
      <c r="I60" s="120"/>
    </row>
    <row r="63" spans="1:10" x14ac:dyDescent="0.55000000000000004">
      <c r="D63" s="480"/>
    </row>
  </sheetData>
  <sortState xmlns:xlrd2="http://schemas.microsoft.com/office/spreadsheetml/2017/richdata2" ref="A3:I53">
    <sortCondition ref="H3:H53"/>
  </sortState>
  <dataConsolidate link="1"/>
  <mergeCells count="3">
    <mergeCell ref="A1:C1"/>
    <mergeCell ref="B57:E57"/>
    <mergeCell ref="C59:I59"/>
  </mergeCells>
  <pageMargins left="0.51" right="0.11" top="0.48" bottom="0.28000000000000003" header="0.3" footer="0.3"/>
  <pageSetup paperSize="5" scale="6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E73FA-9B03-4952-B727-F18DAFB32600}">
  <sheetPr codeName="Sheet8">
    <tabColor theme="7" tint="-0.249977111117893"/>
    <pageSetUpPr fitToPage="1"/>
  </sheetPr>
  <dimension ref="A1:P129"/>
  <sheetViews>
    <sheetView workbookViewId="0">
      <selection sqref="A1:J1"/>
    </sheetView>
  </sheetViews>
  <sheetFormatPr defaultRowHeight="12.3" x14ac:dyDescent="0.4"/>
  <cols>
    <col min="1" max="1" width="6.26171875" style="121" customWidth="1"/>
    <col min="2" max="2" width="4.41796875" style="121" customWidth="1"/>
    <col min="3" max="3" width="56" style="121" customWidth="1"/>
    <col min="4" max="4" width="0.68359375" style="121" customWidth="1"/>
    <col min="5" max="5" width="15" style="121" bestFit="1" customWidth="1"/>
    <col min="6" max="6" width="13.41796875" style="121" bestFit="1" customWidth="1"/>
    <col min="7" max="7" width="17.68359375" style="121" bestFit="1" customWidth="1"/>
    <col min="8" max="8" width="16.68359375" style="121" bestFit="1" customWidth="1"/>
    <col min="9" max="9" width="16.68359375" style="121" customWidth="1"/>
    <col min="10" max="10" width="17" style="121" bestFit="1" customWidth="1"/>
    <col min="11" max="11" width="20.68359375" style="121" bestFit="1" customWidth="1"/>
    <col min="12" max="12" width="23.15625" style="121" bestFit="1" customWidth="1"/>
    <col min="13" max="13" width="54.83984375" style="121" bestFit="1" customWidth="1"/>
    <col min="14" max="14" width="16" style="121" bestFit="1" customWidth="1"/>
    <col min="15" max="15" width="14.68359375" style="121" bestFit="1" customWidth="1"/>
    <col min="16" max="16" width="16" style="121" bestFit="1" customWidth="1"/>
    <col min="17" max="17" width="12.68359375" style="121" bestFit="1" customWidth="1"/>
    <col min="18" max="18" width="14.68359375" style="121" bestFit="1" customWidth="1"/>
    <col min="19" max="256" width="9.15625" style="121"/>
    <col min="257" max="257" width="6.26171875" style="121" customWidth="1"/>
    <col min="258" max="258" width="4.41796875" style="121" customWidth="1"/>
    <col min="259" max="259" width="38.41796875" style="121" customWidth="1"/>
    <col min="260" max="261" width="0" style="121" hidden="1" customWidth="1"/>
    <col min="262" max="262" width="28.26171875" style="121" customWidth="1"/>
    <col min="263" max="263" width="19.26171875" style="121" bestFit="1" customWidth="1"/>
    <col min="264" max="264" width="18" style="121" bestFit="1" customWidth="1"/>
    <col min="265" max="265" width="16.26171875" style="121" bestFit="1" customWidth="1"/>
    <col min="266" max="266" width="16.578125" style="121" bestFit="1" customWidth="1"/>
    <col min="267" max="267" width="16.41796875" style="121" bestFit="1" customWidth="1"/>
    <col min="268" max="268" width="15.578125" style="121" bestFit="1" customWidth="1"/>
    <col min="269" max="269" width="14.68359375" style="121" bestFit="1" customWidth="1"/>
    <col min="270" max="270" width="16" style="121" bestFit="1" customWidth="1"/>
    <col min="271" max="271" width="14.68359375" style="121" bestFit="1" customWidth="1"/>
    <col min="272" max="272" width="16" style="121" bestFit="1" customWidth="1"/>
    <col min="273" max="273" width="12.68359375" style="121" bestFit="1" customWidth="1"/>
    <col min="274" max="274" width="14.68359375" style="121" bestFit="1" customWidth="1"/>
    <col min="275" max="512" width="9.15625" style="121"/>
    <col min="513" max="513" width="6.26171875" style="121" customWidth="1"/>
    <col min="514" max="514" width="4.41796875" style="121" customWidth="1"/>
    <col min="515" max="515" width="38.41796875" style="121" customWidth="1"/>
    <col min="516" max="517" width="0" style="121" hidden="1" customWidth="1"/>
    <col min="518" max="518" width="28.26171875" style="121" customWidth="1"/>
    <col min="519" max="519" width="19.26171875" style="121" bestFit="1" customWidth="1"/>
    <col min="520" max="520" width="18" style="121" bestFit="1" customWidth="1"/>
    <col min="521" max="521" width="16.26171875" style="121" bestFit="1" customWidth="1"/>
    <col min="522" max="522" width="16.578125" style="121" bestFit="1" customWidth="1"/>
    <col min="523" max="523" width="16.41796875" style="121" bestFit="1" customWidth="1"/>
    <col min="524" max="524" width="15.578125" style="121" bestFit="1" customWidth="1"/>
    <col min="525" max="525" width="14.68359375" style="121" bestFit="1" customWidth="1"/>
    <col min="526" max="526" width="16" style="121" bestFit="1" customWidth="1"/>
    <col min="527" max="527" width="14.68359375" style="121" bestFit="1" customWidth="1"/>
    <col min="528" max="528" width="16" style="121" bestFit="1" customWidth="1"/>
    <col min="529" max="529" width="12.68359375" style="121" bestFit="1" customWidth="1"/>
    <col min="530" max="530" width="14.68359375" style="121" bestFit="1" customWidth="1"/>
    <col min="531" max="768" width="9.15625" style="121"/>
    <col min="769" max="769" width="6.26171875" style="121" customWidth="1"/>
    <col min="770" max="770" width="4.41796875" style="121" customWidth="1"/>
    <col min="771" max="771" width="38.41796875" style="121" customWidth="1"/>
    <col min="772" max="773" width="0" style="121" hidden="1" customWidth="1"/>
    <col min="774" max="774" width="28.26171875" style="121" customWidth="1"/>
    <col min="775" max="775" width="19.26171875" style="121" bestFit="1" customWidth="1"/>
    <col min="776" max="776" width="18" style="121" bestFit="1" customWidth="1"/>
    <col min="777" max="777" width="16.26171875" style="121" bestFit="1" customWidth="1"/>
    <col min="778" max="778" width="16.578125" style="121" bestFit="1" customWidth="1"/>
    <col min="779" max="779" width="16.41796875" style="121" bestFit="1" customWidth="1"/>
    <col min="780" max="780" width="15.578125" style="121" bestFit="1" customWidth="1"/>
    <col min="781" max="781" width="14.68359375" style="121" bestFit="1" customWidth="1"/>
    <col min="782" max="782" width="16" style="121" bestFit="1" customWidth="1"/>
    <col min="783" max="783" width="14.68359375" style="121" bestFit="1" customWidth="1"/>
    <col min="784" max="784" width="16" style="121" bestFit="1" customWidth="1"/>
    <col min="785" max="785" width="12.68359375" style="121" bestFit="1" customWidth="1"/>
    <col min="786" max="786" width="14.68359375" style="121" bestFit="1" customWidth="1"/>
    <col min="787" max="1024" width="9.15625" style="121"/>
    <col min="1025" max="1025" width="6.26171875" style="121" customWidth="1"/>
    <col min="1026" max="1026" width="4.41796875" style="121" customWidth="1"/>
    <col min="1027" max="1027" width="38.41796875" style="121" customWidth="1"/>
    <col min="1028" max="1029" width="0" style="121" hidden="1" customWidth="1"/>
    <col min="1030" max="1030" width="28.26171875" style="121" customWidth="1"/>
    <col min="1031" max="1031" width="19.26171875" style="121" bestFit="1" customWidth="1"/>
    <col min="1032" max="1032" width="18" style="121" bestFit="1" customWidth="1"/>
    <col min="1033" max="1033" width="16.26171875" style="121" bestFit="1" customWidth="1"/>
    <col min="1034" max="1034" width="16.578125" style="121" bestFit="1" customWidth="1"/>
    <col min="1035" max="1035" width="16.41796875" style="121" bestFit="1" customWidth="1"/>
    <col min="1036" max="1036" width="15.578125" style="121" bestFit="1" customWidth="1"/>
    <col min="1037" max="1037" width="14.68359375" style="121" bestFit="1" customWidth="1"/>
    <col min="1038" max="1038" width="16" style="121" bestFit="1" customWidth="1"/>
    <col min="1039" max="1039" width="14.68359375" style="121" bestFit="1" customWidth="1"/>
    <col min="1040" max="1040" width="16" style="121" bestFit="1" customWidth="1"/>
    <col min="1041" max="1041" width="12.68359375" style="121" bestFit="1" customWidth="1"/>
    <col min="1042" max="1042" width="14.68359375" style="121" bestFit="1" customWidth="1"/>
    <col min="1043" max="1280" width="9.15625" style="121"/>
    <col min="1281" max="1281" width="6.26171875" style="121" customWidth="1"/>
    <col min="1282" max="1282" width="4.41796875" style="121" customWidth="1"/>
    <col min="1283" max="1283" width="38.41796875" style="121" customWidth="1"/>
    <col min="1284" max="1285" width="0" style="121" hidden="1" customWidth="1"/>
    <col min="1286" max="1286" width="28.26171875" style="121" customWidth="1"/>
    <col min="1287" max="1287" width="19.26171875" style="121" bestFit="1" customWidth="1"/>
    <col min="1288" max="1288" width="18" style="121" bestFit="1" customWidth="1"/>
    <col min="1289" max="1289" width="16.26171875" style="121" bestFit="1" customWidth="1"/>
    <col min="1290" max="1290" width="16.578125" style="121" bestFit="1" customWidth="1"/>
    <col min="1291" max="1291" width="16.41796875" style="121" bestFit="1" customWidth="1"/>
    <col min="1292" max="1292" width="15.578125" style="121" bestFit="1" customWidth="1"/>
    <col min="1293" max="1293" width="14.68359375" style="121" bestFit="1" customWidth="1"/>
    <col min="1294" max="1294" width="16" style="121" bestFit="1" customWidth="1"/>
    <col min="1295" max="1295" width="14.68359375" style="121" bestFit="1" customWidth="1"/>
    <col min="1296" max="1296" width="16" style="121" bestFit="1" customWidth="1"/>
    <col min="1297" max="1297" width="12.68359375" style="121" bestFit="1" customWidth="1"/>
    <col min="1298" max="1298" width="14.68359375" style="121" bestFit="1" customWidth="1"/>
    <col min="1299" max="1536" width="9.15625" style="121"/>
    <col min="1537" max="1537" width="6.26171875" style="121" customWidth="1"/>
    <col min="1538" max="1538" width="4.41796875" style="121" customWidth="1"/>
    <col min="1539" max="1539" width="38.41796875" style="121" customWidth="1"/>
    <col min="1540" max="1541" width="0" style="121" hidden="1" customWidth="1"/>
    <col min="1542" max="1542" width="28.26171875" style="121" customWidth="1"/>
    <col min="1543" max="1543" width="19.26171875" style="121" bestFit="1" customWidth="1"/>
    <col min="1544" max="1544" width="18" style="121" bestFit="1" customWidth="1"/>
    <col min="1545" max="1545" width="16.26171875" style="121" bestFit="1" customWidth="1"/>
    <col min="1546" max="1546" width="16.578125" style="121" bestFit="1" customWidth="1"/>
    <col min="1547" max="1547" width="16.41796875" style="121" bestFit="1" customWidth="1"/>
    <col min="1548" max="1548" width="15.578125" style="121" bestFit="1" customWidth="1"/>
    <col min="1549" max="1549" width="14.68359375" style="121" bestFit="1" customWidth="1"/>
    <col min="1550" max="1550" width="16" style="121" bestFit="1" customWidth="1"/>
    <col min="1551" max="1551" width="14.68359375" style="121" bestFit="1" customWidth="1"/>
    <col min="1552" max="1552" width="16" style="121" bestFit="1" customWidth="1"/>
    <col min="1553" max="1553" width="12.68359375" style="121" bestFit="1" customWidth="1"/>
    <col min="1554" max="1554" width="14.68359375" style="121" bestFit="1" customWidth="1"/>
    <col min="1555" max="1792" width="9.15625" style="121"/>
    <col min="1793" max="1793" width="6.26171875" style="121" customWidth="1"/>
    <col min="1794" max="1794" width="4.41796875" style="121" customWidth="1"/>
    <col min="1795" max="1795" width="38.41796875" style="121" customWidth="1"/>
    <col min="1796" max="1797" width="0" style="121" hidden="1" customWidth="1"/>
    <col min="1798" max="1798" width="28.26171875" style="121" customWidth="1"/>
    <col min="1799" max="1799" width="19.26171875" style="121" bestFit="1" customWidth="1"/>
    <col min="1800" max="1800" width="18" style="121" bestFit="1" customWidth="1"/>
    <col min="1801" max="1801" width="16.26171875" style="121" bestFit="1" customWidth="1"/>
    <col min="1802" max="1802" width="16.578125" style="121" bestFit="1" customWidth="1"/>
    <col min="1803" max="1803" width="16.41796875" style="121" bestFit="1" customWidth="1"/>
    <col min="1804" max="1804" width="15.578125" style="121" bestFit="1" customWidth="1"/>
    <col min="1805" max="1805" width="14.68359375" style="121" bestFit="1" customWidth="1"/>
    <col min="1806" max="1806" width="16" style="121" bestFit="1" customWidth="1"/>
    <col min="1807" max="1807" width="14.68359375" style="121" bestFit="1" customWidth="1"/>
    <col min="1808" max="1808" width="16" style="121" bestFit="1" customWidth="1"/>
    <col min="1809" max="1809" width="12.68359375" style="121" bestFit="1" customWidth="1"/>
    <col min="1810" max="1810" width="14.68359375" style="121" bestFit="1" customWidth="1"/>
    <col min="1811" max="2048" width="9.15625" style="121"/>
    <col min="2049" max="2049" width="6.26171875" style="121" customWidth="1"/>
    <col min="2050" max="2050" width="4.41796875" style="121" customWidth="1"/>
    <col min="2051" max="2051" width="38.41796875" style="121" customWidth="1"/>
    <col min="2052" max="2053" width="0" style="121" hidden="1" customWidth="1"/>
    <col min="2054" max="2054" width="28.26171875" style="121" customWidth="1"/>
    <col min="2055" max="2055" width="19.26171875" style="121" bestFit="1" customWidth="1"/>
    <col min="2056" max="2056" width="18" style="121" bestFit="1" customWidth="1"/>
    <col min="2057" max="2057" width="16.26171875" style="121" bestFit="1" customWidth="1"/>
    <col min="2058" max="2058" width="16.578125" style="121" bestFit="1" customWidth="1"/>
    <col min="2059" max="2059" width="16.41796875" style="121" bestFit="1" customWidth="1"/>
    <col min="2060" max="2060" width="15.578125" style="121" bestFit="1" customWidth="1"/>
    <col min="2061" max="2061" width="14.68359375" style="121" bestFit="1" customWidth="1"/>
    <col min="2062" max="2062" width="16" style="121" bestFit="1" customWidth="1"/>
    <col min="2063" max="2063" width="14.68359375" style="121" bestFit="1" customWidth="1"/>
    <col min="2064" max="2064" width="16" style="121" bestFit="1" customWidth="1"/>
    <col min="2065" max="2065" width="12.68359375" style="121" bestFit="1" customWidth="1"/>
    <col min="2066" max="2066" width="14.68359375" style="121" bestFit="1" customWidth="1"/>
    <col min="2067" max="2304" width="9.15625" style="121"/>
    <col min="2305" max="2305" width="6.26171875" style="121" customWidth="1"/>
    <col min="2306" max="2306" width="4.41796875" style="121" customWidth="1"/>
    <col min="2307" max="2307" width="38.41796875" style="121" customWidth="1"/>
    <col min="2308" max="2309" width="0" style="121" hidden="1" customWidth="1"/>
    <col min="2310" max="2310" width="28.26171875" style="121" customWidth="1"/>
    <col min="2311" max="2311" width="19.26171875" style="121" bestFit="1" customWidth="1"/>
    <col min="2312" max="2312" width="18" style="121" bestFit="1" customWidth="1"/>
    <col min="2313" max="2313" width="16.26171875" style="121" bestFit="1" customWidth="1"/>
    <col min="2314" max="2314" width="16.578125" style="121" bestFit="1" customWidth="1"/>
    <col min="2315" max="2315" width="16.41796875" style="121" bestFit="1" customWidth="1"/>
    <col min="2316" max="2316" width="15.578125" style="121" bestFit="1" customWidth="1"/>
    <col min="2317" max="2317" width="14.68359375" style="121" bestFit="1" customWidth="1"/>
    <col min="2318" max="2318" width="16" style="121" bestFit="1" customWidth="1"/>
    <col min="2319" max="2319" width="14.68359375" style="121" bestFit="1" customWidth="1"/>
    <col min="2320" max="2320" width="16" style="121" bestFit="1" customWidth="1"/>
    <col min="2321" max="2321" width="12.68359375" style="121" bestFit="1" customWidth="1"/>
    <col min="2322" max="2322" width="14.68359375" style="121" bestFit="1" customWidth="1"/>
    <col min="2323" max="2560" width="9.15625" style="121"/>
    <col min="2561" max="2561" width="6.26171875" style="121" customWidth="1"/>
    <col min="2562" max="2562" width="4.41796875" style="121" customWidth="1"/>
    <col min="2563" max="2563" width="38.41796875" style="121" customWidth="1"/>
    <col min="2564" max="2565" width="0" style="121" hidden="1" customWidth="1"/>
    <col min="2566" max="2566" width="28.26171875" style="121" customWidth="1"/>
    <col min="2567" max="2567" width="19.26171875" style="121" bestFit="1" customWidth="1"/>
    <col min="2568" max="2568" width="18" style="121" bestFit="1" customWidth="1"/>
    <col min="2569" max="2569" width="16.26171875" style="121" bestFit="1" customWidth="1"/>
    <col min="2570" max="2570" width="16.578125" style="121" bestFit="1" customWidth="1"/>
    <col min="2571" max="2571" width="16.41796875" style="121" bestFit="1" customWidth="1"/>
    <col min="2572" max="2572" width="15.578125" style="121" bestFit="1" customWidth="1"/>
    <col min="2573" max="2573" width="14.68359375" style="121" bestFit="1" customWidth="1"/>
    <col min="2574" max="2574" width="16" style="121" bestFit="1" customWidth="1"/>
    <col min="2575" max="2575" width="14.68359375" style="121" bestFit="1" customWidth="1"/>
    <col min="2576" max="2576" width="16" style="121" bestFit="1" customWidth="1"/>
    <col min="2577" max="2577" width="12.68359375" style="121" bestFit="1" customWidth="1"/>
    <col min="2578" max="2578" width="14.68359375" style="121" bestFit="1" customWidth="1"/>
    <col min="2579" max="2816" width="9.15625" style="121"/>
    <col min="2817" max="2817" width="6.26171875" style="121" customWidth="1"/>
    <col min="2818" max="2818" width="4.41796875" style="121" customWidth="1"/>
    <col min="2819" max="2819" width="38.41796875" style="121" customWidth="1"/>
    <col min="2820" max="2821" width="0" style="121" hidden="1" customWidth="1"/>
    <col min="2822" max="2822" width="28.26171875" style="121" customWidth="1"/>
    <col min="2823" max="2823" width="19.26171875" style="121" bestFit="1" customWidth="1"/>
    <col min="2824" max="2824" width="18" style="121" bestFit="1" customWidth="1"/>
    <col min="2825" max="2825" width="16.26171875" style="121" bestFit="1" customWidth="1"/>
    <col min="2826" max="2826" width="16.578125" style="121" bestFit="1" customWidth="1"/>
    <col min="2827" max="2827" width="16.41796875" style="121" bestFit="1" customWidth="1"/>
    <col min="2828" max="2828" width="15.578125" style="121" bestFit="1" customWidth="1"/>
    <col min="2829" max="2829" width="14.68359375" style="121" bestFit="1" customWidth="1"/>
    <col min="2830" max="2830" width="16" style="121" bestFit="1" customWidth="1"/>
    <col min="2831" max="2831" width="14.68359375" style="121" bestFit="1" customWidth="1"/>
    <col min="2832" max="2832" width="16" style="121" bestFit="1" customWidth="1"/>
    <col min="2833" max="2833" width="12.68359375" style="121" bestFit="1" customWidth="1"/>
    <col min="2834" max="2834" width="14.68359375" style="121" bestFit="1" customWidth="1"/>
    <col min="2835" max="3072" width="9.15625" style="121"/>
    <col min="3073" max="3073" width="6.26171875" style="121" customWidth="1"/>
    <col min="3074" max="3074" width="4.41796875" style="121" customWidth="1"/>
    <col min="3075" max="3075" width="38.41796875" style="121" customWidth="1"/>
    <col min="3076" max="3077" width="0" style="121" hidden="1" customWidth="1"/>
    <col min="3078" max="3078" width="28.26171875" style="121" customWidth="1"/>
    <col min="3079" max="3079" width="19.26171875" style="121" bestFit="1" customWidth="1"/>
    <col min="3080" max="3080" width="18" style="121" bestFit="1" customWidth="1"/>
    <col min="3081" max="3081" width="16.26171875" style="121" bestFit="1" customWidth="1"/>
    <col min="3082" max="3082" width="16.578125" style="121" bestFit="1" customWidth="1"/>
    <col min="3083" max="3083" width="16.41796875" style="121" bestFit="1" customWidth="1"/>
    <col min="3084" max="3084" width="15.578125" style="121" bestFit="1" customWidth="1"/>
    <col min="3085" max="3085" width="14.68359375" style="121" bestFit="1" customWidth="1"/>
    <col min="3086" max="3086" width="16" style="121" bestFit="1" customWidth="1"/>
    <col min="3087" max="3087" width="14.68359375" style="121" bestFit="1" customWidth="1"/>
    <col min="3088" max="3088" width="16" style="121" bestFit="1" customWidth="1"/>
    <col min="3089" max="3089" width="12.68359375" style="121" bestFit="1" customWidth="1"/>
    <col min="3090" max="3090" width="14.68359375" style="121" bestFit="1" customWidth="1"/>
    <col min="3091" max="3328" width="9.15625" style="121"/>
    <col min="3329" max="3329" width="6.26171875" style="121" customWidth="1"/>
    <col min="3330" max="3330" width="4.41796875" style="121" customWidth="1"/>
    <col min="3331" max="3331" width="38.41796875" style="121" customWidth="1"/>
    <col min="3332" max="3333" width="0" style="121" hidden="1" customWidth="1"/>
    <col min="3334" max="3334" width="28.26171875" style="121" customWidth="1"/>
    <col min="3335" max="3335" width="19.26171875" style="121" bestFit="1" customWidth="1"/>
    <col min="3336" max="3336" width="18" style="121" bestFit="1" customWidth="1"/>
    <col min="3337" max="3337" width="16.26171875" style="121" bestFit="1" customWidth="1"/>
    <col min="3338" max="3338" width="16.578125" style="121" bestFit="1" customWidth="1"/>
    <col min="3339" max="3339" width="16.41796875" style="121" bestFit="1" customWidth="1"/>
    <col min="3340" max="3340" width="15.578125" style="121" bestFit="1" customWidth="1"/>
    <col min="3341" max="3341" width="14.68359375" style="121" bestFit="1" customWidth="1"/>
    <col min="3342" max="3342" width="16" style="121" bestFit="1" customWidth="1"/>
    <col min="3343" max="3343" width="14.68359375" style="121" bestFit="1" customWidth="1"/>
    <col min="3344" max="3344" width="16" style="121" bestFit="1" customWidth="1"/>
    <col min="3345" max="3345" width="12.68359375" style="121" bestFit="1" customWidth="1"/>
    <col min="3346" max="3346" width="14.68359375" style="121" bestFit="1" customWidth="1"/>
    <col min="3347" max="3584" width="9.15625" style="121"/>
    <col min="3585" max="3585" width="6.26171875" style="121" customWidth="1"/>
    <col min="3586" max="3586" width="4.41796875" style="121" customWidth="1"/>
    <col min="3587" max="3587" width="38.41796875" style="121" customWidth="1"/>
    <col min="3588" max="3589" width="0" style="121" hidden="1" customWidth="1"/>
    <col min="3590" max="3590" width="28.26171875" style="121" customWidth="1"/>
    <col min="3591" max="3591" width="19.26171875" style="121" bestFit="1" customWidth="1"/>
    <col min="3592" max="3592" width="18" style="121" bestFit="1" customWidth="1"/>
    <col min="3593" max="3593" width="16.26171875" style="121" bestFit="1" customWidth="1"/>
    <col min="3594" max="3594" width="16.578125" style="121" bestFit="1" customWidth="1"/>
    <col min="3595" max="3595" width="16.41796875" style="121" bestFit="1" customWidth="1"/>
    <col min="3596" max="3596" width="15.578125" style="121" bestFit="1" customWidth="1"/>
    <col min="3597" max="3597" width="14.68359375" style="121" bestFit="1" customWidth="1"/>
    <col min="3598" max="3598" width="16" style="121" bestFit="1" customWidth="1"/>
    <col min="3599" max="3599" width="14.68359375" style="121" bestFit="1" customWidth="1"/>
    <col min="3600" max="3600" width="16" style="121" bestFit="1" customWidth="1"/>
    <col min="3601" max="3601" width="12.68359375" style="121" bestFit="1" customWidth="1"/>
    <col min="3602" max="3602" width="14.68359375" style="121" bestFit="1" customWidth="1"/>
    <col min="3603" max="3840" width="9.15625" style="121"/>
    <col min="3841" max="3841" width="6.26171875" style="121" customWidth="1"/>
    <col min="3842" max="3842" width="4.41796875" style="121" customWidth="1"/>
    <col min="3843" max="3843" width="38.41796875" style="121" customWidth="1"/>
    <col min="3844" max="3845" width="0" style="121" hidden="1" customWidth="1"/>
    <col min="3846" max="3846" width="28.26171875" style="121" customWidth="1"/>
    <col min="3847" max="3847" width="19.26171875" style="121" bestFit="1" customWidth="1"/>
    <col min="3848" max="3848" width="18" style="121" bestFit="1" customWidth="1"/>
    <col min="3849" max="3849" width="16.26171875" style="121" bestFit="1" customWidth="1"/>
    <col min="3850" max="3850" width="16.578125" style="121" bestFit="1" customWidth="1"/>
    <col min="3851" max="3851" width="16.41796875" style="121" bestFit="1" customWidth="1"/>
    <col min="3852" max="3852" width="15.578125" style="121" bestFit="1" customWidth="1"/>
    <col min="3853" max="3853" width="14.68359375" style="121" bestFit="1" customWidth="1"/>
    <col min="3854" max="3854" width="16" style="121" bestFit="1" customWidth="1"/>
    <col min="3855" max="3855" width="14.68359375" style="121" bestFit="1" customWidth="1"/>
    <col min="3856" max="3856" width="16" style="121" bestFit="1" customWidth="1"/>
    <col min="3857" max="3857" width="12.68359375" style="121" bestFit="1" customWidth="1"/>
    <col min="3858" max="3858" width="14.68359375" style="121" bestFit="1" customWidth="1"/>
    <col min="3859" max="4096" width="9.15625" style="121"/>
    <col min="4097" max="4097" width="6.26171875" style="121" customWidth="1"/>
    <col min="4098" max="4098" width="4.41796875" style="121" customWidth="1"/>
    <col min="4099" max="4099" width="38.41796875" style="121" customWidth="1"/>
    <col min="4100" max="4101" width="0" style="121" hidden="1" customWidth="1"/>
    <col min="4102" max="4102" width="28.26171875" style="121" customWidth="1"/>
    <col min="4103" max="4103" width="19.26171875" style="121" bestFit="1" customWidth="1"/>
    <col min="4104" max="4104" width="18" style="121" bestFit="1" customWidth="1"/>
    <col min="4105" max="4105" width="16.26171875" style="121" bestFit="1" customWidth="1"/>
    <col min="4106" max="4106" width="16.578125" style="121" bestFit="1" customWidth="1"/>
    <col min="4107" max="4107" width="16.41796875" style="121" bestFit="1" customWidth="1"/>
    <col min="4108" max="4108" width="15.578125" style="121" bestFit="1" customWidth="1"/>
    <col min="4109" max="4109" width="14.68359375" style="121" bestFit="1" customWidth="1"/>
    <col min="4110" max="4110" width="16" style="121" bestFit="1" customWidth="1"/>
    <col min="4111" max="4111" width="14.68359375" style="121" bestFit="1" customWidth="1"/>
    <col min="4112" max="4112" width="16" style="121" bestFit="1" customWidth="1"/>
    <col min="4113" max="4113" width="12.68359375" style="121" bestFit="1" customWidth="1"/>
    <col min="4114" max="4114" width="14.68359375" style="121" bestFit="1" customWidth="1"/>
    <col min="4115" max="4352" width="9.15625" style="121"/>
    <col min="4353" max="4353" width="6.26171875" style="121" customWidth="1"/>
    <col min="4354" max="4354" width="4.41796875" style="121" customWidth="1"/>
    <col min="4355" max="4355" width="38.41796875" style="121" customWidth="1"/>
    <col min="4356" max="4357" width="0" style="121" hidden="1" customWidth="1"/>
    <col min="4358" max="4358" width="28.26171875" style="121" customWidth="1"/>
    <col min="4359" max="4359" width="19.26171875" style="121" bestFit="1" customWidth="1"/>
    <col min="4360" max="4360" width="18" style="121" bestFit="1" customWidth="1"/>
    <col min="4361" max="4361" width="16.26171875" style="121" bestFit="1" customWidth="1"/>
    <col min="4362" max="4362" width="16.578125" style="121" bestFit="1" customWidth="1"/>
    <col min="4363" max="4363" width="16.41796875" style="121" bestFit="1" customWidth="1"/>
    <col min="4364" max="4364" width="15.578125" style="121" bestFit="1" customWidth="1"/>
    <col min="4365" max="4365" width="14.68359375" style="121" bestFit="1" customWidth="1"/>
    <col min="4366" max="4366" width="16" style="121" bestFit="1" customWidth="1"/>
    <col min="4367" max="4367" width="14.68359375" style="121" bestFit="1" customWidth="1"/>
    <col min="4368" max="4368" width="16" style="121" bestFit="1" customWidth="1"/>
    <col min="4369" max="4369" width="12.68359375" style="121" bestFit="1" customWidth="1"/>
    <col min="4370" max="4370" width="14.68359375" style="121" bestFit="1" customWidth="1"/>
    <col min="4371" max="4608" width="9.15625" style="121"/>
    <col min="4609" max="4609" width="6.26171875" style="121" customWidth="1"/>
    <col min="4610" max="4610" width="4.41796875" style="121" customWidth="1"/>
    <col min="4611" max="4611" width="38.41796875" style="121" customWidth="1"/>
    <col min="4612" max="4613" width="0" style="121" hidden="1" customWidth="1"/>
    <col min="4614" max="4614" width="28.26171875" style="121" customWidth="1"/>
    <col min="4615" max="4615" width="19.26171875" style="121" bestFit="1" customWidth="1"/>
    <col min="4616" max="4616" width="18" style="121" bestFit="1" customWidth="1"/>
    <col min="4617" max="4617" width="16.26171875" style="121" bestFit="1" customWidth="1"/>
    <col min="4618" max="4618" width="16.578125" style="121" bestFit="1" customWidth="1"/>
    <col min="4619" max="4619" width="16.41796875" style="121" bestFit="1" customWidth="1"/>
    <col min="4620" max="4620" width="15.578125" style="121" bestFit="1" customWidth="1"/>
    <col min="4621" max="4621" width="14.68359375" style="121" bestFit="1" customWidth="1"/>
    <col min="4622" max="4622" width="16" style="121" bestFit="1" customWidth="1"/>
    <col min="4623" max="4623" width="14.68359375" style="121" bestFit="1" customWidth="1"/>
    <col min="4624" max="4624" width="16" style="121" bestFit="1" customWidth="1"/>
    <col min="4625" max="4625" width="12.68359375" style="121" bestFit="1" customWidth="1"/>
    <col min="4626" max="4626" width="14.68359375" style="121" bestFit="1" customWidth="1"/>
    <col min="4627" max="4864" width="9.15625" style="121"/>
    <col min="4865" max="4865" width="6.26171875" style="121" customWidth="1"/>
    <col min="4866" max="4866" width="4.41796875" style="121" customWidth="1"/>
    <col min="4867" max="4867" width="38.41796875" style="121" customWidth="1"/>
    <col min="4868" max="4869" width="0" style="121" hidden="1" customWidth="1"/>
    <col min="4870" max="4870" width="28.26171875" style="121" customWidth="1"/>
    <col min="4871" max="4871" width="19.26171875" style="121" bestFit="1" customWidth="1"/>
    <col min="4872" max="4872" width="18" style="121" bestFit="1" customWidth="1"/>
    <col min="4873" max="4873" width="16.26171875" style="121" bestFit="1" customWidth="1"/>
    <col min="4874" max="4874" width="16.578125" style="121" bestFit="1" customWidth="1"/>
    <col min="4875" max="4875" width="16.41796875" style="121" bestFit="1" customWidth="1"/>
    <col min="4876" max="4876" width="15.578125" style="121" bestFit="1" customWidth="1"/>
    <col min="4877" max="4877" width="14.68359375" style="121" bestFit="1" customWidth="1"/>
    <col min="4878" max="4878" width="16" style="121" bestFit="1" customWidth="1"/>
    <col min="4879" max="4879" width="14.68359375" style="121" bestFit="1" customWidth="1"/>
    <col min="4880" max="4880" width="16" style="121" bestFit="1" customWidth="1"/>
    <col min="4881" max="4881" width="12.68359375" style="121" bestFit="1" customWidth="1"/>
    <col min="4882" max="4882" width="14.68359375" style="121" bestFit="1" customWidth="1"/>
    <col min="4883" max="5120" width="9.15625" style="121"/>
    <col min="5121" max="5121" width="6.26171875" style="121" customWidth="1"/>
    <col min="5122" max="5122" width="4.41796875" style="121" customWidth="1"/>
    <col min="5123" max="5123" width="38.41796875" style="121" customWidth="1"/>
    <col min="5124" max="5125" width="0" style="121" hidden="1" customWidth="1"/>
    <col min="5126" max="5126" width="28.26171875" style="121" customWidth="1"/>
    <col min="5127" max="5127" width="19.26171875" style="121" bestFit="1" customWidth="1"/>
    <col min="5128" max="5128" width="18" style="121" bestFit="1" customWidth="1"/>
    <col min="5129" max="5129" width="16.26171875" style="121" bestFit="1" customWidth="1"/>
    <col min="5130" max="5130" width="16.578125" style="121" bestFit="1" customWidth="1"/>
    <col min="5131" max="5131" width="16.41796875" style="121" bestFit="1" customWidth="1"/>
    <col min="5132" max="5132" width="15.578125" style="121" bestFit="1" customWidth="1"/>
    <col min="5133" max="5133" width="14.68359375" style="121" bestFit="1" customWidth="1"/>
    <col min="5134" max="5134" width="16" style="121" bestFit="1" customWidth="1"/>
    <col min="5135" max="5135" width="14.68359375" style="121" bestFit="1" customWidth="1"/>
    <col min="5136" max="5136" width="16" style="121" bestFit="1" customWidth="1"/>
    <col min="5137" max="5137" width="12.68359375" style="121" bestFit="1" customWidth="1"/>
    <col min="5138" max="5138" width="14.68359375" style="121" bestFit="1" customWidth="1"/>
    <col min="5139" max="5376" width="9.15625" style="121"/>
    <col min="5377" max="5377" width="6.26171875" style="121" customWidth="1"/>
    <col min="5378" max="5378" width="4.41796875" style="121" customWidth="1"/>
    <col min="5379" max="5379" width="38.41796875" style="121" customWidth="1"/>
    <col min="5380" max="5381" width="0" style="121" hidden="1" customWidth="1"/>
    <col min="5382" max="5382" width="28.26171875" style="121" customWidth="1"/>
    <col min="5383" max="5383" width="19.26171875" style="121" bestFit="1" customWidth="1"/>
    <col min="5384" max="5384" width="18" style="121" bestFit="1" customWidth="1"/>
    <col min="5385" max="5385" width="16.26171875" style="121" bestFit="1" customWidth="1"/>
    <col min="5386" max="5386" width="16.578125" style="121" bestFit="1" customWidth="1"/>
    <col min="5387" max="5387" width="16.41796875" style="121" bestFit="1" customWidth="1"/>
    <col min="5388" max="5388" width="15.578125" style="121" bestFit="1" customWidth="1"/>
    <col min="5389" max="5389" width="14.68359375" style="121" bestFit="1" customWidth="1"/>
    <col min="5390" max="5390" width="16" style="121" bestFit="1" customWidth="1"/>
    <col min="5391" max="5391" width="14.68359375" style="121" bestFit="1" customWidth="1"/>
    <col min="5392" max="5392" width="16" style="121" bestFit="1" customWidth="1"/>
    <col min="5393" max="5393" width="12.68359375" style="121" bestFit="1" customWidth="1"/>
    <col min="5394" max="5394" width="14.68359375" style="121" bestFit="1" customWidth="1"/>
    <col min="5395" max="5632" width="9.15625" style="121"/>
    <col min="5633" max="5633" width="6.26171875" style="121" customWidth="1"/>
    <col min="5634" max="5634" width="4.41796875" style="121" customWidth="1"/>
    <col min="5635" max="5635" width="38.41796875" style="121" customWidth="1"/>
    <col min="5636" max="5637" width="0" style="121" hidden="1" customWidth="1"/>
    <col min="5638" max="5638" width="28.26171875" style="121" customWidth="1"/>
    <col min="5639" max="5639" width="19.26171875" style="121" bestFit="1" customWidth="1"/>
    <col min="5640" max="5640" width="18" style="121" bestFit="1" customWidth="1"/>
    <col min="5641" max="5641" width="16.26171875" style="121" bestFit="1" customWidth="1"/>
    <col min="5642" max="5642" width="16.578125" style="121" bestFit="1" customWidth="1"/>
    <col min="5643" max="5643" width="16.41796875" style="121" bestFit="1" customWidth="1"/>
    <col min="5644" max="5644" width="15.578125" style="121" bestFit="1" customWidth="1"/>
    <col min="5645" max="5645" width="14.68359375" style="121" bestFit="1" customWidth="1"/>
    <col min="5646" max="5646" width="16" style="121" bestFit="1" customWidth="1"/>
    <col min="5647" max="5647" width="14.68359375" style="121" bestFit="1" customWidth="1"/>
    <col min="5648" max="5648" width="16" style="121" bestFit="1" customWidth="1"/>
    <col min="5649" max="5649" width="12.68359375" style="121" bestFit="1" customWidth="1"/>
    <col min="5650" max="5650" width="14.68359375" style="121" bestFit="1" customWidth="1"/>
    <col min="5651" max="5888" width="9.15625" style="121"/>
    <col min="5889" max="5889" width="6.26171875" style="121" customWidth="1"/>
    <col min="5890" max="5890" width="4.41796875" style="121" customWidth="1"/>
    <col min="5891" max="5891" width="38.41796875" style="121" customWidth="1"/>
    <col min="5892" max="5893" width="0" style="121" hidden="1" customWidth="1"/>
    <col min="5894" max="5894" width="28.26171875" style="121" customWidth="1"/>
    <col min="5895" max="5895" width="19.26171875" style="121" bestFit="1" customWidth="1"/>
    <col min="5896" max="5896" width="18" style="121" bestFit="1" customWidth="1"/>
    <col min="5897" max="5897" width="16.26171875" style="121" bestFit="1" customWidth="1"/>
    <col min="5898" max="5898" width="16.578125" style="121" bestFit="1" customWidth="1"/>
    <col min="5899" max="5899" width="16.41796875" style="121" bestFit="1" customWidth="1"/>
    <col min="5900" max="5900" width="15.578125" style="121" bestFit="1" customWidth="1"/>
    <col min="5901" max="5901" width="14.68359375" style="121" bestFit="1" customWidth="1"/>
    <col min="5902" max="5902" width="16" style="121" bestFit="1" customWidth="1"/>
    <col min="5903" max="5903" width="14.68359375" style="121" bestFit="1" customWidth="1"/>
    <col min="5904" max="5904" width="16" style="121" bestFit="1" customWidth="1"/>
    <col min="5905" max="5905" width="12.68359375" style="121" bestFit="1" customWidth="1"/>
    <col min="5906" max="5906" width="14.68359375" style="121" bestFit="1" customWidth="1"/>
    <col min="5907" max="6144" width="9.15625" style="121"/>
    <col min="6145" max="6145" width="6.26171875" style="121" customWidth="1"/>
    <col min="6146" max="6146" width="4.41796875" style="121" customWidth="1"/>
    <col min="6147" max="6147" width="38.41796875" style="121" customWidth="1"/>
    <col min="6148" max="6149" width="0" style="121" hidden="1" customWidth="1"/>
    <col min="6150" max="6150" width="28.26171875" style="121" customWidth="1"/>
    <col min="6151" max="6151" width="19.26171875" style="121" bestFit="1" customWidth="1"/>
    <col min="6152" max="6152" width="18" style="121" bestFit="1" customWidth="1"/>
    <col min="6153" max="6153" width="16.26171875" style="121" bestFit="1" customWidth="1"/>
    <col min="6154" max="6154" width="16.578125" style="121" bestFit="1" customWidth="1"/>
    <col min="6155" max="6155" width="16.41796875" style="121" bestFit="1" customWidth="1"/>
    <col min="6156" max="6156" width="15.578125" style="121" bestFit="1" customWidth="1"/>
    <col min="6157" max="6157" width="14.68359375" style="121" bestFit="1" customWidth="1"/>
    <col min="6158" max="6158" width="16" style="121" bestFit="1" customWidth="1"/>
    <col min="6159" max="6159" width="14.68359375" style="121" bestFit="1" customWidth="1"/>
    <col min="6160" max="6160" width="16" style="121" bestFit="1" customWidth="1"/>
    <col min="6161" max="6161" width="12.68359375" style="121" bestFit="1" customWidth="1"/>
    <col min="6162" max="6162" width="14.68359375" style="121" bestFit="1" customWidth="1"/>
    <col min="6163" max="6400" width="9.15625" style="121"/>
    <col min="6401" max="6401" width="6.26171875" style="121" customWidth="1"/>
    <col min="6402" max="6402" width="4.41796875" style="121" customWidth="1"/>
    <col min="6403" max="6403" width="38.41796875" style="121" customWidth="1"/>
    <col min="6404" max="6405" width="0" style="121" hidden="1" customWidth="1"/>
    <col min="6406" max="6406" width="28.26171875" style="121" customWidth="1"/>
    <col min="6407" max="6407" width="19.26171875" style="121" bestFit="1" customWidth="1"/>
    <col min="6408" max="6408" width="18" style="121" bestFit="1" customWidth="1"/>
    <col min="6409" max="6409" width="16.26171875" style="121" bestFit="1" customWidth="1"/>
    <col min="6410" max="6410" width="16.578125" style="121" bestFit="1" customWidth="1"/>
    <col min="6411" max="6411" width="16.41796875" style="121" bestFit="1" customWidth="1"/>
    <col min="6412" max="6412" width="15.578125" style="121" bestFit="1" customWidth="1"/>
    <col min="6413" max="6413" width="14.68359375" style="121" bestFit="1" customWidth="1"/>
    <col min="6414" max="6414" width="16" style="121" bestFit="1" customWidth="1"/>
    <col min="6415" max="6415" width="14.68359375" style="121" bestFit="1" customWidth="1"/>
    <col min="6416" max="6416" width="16" style="121" bestFit="1" customWidth="1"/>
    <col min="6417" max="6417" width="12.68359375" style="121" bestFit="1" customWidth="1"/>
    <col min="6418" max="6418" width="14.68359375" style="121" bestFit="1" customWidth="1"/>
    <col min="6419" max="6656" width="9.15625" style="121"/>
    <col min="6657" max="6657" width="6.26171875" style="121" customWidth="1"/>
    <col min="6658" max="6658" width="4.41796875" style="121" customWidth="1"/>
    <col min="6659" max="6659" width="38.41796875" style="121" customWidth="1"/>
    <col min="6660" max="6661" width="0" style="121" hidden="1" customWidth="1"/>
    <col min="6662" max="6662" width="28.26171875" style="121" customWidth="1"/>
    <col min="6663" max="6663" width="19.26171875" style="121" bestFit="1" customWidth="1"/>
    <col min="6664" max="6664" width="18" style="121" bestFit="1" customWidth="1"/>
    <col min="6665" max="6665" width="16.26171875" style="121" bestFit="1" customWidth="1"/>
    <col min="6666" max="6666" width="16.578125" style="121" bestFit="1" customWidth="1"/>
    <col min="6667" max="6667" width="16.41796875" style="121" bestFit="1" customWidth="1"/>
    <col min="6668" max="6668" width="15.578125" style="121" bestFit="1" customWidth="1"/>
    <col min="6669" max="6669" width="14.68359375" style="121" bestFit="1" customWidth="1"/>
    <col min="6670" max="6670" width="16" style="121" bestFit="1" customWidth="1"/>
    <col min="6671" max="6671" width="14.68359375" style="121" bestFit="1" customWidth="1"/>
    <col min="6672" max="6672" width="16" style="121" bestFit="1" customWidth="1"/>
    <col min="6673" max="6673" width="12.68359375" style="121" bestFit="1" customWidth="1"/>
    <col min="6674" max="6674" width="14.68359375" style="121" bestFit="1" customWidth="1"/>
    <col min="6675" max="6912" width="9.15625" style="121"/>
    <col min="6913" max="6913" width="6.26171875" style="121" customWidth="1"/>
    <col min="6914" max="6914" width="4.41796875" style="121" customWidth="1"/>
    <col min="6915" max="6915" width="38.41796875" style="121" customWidth="1"/>
    <col min="6916" max="6917" width="0" style="121" hidden="1" customWidth="1"/>
    <col min="6918" max="6918" width="28.26171875" style="121" customWidth="1"/>
    <col min="6919" max="6919" width="19.26171875" style="121" bestFit="1" customWidth="1"/>
    <col min="6920" max="6920" width="18" style="121" bestFit="1" customWidth="1"/>
    <col min="6921" max="6921" width="16.26171875" style="121" bestFit="1" customWidth="1"/>
    <col min="6922" max="6922" width="16.578125" style="121" bestFit="1" customWidth="1"/>
    <col min="6923" max="6923" width="16.41796875" style="121" bestFit="1" customWidth="1"/>
    <col min="6924" max="6924" width="15.578125" style="121" bestFit="1" customWidth="1"/>
    <col min="6925" max="6925" width="14.68359375" style="121" bestFit="1" customWidth="1"/>
    <col min="6926" max="6926" width="16" style="121" bestFit="1" customWidth="1"/>
    <col min="6927" max="6927" width="14.68359375" style="121" bestFit="1" customWidth="1"/>
    <col min="6928" max="6928" width="16" style="121" bestFit="1" customWidth="1"/>
    <col min="6929" max="6929" width="12.68359375" style="121" bestFit="1" customWidth="1"/>
    <col min="6930" max="6930" width="14.68359375" style="121" bestFit="1" customWidth="1"/>
    <col min="6931" max="7168" width="9.15625" style="121"/>
    <col min="7169" max="7169" width="6.26171875" style="121" customWidth="1"/>
    <col min="7170" max="7170" width="4.41796875" style="121" customWidth="1"/>
    <col min="7171" max="7171" width="38.41796875" style="121" customWidth="1"/>
    <col min="7172" max="7173" width="0" style="121" hidden="1" customWidth="1"/>
    <col min="7174" max="7174" width="28.26171875" style="121" customWidth="1"/>
    <col min="7175" max="7175" width="19.26171875" style="121" bestFit="1" customWidth="1"/>
    <col min="7176" max="7176" width="18" style="121" bestFit="1" customWidth="1"/>
    <col min="7177" max="7177" width="16.26171875" style="121" bestFit="1" customWidth="1"/>
    <col min="7178" max="7178" width="16.578125" style="121" bestFit="1" customWidth="1"/>
    <col min="7179" max="7179" width="16.41796875" style="121" bestFit="1" customWidth="1"/>
    <col min="7180" max="7180" width="15.578125" style="121" bestFit="1" customWidth="1"/>
    <col min="7181" max="7181" width="14.68359375" style="121" bestFit="1" customWidth="1"/>
    <col min="7182" max="7182" width="16" style="121" bestFit="1" customWidth="1"/>
    <col min="7183" max="7183" width="14.68359375" style="121" bestFit="1" customWidth="1"/>
    <col min="7184" max="7184" width="16" style="121" bestFit="1" customWidth="1"/>
    <col min="7185" max="7185" width="12.68359375" style="121" bestFit="1" customWidth="1"/>
    <col min="7186" max="7186" width="14.68359375" style="121" bestFit="1" customWidth="1"/>
    <col min="7187" max="7424" width="9.15625" style="121"/>
    <col min="7425" max="7425" width="6.26171875" style="121" customWidth="1"/>
    <col min="7426" max="7426" width="4.41796875" style="121" customWidth="1"/>
    <col min="7427" max="7427" width="38.41796875" style="121" customWidth="1"/>
    <col min="7428" max="7429" width="0" style="121" hidden="1" customWidth="1"/>
    <col min="7430" max="7430" width="28.26171875" style="121" customWidth="1"/>
    <col min="7431" max="7431" width="19.26171875" style="121" bestFit="1" customWidth="1"/>
    <col min="7432" max="7432" width="18" style="121" bestFit="1" customWidth="1"/>
    <col min="7433" max="7433" width="16.26171875" style="121" bestFit="1" customWidth="1"/>
    <col min="7434" max="7434" width="16.578125" style="121" bestFit="1" customWidth="1"/>
    <col min="7435" max="7435" width="16.41796875" style="121" bestFit="1" customWidth="1"/>
    <col min="7436" max="7436" width="15.578125" style="121" bestFit="1" customWidth="1"/>
    <col min="7437" max="7437" width="14.68359375" style="121" bestFit="1" customWidth="1"/>
    <col min="7438" max="7438" width="16" style="121" bestFit="1" customWidth="1"/>
    <col min="7439" max="7439" width="14.68359375" style="121" bestFit="1" customWidth="1"/>
    <col min="7440" max="7440" width="16" style="121" bestFit="1" customWidth="1"/>
    <col min="7441" max="7441" width="12.68359375" style="121" bestFit="1" customWidth="1"/>
    <col min="7442" max="7442" width="14.68359375" style="121" bestFit="1" customWidth="1"/>
    <col min="7443" max="7680" width="9.15625" style="121"/>
    <col min="7681" max="7681" width="6.26171875" style="121" customWidth="1"/>
    <col min="7682" max="7682" width="4.41796875" style="121" customWidth="1"/>
    <col min="7683" max="7683" width="38.41796875" style="121" customWidth="1"/>
    <col min="7684" max="7685" width="0" style="121" hidden="1" customWidth="1"/>
    <col min="7686" max="7686" width="28.26171875" style="121" customWidth="1"/>
    <col min="7687" max="7687" width="19.26171875" style="121" bestFit="1" customWidth="1"/>
    <col min="7688" max="7688" width="18" style="121" bestFit="1" customWidth="1"/>
    <col min="7689" max="7689" width="16.26171875" style="121" bestFit="1" customWidth="1"/>
    <col min="7690" max="7690" width="16.578125" style="121" bestFit="1" customWidth="1"/>
    <col min="7691" max="7691" width="16.41796875" style="121" bestFit="1" customWidth="1"/>
    <col min="7692" max="7692" width="15.578125" style="121" bestFit="1" customWidth="1"/>
    <col min="7693" max="7693" width="14.68359375" style="121" bestFit="1" customWidth="1"/>
    <col min="7694" max="7694" width="16" style="121" bestFit="1" customWidth="1"/>
    <col min="7695" max="7695" width="14.68359375" style="121" bestFit="1" customWidth="1"/>
    <col min="7696" max="7696" width="16" style="121" bestFit="1" customWidth="1"/>
    <col min="7697" max="7697" width="12.68359375" style="121" bestFit="1" customWidth="1"/>
    <col min="7698" max="7698" width="14.68359375" style="121" bestFit="1" customWidth="1"/>
    <col min="7699" max="7936" width="9.15625" style="121"/>
    <col min="7937" max="7937" width="6.26171875" style="121" customWidth="1"/>
    <col min="7938" max="7938" width="4.41796875" style="121" customWidth="1"/>
    <col min="7939" max="7939" width="38.41796875" style="121" customWidth="1"/>
    <col min="7940" max="7941" width="0" style="121" hidden="1" customWidth="1"/>
    <col min="7942" max="7942" width="28.26171875" style="121" customWidth="1"/>
    <col min="7943" max="7943" width="19.26171875" style="121" bestFit="1" customWidth="1"/>
    <col min="7944" max="7944" width="18" style="121" bestFit="1" customWidth="1"/>
    <col min="7945" max="7945" width="16.26171875" style="121" bestFit="1" customWidth="1"/>
    <col min="7946" max="7946" width="16.578125" style="121" bestFit="1" customWidth="1"/>
    <col min="7947" max="7947" width="16.41796875" style="121" bestFit="1" customWidth="1"/>
    <col min="7948" max="7948" width="15.578125" style="121" bestFit="1" customWidth="1"/>
    <col min="7949" max="7949" width="14.68359375" style="121" bestFit="1" customWidth="1"/>
    <col min="7950" max="7950" width="16" style="121" bestFit="1" customWidth="1"/>
    <col min="7951" max="7951" width="14.68359375" style="121" bestFit="1" customWidth="1"/>
    <col min="7952" max="7952" width="16" style="121" bestFit="1" customWidth="1"/>
    <col min="7953" max="7953" width="12.68359375" style="121" bestFit="1" customWidth="1"/>
    <col min="7954" max="7954" width="14.68359375" style="121" bestFit="1" customWidth="1"/>
    <col min="7955" max="8192" width="9.15625" style="121"/>
    <col min="8193" max="8193" width="6.26171875" style="121" customWidth="1"/>
    <col min="8194" max="8194" width="4.41796875" style="121" customWidth="1"/>
    <col min="8195" max="8195" width="38.41796875" style="121" customWidth="1"/>
    <col min="8196" max="8197" width="0" style="121" hidden="1" customWidth="1"/>
    <col min="8198" max="8198" width="28.26171875" style="121" customWidth="1"/>
    <col min="8199" max="8199" width="19.26171875" style="121" bestFit="1" customWidth="1"/>
    <col min="8200" max="8200" width="18" style="121" bestFit="1" customWidth="1"/>
    <col min="8201" max="8201" width="16.26171875" style="121" bestFit="1" customWidth="1"/>
    <col min="8202" max="8202" width="16.578125" style="121" bestFit="1" customWidth="1"/>
    <col min="8203" max="8203" width="16.41796875" style="121" bestFit="1" customWidth="1"/>
    <col min="8204" max="8204" width="15.578125" style="121" bestFit="1" customWidth="1"/>
    <col min="8205" max="8205" width="14.68359375" style="121" bestFit="1" customWidth="1"/>
    <col min="8206" max="8206" width="16" style="121" bestFit="1" customWidth="1"/>
    <col min="8207" max="8207" width="14.68359375" style="121" bestFit="1" customWidth="1"/>
    <col min="8208" max="8208" width="16" style="121" bestFit="1" customWidth="1"/>
    <col min="8209" max="8209" width="12.68359375" style="121" bestFit="1" customWidth="1"/>
    <col min="8210" max="8210" width="14.68359375" style="121" bestFit="1" customWidth="1"/>
    <col min="8211" max="8448" width="9.15625" style="121"/>
    <col min="8449" max="8449" width="6.26171875" style="121" customWidth="1"/>
    <col min="8450" max="8450" width="4.41796875" style="121" customWidth="1"/>
    <col min="8451" max="8451" width="38.41796875" style="121" customWidth="1"/>
    <col min="8452" max="8453" width="0" style="121" hidden="1" customWidth="1"/>
    <col min="8454" max="8454" width="28.26171875" style="121" customWidth="1"/>
    <col min="8455" max="8455" width="19.26171875" style="121" bestFit="1" customWidth="1"/>
    <col min="8456" max="8456" width="18" style="121" bestFit="1" customWidth="1"/>
    <col min="8457" max="8457" width="16.26171875" style="121" bestFit="1" customWidth="1"/>
    <col min="8458" max="8458" width="16.578125" style="121" bestFit="1" customWidth="1"/>
    <col min="8459" max="8459" width="16.41796875" style="121" bestFit="1" customWidth="1"/>
    <col min="8460" max="8460" width="15.578125" style="121" bestFit="1" customWidth="1"/>
    <col min="8461" max="8461" width="14.68359375" style="121" bestFit="1" customWidth="1"/>
    <col min="8462" max="8462" width="16" style="121" bestFit="1" customWidth="1"/>
    <col min="8463" max="8463" width="14.68359375" style="121" bestFit="1" customWidth="1"/>
    <col min="8464" max="8464" width="16" style="121" bestFit="1" customWidth="1"/>
    <col min="8465" max="8465" width="12.68359375" style="121" bestFit="1" customWidth="1"/>
    <col min="8466" max="8466" width="14.68359375" style="121" bestFit="1" customWidth="1"/>
    <col min="8467" max="8704" width="9.15625" style="121"/>
    <col min="8705" max="8705" width="6.26171875" style="121" customWidth="1"/>
    <col min="8706" max="8706" width="4.41796875" style="121" customWidth="1"/>
    <col min="8707" max="8707" width="38.41796875" style="121" customWidth="1"/>
    <col min="8708" max="8709" width="0" style="121" hidden="1" customWidth="1"/>
    <col min="8710" max="8710" width="28.26171875" style="121" customWidth="1"/>
    <col min="8711" max="8711" width="19.26171875" style="121" bestFit="1" customWidth="1"/>
    <col min="8712" max="8712" width="18" style="121" bestFit="1" customWidth="1"/>
    <col min="8713" max="8713" width="16.26171875" style="121" bestFit="1" customWidth="1"/>
    <col min="8714" max="8714" width="16.578125" style="121" bestFit="1" customWidth="1"/>
    <col min="8715" max="8715" width="16.41796875" style="121" bestFit="1" customWidth="1"/>
    <col min="8716" max="8716" width="15.578125" style="121" bestFit="1" customWidth="1"/>
    <col min="8717" max="8717" width="14.68359375" style="121" bestFit="1" customWidth="1"/>
    <col min="8718" max="8718" width="16" style="121" bestFit="1" customWidth="1"/>
    <col min="8719" max="8719" width="14.68359375" style="121" bestFit="1" customWidth="1"/>
    <col min="8720" max="8720" width="16" style="121" bestFit="1" customWidth="1"/>
    <col min="8721" max="8721" width="12.68359375" style="121" bestFit="1" customWidth="1"/>
    <col min="8722" max="8722" width="14.68359375" style="121" bestFit="1" customWidth="1"/>
    <col min="8723" max="8960" width="9.15625" style="121"/>
    <col min="8961" max="8961" width="6.26171875" style="121" customWidth="1"/>
    <col min="8962" max="8962" width="4.41796875" style="121" customWidth="1"/>
    <col min="8963" max="8963" width="38.41796875" style="121" customWidth="1"/>
    <col min="8964" max="8965" width="0" style="121" hidden="1" customWidth="1"/>
    <col min="8966" max="8966" width="28.26171875" style="121" customWidth="1"/>
    <col min="8967" max="8967" width="19.26171875" style="121" bestFit="1" customWidth="1"/>
    <col min="8968" max="8968" width="18" style="121" bestFit="1" customWidth="1"/>
    <col min="8969" max="8969" width="16.26171875" style="121" bestFit="1" customWidth="1"/>
    <col min="8970" max="8970" width="16.578125" style="121" bestFit="1" customWidth="1"/>
    <col min="8971" max="8971" width="16.41796875" style="121" bestFit="1" customWidth="1"/>
    <col min="8972" max="8972" width="15.578125" style="121" bestFit="1" customWidth="1"/>
    <col min="8973" max="8973" width="14.68359375" style="121" bestFit="1" customWidth="1"/>
    <col min="8974" max="8974" width="16" style="121" bestFit="1" customWidth="1"/>
    <col min="8975" max="8975" width="14.68359375" style="121" bestFit="1" customWidth="1"/>
    <col min="8976" max="8976" width="16" style="121" bestFit="1" customWidth="1"/>
    <col min="8977" max="8977" width="12.68359375" style="121" bestFit="1" customWidth="1"/>
    <col min="8978" max="8978" width="14.68359375" style="121" bestFit="1" customWidth="1"/>
    <col min="8979" max="9216" width="9.15625" style="121"/>
    <col min="9217" max="9217" width="6.26171875" style="121" customWidth="1"/>
    <col min="9218" max="9218" width="4.41796875" style="121" customWidth="1"/>
    <col min="9219" max="9219" width="38.41796875" style="121" customWidth="1"/>
    <col min="9220" max="9221" width="0" style="121" hidden="1" customWidth="1"/>
    <col min="9222" max="9222" width="28.26171875" style="121" customWidth="1"/>
    <col min="9223" max="9223" width="19.26171875" style="121" bestFit="1" customWidth="1"/>
    <col min="9224" max="9224" width="18" style="121" bestFit="1" customWidth="1"/>
    <col min="9225" max="9225" width="16.26171875" style="121" bestFit="1" customWidth="1"/>
    <col min="9226" max="9226" width="16.578125" style="121" bestFit="1" customWidth="1"/>
    <col min="9227" max="9227" width="16.41796875" style="121" bestFit="1" customWidth="1"/>
    <col min="9228" max="9228" width="15.578125" style="121" bestFit="1" customWidth="1"/>
    <col min="9229" max="9229" width="14.68359375" style="121" bestFit="1" customWidth="1"/>
    <col min="9230" max="9230" width="16" style="121" bestFit="1" customWidth="1"/>
    <col min="9231" max="9231" width="14.68359375" style="121" bestFit="1" customWidth="1"/>
    <col min="9232" max="9232" width="16" style="121" bestFit="1" customWidth="1"/>
    <col min="9233" max="9233" width="12.68359375" style="121" bestFit="1" customWidth="1"/>
    <col min="9234" max="9234" width="14.68359375" style="121" bestFit="1" customWidth="1"/>
    <col min="9235" max="9472" width="9.15625" style="121"/>
    <col min="9473" max="9473" width="6.26171875" style="121" customWidth="1"/>
    <col min="9474" max="9474" width="4.41796875" style="121" customWidth="1"/>
    <col min="9475" max="9475" width="38.41796875" style="121" customWidth="1"/>
    <col min="9476" max="9477" width="0" style="121" hidden="1" customWidth="1"/>
    <col min="9478" max="9478" width="28.26171875" style="121" customWidth="1"/>
    <col min="9479" max="9479" width="19.26171875" style="121" bestFit="1" customWidth="1"/>
    <col min="9480" max="9480" width="18" style="121" bestFit="1" customWidth="1"/>
    <col min="9481" max="9481" width="16.26171875" style="121" bestFit="1" customWidth="1"/>
    <col min="9482" max="9482" width="16.578125" style="121" bestFit="1" customWidth="1"/>
    <col min="9483" max="9483" width="16.41796875" style="121" bestFit="1" customWidth="1"/>
    <col min="9484" max="9484" width="15.578125" style="121" bestFit="1" customWidth="1"/>
    <col min="9485" max="9485" width="14.68359375" style="121" bestFit="1" customWidth="1"/>
    <col min="9486" max="9486" width="16" style="121" bestFit="1" customWidth="1"/>
    <col min="9487" max="9487" width="14.68359375" style="121" bestFit="1" customWidth="1"/>
    <col min="9488" max="9488" width="16" style="121" bestFit="1" customWidth="1"/>
    <col min="9489" max="9489" width="12.68359375" style="121" bestFit="1" customWidth="1"/>
    <col min="9490" max="9490" width="14.68359375" style="121" bestFit="1" customWidth="1"/>
    <col min="9491" max="9728" width="9.15625" style="121"/>
    <col min="9729" max="9729" width="6.26171875" style="121" customWidth="1"/>
    <col min="9730" max="9730" width="4.41796875" style="121" customWidth="1"/>
    <col min="9731" max="9731" width="38.41796875" style="121" customWidth="1"/>
    <col min="9732" max="9733" width="0" style="121" hidden="1" customWidth="1"/>
    <col min="9734" max="9734" width="28.26171875" style="121" customWidth="1"/>
    <col min="9735" max="9735" width="19.26171875" style="121" bestFit="1" customWidth="1"/>
    <col min="9736" max="9736" width="18" style="121" bestFit="1" customWidth="1"/>
    <col min="9737" max="9737" width="16.26171875" style="121" bestFit="1" customWidth="1"/>
    <col min="9738" max="9738" width="16.578125" style="121" bestFit="1" customWidth="1"/>
    <col min="9739" max="9739" width="16.41796875" style="121" bestFit="1" customWidth="1"/>
    <col min="9740" max="9740" width="15.578125" style="121" bestFit="1" customWidth="1"/>
    <col min="9741" max="9741" width="14.68359375" style="121" bestFit="1" customWidth="1"/>
    <col min="9742" max="9742" width="16" style="121" bestFit="1" customWidth="1"/>
    <col min="9743" max="9743" width="14.68359375" style="121" bestFit="1" customWidth="1"/>
    <col min="9744" max="9744" width="16" style="121" bestFit="1" customWidth="1"/>
    <col min="9745" max="9745" width="12.68359375" style="121" bestFit="1" customWidth="1"/>
    <col min="9746" max="9746" width="14.68359375" style="121" bestFit="1" customWidth="1"/>
    <col min="9747" max="9984" width="9.15625" style="121"/>
    <col min="9985" max="9985" width="6.26171875" style="121" customWidth="1"/>
    <col min="9986" max="9986" width="4.41796875" style="121" customWidth="1"/>
    <col min="9987" max="9987" width="38.41796875" style="121" customWidth="1"/>
    <col min="9988" max="9989" width="0" style="121" hidden="1" customWidth="1"/>
    <col min="9990" max="9990" width="28.26171875" style="121" customWidth="1"/>
    <col min="9991" max="9991" width="19.26171875" style="121" bestFit="1" customWidth="1"/>
    <col min="9992" max="9992" width="18" style="121" bestFit="1" customWidth="1"/>
    <col min="9993" max="9993" width="16.26171875" style="121" bestFit="1" customWidth="1"/>
    <col min="9994" max="9994" width="16.578125" style="121" bestFit="1" customWidth="1"/>
    <col min="9995" max="9995" width="16.41796875" style="121" bestFit="1" customWidth="1"/>
    <col min="9996" max="9996" width="15.578125" style="121" bestFit="1" customWidth="1"/>
    <col min="9997" max="9997" width="14.68359375" style="121" bestFit="1" customWidth="1"/>
    <col min="9998" max="9998" width="16" style="121" bestFit="1" customWidth="1"/>
    <col min="9999" max="9999" width="14.68359375" style="121" bestFit="1" customWidth="1"/>
    <col min="10000" max="10000" width="16" style="121" bestFit="1" customWidth="1"/>
    <col min="10001" max="10001" width="12.68359375" style="121" bestFit="1" customWidth="1"/>
    <col min="10002" max="10002" width="14.68359375" style="121" bestFit="1" customWidth="1"/>
    <col min="10003" max="10240" width="9.15625" style="121"/>
    <col min="10241" max="10241" width="6.26171875" style="121" customWidth="1"/>
    <col min="10242" max="10242" width="4.41796875" style="121" customWidth="1"/>
    <col min="10243" max="10243" width="38.41796875" style="121" customWidth="1"/>
    <col min="10244" max="10245" width="0" style="121" hidden="1" customWidth="1"/>
    <col min="10246" max="10246" width="28.26171875" style="121" customWidth="1"/>
    <col min="10247" max="10247" width="19.26171875" style="121" bestFit="1" customWidth="1"/>
    <col min="10248" max="10248" width="18" style="121" bestFit="1" customWidth="1"/>
    <col min="10249" max="10249" width="16.26171875" style="121" bestFit="1" customWidth="1"/>
    <col min="10250" max="10250" width="16.578125" style="121" bestFit="1" customWidth="1"/>
    <col min="10251" max="10251" width="16.41796875" style="121" bestFit="1" customWidth="1"/>
    <col min="10252" max="10252" width="15.578125" style="121" bestFit="1" customWidth="1"/>
    <col min="10253" max="10253" width="14.68359375" style="121" bestFit="1" customWidth="1"/>
    <col min="10254" max="10254" width="16" style="121" bestFit="1" customWidth="1"/>
    <col min="10255" max="10255" width="14.68359375" style="121" bestFit="1" customWidth="1"/>
    <col min="10256" max="10256" width="16" style="121" bestFit="1" customWidth="1"/>
    <col min="10257" max="10257" width="12.68359375" style="121" bestFit="1" customWidth="1"/>
    <col min="10258" max="10258" width="14.68359375" style="121" bestFit="1" customWidth="1"/>
    <col min="10259" max="10496" width="9.15625" style="121"/>
    <col min="10497" max="10497" width="6.26171875" style="121" customWidth="1"/>
    <col min="10498" max="10498" width="4.41796875" style="121" customWidth="1"/>
    <col min="10499" max="10499" width="38.41796875" style="121" customWidth="1"/>
    <col min="10500" max="10501" width="0" style="121" hidden="1" customWidth="1"/>
    <col min="10502" max="10502" width="28.26171875" style="121" customWidth="1"/>
    <col min="10503" max="10503" width="19.26171875" style="121" bestFit="1" customWidth="1"/>
    <col min="10504" max="10504" width="18" style="121" bestFit="1" customWidth="1"/>
    <col min="10505" max="10505" width="16.26171875" style="121" bestFit="1" customWidth="1"/>
    <col min="10506" max="10506" width="16.578125" style="121" bestFit="1" customWidth="1"/>
    <col min="10507" max="10507" width="16.41796875" style="121" bestFit="1" customWidth="1"/>
    <col min="10508" max="10508" width="15.578125" style="121" bestFit="1" customWidth="1"/>
    <col min="10509" max="10509" width="14.68359375" style="121" bestFit="1" customWidth="1"/>
    <col min="10510" max="10510" width="16" style="121" bestFit="1" customWidth="1"/>
    <col min="10511" max="10511" width="14.68359375" style="121" bestFit="1" customWidth="1"/>
    <col min="10512" max="10512" width="16" style="121" bestFit="1" customWidth="1"/>
    <col min="10513" max="10513" width="12.68359375" style="121" bestFit="1" customWidth="1"/>
    <col min="10514" max="10514" width="14.68359375" style="121" bestFit="1" customWidth="1"/>
    <col min="10515" max="10752" width="9.15625" style="121"/>
    <col min="10753" max="10753" width="6.26171875" style="121" customWidth="1"/>
    <col min="10754" max="10754" width="4.41796875" style="121" customWidth="1"/>
    <col min="10755" max="10755" width="38.41796875" style="121" customWidth="1"/>
    <col min="10756" max="10757" width="0" style="121" hidden="1" customWidth="1"/>
    <col min="10758" max="10758" width="28.26171875" style="121" customWidth="1"/>
    <col min="10759" max="10759" width="19.26171875" style="121" bestFit="1" customWidth="1"/>
    <col min="10760" max="10760" width="18" style="121" bestFit="1" customWidth="1"/>
    <col min="10761" max="10761" width="16.26171875" style="121" bestFit="1" customWidth="1"/>
    <col min="10762" max="10762" width="16.578125" style="121" bestFit="1" customWidth="1"/>
    <col min="10763" max="10763" width="16.41796875" style="121" bestFit="1" customWidth="1"/>
    <col min="10764" max="10764" width="15.578125" style="121" bestFit="1" customWidth="1"/>
    <col min="10765" max="10765" width="14.68359375" style="121" bestFit="1" customWidth="1"/>
    <col min="10766" max="10766" width="16" style="121" bestFit="1" customWidth="1"/>
    <col min="10767" max="10767" width="14.68359375" style="121" bestFit="1" customWidth="1"/>
    <col min="10768" max="10768" width="16" style="121" bestFit="1" customWidth="1"/>
    <col min="10769" max="10769" width="12.68359375" style="121" bestFit="1" customWidth="1"/>
    <col min="10770" max="10770" width="14.68359375" style="121" bestFit="1" customWidth="1"/>
    <col min="10771" max="11008" width="9.15625" style="121"/>
    <col min="11009" max="11009" width="6.26171875" style="121" customWidth="1"/>
    <col min="11010" max="11010" width="4.41796875" style="121" customWidth="1"/>
    <col min="11011" max="11011" width="38.41796875" style="121" customWidth="1"/>
    <col min="11012" max="11013" width="0" style="121" hidden="1" customWidth="1"/>
    <col min="11014" max="11014" width="28.26171875" style="121" customWidth="1"/>
    <col min="11015" max="11015" width="19.26171875" style="121" bestFit="1" customWidth="1"/>
    <col min="11016" max="11016" width="18" style="121" bestFit="1" customWidth="1"/>
    <col min="11017" max="11017" width="16.26171875" style="121" bestFit="1" customWidth="1"/>
    <col min="11018" max="11018" width="16.578125" style="121" bestFit="1" customWidth="1"/>
    <col min="11019" max="11019" width="16.41796875" style="121" bestFit="1" customWidth="1"/>
    <col min="11020" max="11020" width="15.578125" style="121" bestFit="1" customWidth="1"/>
    <col min="11021" max="11021" width="14.68359375" style="121" bestFit="1" customWidth="1"/>
    <col min="11022" max="11022" width="16" style="121" bestFit="1" customWidth="1"/>
    <col min="11023" max="11023" width="14.68359375" style="121" bestFit="1" customWidth="1"/>
    <col min="11024" max="11024" width="16" style="121" bestFit="1" customWidth="1"/>
    <col min="11025" max="11025" width="12.68359375" style="121" bestFit="1" customWidth="1"/>
    <col min="11026" max="11026" width="14.68359375" style="121" bestFit="1" customWidth="1"/>
    <col min="11027" max="11264" width="9.15625" style="121"/>
    <col min="11265" max="11265" width="6.26171875" style="121" customWidth="1"/>
    <col min="11266" max="11266" width="4.41796875" style="121" customWidth="1"/>
    <col min="11267" max="11267" width="38.41796875" style="121" customWidth="1"/>
    <col min="11268" max="11269" width="0" style="121" hidden="1" customWidth="1"/>
    <col min="11270" max="11270" width="28.26171875" style="121" customWidth="1"/>
    <col min="11271" max="11271" width="19.26171875" style="121" bestFit="1" customWidth="1"/>
    <col min="11272" max="11272" width="18" style="121" bestFit="1" customWidth="1"/>
    <col min="11273" max="11273" width="16.26171875" style="121" bestFit="1" customWidth="1"/>
    <col min="11274" max="11274" width="16.578125" style="121" bestFit="1" customWidth="1"/>
    <col min="11275" max="11275" width="16.41796875" style="121" bestFit="1" customWidth="1"/>
    <col min="11276" max="11276" width="15.578125" style="121" bestFit="1" customWidth="1"/>
    <col min="11277" max="11277" width="14.68359375" style="121" bestFit="1" customWidth="1"/>
    <col min="11278" max="11278" width="16" style="121" bestFit="1" customWidth="1"/>
    <col min="11279" max="11279" width="14.68359375" style="121" bestFit="1" customWidth="1"/>
    <col min="11280" max="11280" width="16" style="121" bestFit="1" customWidth="1"/>
    <col min="11281" max="11281" width="12.68359375" style="121" bestFit="1" customWidth="1"/>
    <col min="11282" max="11282" width="14.68359375" style="121" bestFit="1" customWidth="1"/>
    <col min="11283" max="11520" width="9.15625" style="121"/>
    <col min="11521" max="11521" width="6.26171875" style="121" customWidth="1"/>
    <col min="11522" max="11522" width="4.41796875" style="121" customWidth="1"/>
    <col min="11523" max="11523" width="38.41796875" style="121" customWidth="1"/>
    <col min="11524" max="11525" width="0" style="121" hidden="1" customWidth="1"/>
    <col min="11526" max="11526" width="28.26171875" style="121" customWidth="1"/>
    <col min="11527" max="11527" width="19.26171875" style="121" bestFit="1" customWidth="1"/>
    <col min="11528" max="11528" width="18" style="121" bestFit="1" customWidth="1"/>
    <col min="11529" max="11529" width="16.26171875" style="121" bestFit="1" customWidth="1"/>
    <col min="11530" max="11530" width="16.578125" style="121" bestFit="1" customWidth="1"/>
    <col min="11531" max="11531" width="16.41796875" style="121" bestFit="1" customWidth="1"/>
    <col min="11532" max="11532" width="15.578125" style="121" bestFit="1" customWidth="1"/>
    <col min="11533" max="11533" width="14.68359375" style="121" bestFit="1" customWidth="1"/>
    <col min="11534" max="11534" width="16" style="121" bestFit="1" customWidth="1"/>
    <col min="11535" max="11535" width="14.68359375" style="121" bestFit="1" customWidth="1"/>
    <col min="11536" max="11536" width="16" style="121" bestFit="1" customWidth="1"/>
    <col min="11537" max="11537" width="12.68359375" style="121" bestFit="1" customWidth="1"/>
    <col min="11538" max="11538" width="14.68359375" style="121" bestFit="1" customWidth="1"/>
    <col min="11539" max="11776" width="9.15625" style="121"/>
    <col min="11777" max="11777" width="6.26171875" style="121" customWidth="1"/>
    <col min="11778" max="11778" width="4.41796875" style="121" customWidth="1"/>
    <col min="11779" max="11779" width="38.41796875" style="121" customWidth="1"/>
    <col min="11780" max="11781" width="0" style="121" hidden="1" customWidth="1"/>
    <col min="11782" max="11782" width="28.26171875" style="121" customWidth="1"/>
    <col min="11783" max="11783" width="19.26171875" style="121" bestFit="1" customWidth="1"/>
    <col min="11784" max="11784" width="18" style="121" bestFit="1" customWidth="1"/>
    <col min="11785" max="11785" width="16.26171875" style="121" bestFit="1" customWidth="1"/>
    <col min="11786" max="11786" width="16.578125" style="121" bestFit="1" customWidth="1"/>
    <col min="11787" max="11787" width="16.41796875" style="121" bestFit="1" customWidth="1"/>
    <col min="11788" max="11788" width="15.578125" style="121" bestFit="1" customWidth="1"/>
    <col min="11789" max="11789" width="14.68359375" style="121" bestFit="1" customWidth="1"/>
    <col min="11790" max="11790" width="16" style="121" bestFit="1" customWidth="1"/>
    <col min="11791" max="11791" width="14.68359375" style="121" bestFit="1" customWidth="1"/>
    <col min="11792" max="11792" width="16" style="121" bestFit="1" customWidth="1"/>
    <col min="11793" max="11793" width="12.68359375" style="121" bestFit="1" customWidth="1"/>
    <col min="11794" max="11794" width="14.68359375" style="121" bestFit="1" customWidth="1"/>
    <col min="11795" max="12032" width="9.15625" style="121"/>
    <col min="12033" max="12033" width="6.26171875" style="121" customWidth="1"/>
    <col min="12034" max="12034" width="4.41796875" style="121" customWidth="1"/>
    <col min="12035" max="12035" width="38.41796875" style="121" customWidth="1"/>
    <col min="12036" max="12037" width="0" style="121" hidden="1" customWidth="1"/>
    <col min="12038" max="12038" width="28.26171875" style="121" customWidth="1"/>
    <col min="12039" max="12039" width="19.26171875" style="121" bestFit="1" customWidth="1"/>
    <col min="12040" max="12040" width="18" style="121" bestFit="1" customWidth="1"/>
    <col min="12041" max="12041" width="16.26171875" style="121" bestFit="1" customWidth="1"/>
    <col min="12042" max="12042" width="16.578125" style="121" bestFit="1" customWidth="1"/>
    <col min="12043" max="12043" width="16.41796875" style="121" bestFit="1" customWidth="1"/>
    <col min="12044" max="12044" width="15.578125" style="121" bestFit="1" customWidth="1"/>
    <col min="12045" max="12045" width="14.68359375" style="121" bestFit="1" customWidth="1"/>
    <col min="12046" max="12046" width="16" style="121" bestFit="1" customWidth="1"/>
    <col min="12047" max="12047" width="14.68359375" style="121" bestFit="1" customWidth="1"/>
    <col min="12048" max="12048" width="16" style="121" bestFit="1" customWidth="1"/>
    <col min="12049" max="12049" width="12.68359375" style="121" bestFit="1" customWidth="1"/>
    <col min="12050" max="12050" width="14.68359375" style="121" bestFit="1" customWidth="1"/>
    <col min="12051" max="12288" width="9.15625" style="121"/>
    <col min="12289" max="12289" width="6.26171875" style="121" customWidth="1"/>
    <col min="12290" max="12290" width="4.41796875" style="121" customWidth="1"/>
    <col min="12291" max="12291" width="38.41796875" style="121" customWidth="1"/>
    <col min="12292" max="12293" width="0" style="121" hidden="1" customWidth="1"/>
    <col min="12294" max="12294" width="28.26171875" style="121" customWidth="1"/>
    <col min="12295" max="12295" width="19.26171875" style="121" bestFit="1" customWidth="1"/>
    <col min="12296" max="12296" width="18" style="121" bestFit="1" customWidth="1"/>
    <col min="12297" max="12297" width="16.26171875" style="121" bestFit="1" customWidth="1"/>
    <col min="12298" max="12298" width="16.578125" style="121" bestFit="1" customWidth="1"/>
    <col min="12299" max="12299" width="16.41796875" style="121" bestFit="1" customWidth="1"/>
    <col min="12300" max="12300" width="15.578125" style="121" bestFit="1" customWidth="1"/>
    <col min="12301" max="12301" width="14.68359375" style="121" bestFit="1" customWidth="1"/>
    <col min="12302" max="12302" width="16" style="121" bestFit="1" customWidth="1"/>
    <col min="12303" max="12303" width="14.68359375" style="121" bestFit="1" customWidth="1"/>
    <col min="12304" max="12304" width="16" style="121" bestFit="1" customWidth="1"/>
    <col min="12305" max="12305" width="12.68359375" style="121" bestFit="1" customWidth="1"/>
    <col min="12306" max="12306" width="14.68359375" style="121" bestFit="1" customWidth="1"/>
    <col min="12307" max="12544" width="9.15625" style="121"/>
    <col min="12545" max="12545" width="6.26171875" style="121" customWidth="1"/>
    <col min="12546" max="12546" width="4.41796875" style="121" customWidth="1"/>
    <col min="12547" max="12547" width="38.41796875" style="121" customWidth="1"/>
    <col min="12548" max="12549" width="0" style="121" hidden="1" customWidth="1"/>
    <col min="12550" max="12550" width="28.26171875" style="121" customWidth="1"/>
    <col min="12551" max="12551" width="19.26171875" style="121" bestFit="1" customWidth="1"/>
    <col min="12552" max="12552" width="18" style="121" bestFit="1" customWidth="1"/>
    <col min="12553" max="12553" width="16.26171875" style="121" bestFit="1" customWidth="1"/>
    <col min="12554" max="12554" width="16.578125" style="121" bestFit="1" customWidth="1"/>
    <col min="12555" max="12555" width="16.41796875" style="121" bestFit="1" customWidth="1"/>
    <col min="12556" max="12556" width="15.578125" style="121" bestFit="1" customWidth="1"/>
    <col min="12557" max="12557" width="14.68359375" style="121" bestFit="1" customWidth="1"/>
    <col min="12558" max="12558" width="16" style="121" bestFit="1" customWidth="1"/>
    <col min="12559" max="12559" width="14.68359375" style="121" bestFit="1" customWidth="1"/>
    <col min="12560" max="12560" width="16" style="121" bestFit="1" customWidth="1"/>
    <col min="12561" max="12561" width="12.68359375" style="121" bestFit="1" customWidth="1"/>
    <col min="12562" max="12562" width="14.68359375" style="121" bestFit="1" customWidth="1"/>
    <col min="12563" max="12800" width="9.15625" style="121"/>
    <col min="12801" max="12801" width="6.26171875" style="121" customWidth="1"/>
    <col min="12802" max="12802" width="4.41796875" style="121" customWidth="1"/>
    <col min="12803" max="12803" width="38.41796875" style="121" customWidth="1"/>
    <col min="12804" max="12805" width="0" style="121" hidden="1" customWidth="1"/>
    <col min="12806" max="12806" width="28.26171875" style="121" customWidth="1"/>
    <col min="12807" max="12807" width="19.26171875" style="121" bestFit="1" customWidth="1"/>
    <col min="12808" max="12808" width="18" style="121" bestFit="1" customWidth="1"/>
    <col min="12809" max="12809" width="16.26171875" style="121" bestFit="1" customWidth="1"/>
    <col min="12810" max="12810" width="16.578125" style="121" bestFit="1" customWidth="1"/>
    <col min="12811" max="12811" width="16.41796875" style="121" bestFit="1" customWidth="1"/>
    <col min="12812" max="12812" width="15.578125" style="121" bestFit="1" customWidth="1"/>
    <col min="12813" max="12813" width="14.68359375" style="121" bestFit="1" customWidth="1"/>
    <col min="12814" max="12814" width="16" style="121" bestFit="1" customWidth="1"/>
    <col min="12815" max="12815" width="14.68359375" style="121" bestFit="1" customWidth="1"/>
    <col min="12816" max="12816" width="16" style="121" bestFit="1" customWidth="1"/>
    <col min="12817" max="12817" width="12.68359375" style="121" bestFit="1" customWidth="1"/>
    <col min="12818" max="12818" width="14.68359375" style="121" bestFit="1" customWidth="1"/>
    <col min="12819" max="13056" width="9.15625" style="121"/>
    <col min="13057" max="13057" width="6.26171875" style="121" customWidth="1"/>
    <col min="13058" max="13058" width="4.41796875" style="121" customWidth="1"/>
    <col min="13059" max="13059" width="38.41796875" style="121" customWidth="1"/>
    <col min="13060" max="13061" width="0" style="121" hidden="1" customWidth="1"/>
    <col min="13062" max="13062" width="28.26171875" style="121" customWidth="1"/>
    <col min="13063" max="13063" width="19.26171875" style="121" bestFit="1" customWidth="1"/>
    <col min="13064" max="13064" width="18" style="121" bestFit="1" customWidth="1"/>
    <col min="13065" max="13065" width="16.26171875" style="121" bestFit="1" customWidth="1"/>
    <col min="13066" max="13066" width="16.578125" style="121" bestFit="1" customWidth="1"/>
    <col min="13067" max="13067" width="16.41796875" style="121" bestFit="1" customWidth="1"/>
    <col min="13068" max="13068" width="15.578125" style="121" bestFit="1" customWidth="1"/>
    <col min="13069" max="13069" width="14.68359375" style="121" bestFit="1" customWidth="1"/>
    <col min="13070" max="13070" width="16" style="121" bestFit="1" customWidth="1"/>
    <col min="13071" max="13071" width="14.68359375" style="121" bestFit="1" customWidth="1"/>
    <col min="13072" max="13072" width="16" style="121" bestFit="1" customWidth="1"/>
    <col min="13073" max="13073" width="12.68359375" style="121" bestFit="1" customWidth="1"/>
    <col min="13074" max="13074" width="14.68359375" style="121" bestFit="1" customWidth="1"/>
    <col min="13075" max="13312" width="9.15625" style="121"/>
    <col min="13313" max="13313" width="6.26171875" style="121" customWidth="1"/>
    <col min="13314" max="13314" width="4.41796875" style="121" customWidth="1"/>
    <col min="13315" max="13315" width="38.41796875" style="121" customWidth="1"/>
    <col min="13316" max="13317" width="0" style="121" hidden="1" customWidth="1"/>
    <col min="13318" max="13318" width="28.26171875" style="121" customWidth="1"/>
    <col min="13319" max="13319" width="19.26171875" style="121" bestFit="1" customWidth="1"/>
    <col min="13320" max="13320" width="18" style="121" bestFit="1" customWidth="1"/>
    <col min="13321" max="13321" width="16.26171875" style="121" bestFit="1" customWidth="1"/>
    <col min="13322" max="13322" width="16.578125" style="121" bestFit="1" customWidth="1"/>
    <col min="13323" max="13323" width="16.41796875" style="121" bestFit="1" customWidth="1"/>
    <col min="13324" max="13324" width="15.578125" style="121" bestFit="1" customWidth="1"/>
    <col min="13325" max="13325" width="14.68359375" style="121" bestFit="1" customWidth="1"/>
    <col min="13326" max="13326" width="16" style="121" bestFit="1" customWidth="1"/>
    <col min="13327" max="13327" width="14.68359375" style="121" bestFit="1" customWidth="1"/>
    <col min="13328" max="13328" width="16" style="121" bestFit="1" customWidth="1"/>
    <col min="13329" max="13329" width="12.68359375" style="121" bestFit="1" customWidth="1"/>
    <col min="13330" max="13330" width="14.68359375" style="121" bestFit="1" customWidth="1"/>
    <col min="13331" max="13568" width="9.15625" style="121"/>
    <col min="13569" max="13569" width="6.26171875" style="121" customWidth="1"/>
    <col min="13570" max="13570" width="4.41796875" style="121" customWidth="1"/>
    <col min="13571" max="13571" width="38.41796875" style="121" customWidth="1"/>
    <col min="13572" max="13573" width="0" style="121" hidden="1" customWidth="1"/>
    <col min="13574" max="13574" width="28.26171875" style="121" customWidth="1"/>
    <col min="13575" max="13575" width="19.26171875" style="121" bestFit="1" customWidth="1"/>
    <col min="13576" max="13576" width="18" style="121" bestFit="1" customWidth="1"/>
    <col min="13577" max="13577" width="16.26171875" style="121" bestFit="1" customWidth="1"/>
    <col min="13578" max="13578" width="16.578125" style="121" bestFit="1" customWidth="1"/>
    <col min="13579" max="13579" width="16.41796875" style="121" bestFit="1" customWidth="1"/>
    <col min="13580" max="13580" width="15.578125" style="121" bestFit="1" customWidth="1"/>
    <col min="13581" max="13581" width="14.68359375" style="121" bestFit="1" customWidth="1"/>
    <col min="13582" max="13582" width="16" style="121" bestFit="1" customWidth="1"/>
    <col min="13583" max="13583" width="14.68359375" style="121" bestFit="1" customWidth="1"/>
    <col min="13584" max="13584" width="16" style="121" bestFit="1" customWidth="1"/>
    <col min="13585" max="13585" width="12.68359375" style="121" bestFit="1" customWidth="1"/>
    <col min="13586" max="13586" width="14.68359375" style="121" bestFit="1" customWidth="1"/>
    <col min="13587" max="13824" width="9.15625" style="121"/>
    <col min="13825" max="13825" width="6.26171875" style="121" customWidth="1"/>
    <col min="13826" max="13826" width="4.41796875" style="121" customWidth="1"/>
    <col min="13827" max="13827" width="38.41796875" style="121" customWidth="1"/>
    <col min="13828" max="13829" width="0" style="121" hidden="1" customWidth="1"/>
    <col min="13830" max="13830" width="28.26171875" style="121" customWidth="1"/>
    <col min="13831" max="13831" width="19.26171875" style="121" bestFit="1" customWidth="1"/>
    <col min="13832" max="13832" width="18" style="121" bestFit="1" customWidth="1"/>
    <col min="13833" max="13833" width="16.26171875" style="121" bestFit="1" customWidth="1"/>
    <col min="13834" max="13834" width="16.578125" style="121" bestFit="1" customWidth="1"/>
    <col min="13835" max="13835" width="16.41796875" style="121" bestFit="1" customWidth="1"/>
    <col min="13836" max="13836" width="15.578125" style="121" bestFit="1" customWidth="1"/>
    <col min="13837" max="13837" width="14.68359375" style="121" bestFit="1" customWidth="1"/>
    <col min="13838" max="13838" width="16" style="121" bestFit="1" customWidth="1"/>
    <col min="13839" max="13839" width="14.68359375" style="121" bestFit="1" customWidth="1"/>
    <col min="13840" max="13840" width="16" style="121" bestFit="1" customWidth="1"/>
    <col min="13841" max="13841" width="12.68359375" style="121" bestFit="1" customWidth="1"/>
    <col min="13842" max="13842" width="14.68359375" style="121" bestFit="1" customWidth="1"/>
    <col min="13843" max="14080" width="9.15625" style="121"/>
    <col min="14081" max="14081" width="6.26171875" style="121" customWidth="1"/>
    <col min="14082" max="14082" width="4.41796875" style="121" customWidth="1"/>
    <col min="14083" max="14083" width="38.41796875" style="121" customWidth="1"/>
    <col min="14084" max="14085" width="0" style="121" hidden="1" customWidth="1"/>
    <col min="14086" max="14086" width="28.26171875" style="121" customWidth="1"/>
    <col min="14087" max="14087" width="19.26171875" style="121" bestFit="1" customWidth="1"/>
    <col min="14088" max="14088" width="18" style="121" bestFit="1" customWidth="1"/>
    <col min="14089" max="14089" width="16.26171875" style="121" bestFit="1" customWidth="1"/>
    <col min="14090" max="14090" width="16.578125" style="121" bestFit="1" customWidth="1"/>
    <col min="14091" max="14091" width="16.41796875" style="121" bestFit="1" customWidth="1"/>
    <col min="14092" max="14092" width="15.578125" style="121" bestFit="1" customWidth="1"/>
    <col min="14093" max="14093" width="14.68359375" style="121" bestFit="1" customWidth="1"/>
    <col min="14094" max="14094" width="16" style="121" bestFit="1" customWidth="1"/>
    <col min="14095" max="14095" width="14.68359375" style="121" bestFit="1" customWidth="1"/>
    <col min="14096" max="14096" width="16" style="121" bestFit="1" customWidth="1"/>
    <col min="14097" max="14097" width="12.68359375" style="121" bestFit="1" customWidth="1"/>
    <col min="14098" max="14098" width="14.68359375" style="121" bestFit="1" customWidth="1"/>
    <col min="14099" max="14336" width="9.15625" style="121"/>
    <col min="14337" max="14337" width="6.26171875" style="121" customWidth="1"/>
    <col min="14338" max="14338" width="4.41796875" style="121" customWidth="1"/>
    <col min="14339" max="14339" width="38.41796875" style="121" customWidth="1"/>
    <col min="14340" max="14341" width="0" style="121" hidden="1" customWidth="1"/>
    <col min="14342" max="14342" width="28.26171875" style="121" customWidth="1"/>
    <col min="14343" max="14343" width="19.26171875" style="121" bestFit="1" customWidth="1"/>
    <col min="14344" max="14344" width="18" style="121" bestFit="1" customWidth="1"/>
    <col min="14345" max="14345" width="16.26171875" style="121" bestFit="1" customWidth="1"/>
    <col min="14346" max="14346" width="16.578125" style="121" bestFit="1" customWidth="1"/>
    <col min="14347" max="14347" width="16.41796875" style="121" bestFit="1" customWidth="1"/>
    <col min="14348" max="14348" width="15.578125" style="121" bestFit="1" customWidth="1"/>
    <col min="14349" max="14349" width="14.68359375" style="121" bestFit="1" customWidth="1"/>
    <col min="14350" max="14350" width="16" style="121" bestFit="1" customWidth="1"/>
    <col min="14351" max="14351" width="14.68359375" style="121" bestFit="1" customWidth="1"/>
    <col min="14352" max="14352" width="16" style="121" bestFit="1" customWidth="1"/>
    <col min="14353" max="14353" width="12.68359375" style="121" bestFit="1" customWidth="1"/>
    <col min="14354" max="14354" width="14.68359375" style="121" bestFit="1" customWidth="1"/>
    <col min="14355" max="14592" width="9.15625" style="121"/>
    <col min="14593" max="14593" width="6.26171875" style="121" customWidth="1"/>
    <col min="14594" max="14594" width="4.41796875" style="121" customWidth="1"/>
    <col min="14595" max="14595" width="38.41796875" style="121" customWidth="1"/>
    <col min="14596" max="14597" width="0" style="121" hidden="1" customWidth="1"/>
    <col min="14598" max="14598" width="28.26171875" style="121" customWidth="1"/>
    <col min="14599" max="14599" width="19.26171875" style="121" bestFit="1" customWidth="1"/>
    <col min="14600" max="14600" width="18" style="121" bestFit="1" customWidth="1"/>
    <col min="14601" max="14601" width="16.26171875" style="121" bestFit="1" customWidth="1"/>
    <col min="14602" max="14602" width="16.578125" style="121" bestFit="1" customWidth="1"/>
    <col min="14603" max="14603" width="16.41796875" style="121" bestFit="1" customWidth="1"/>
    <col min="14604" max="14604" width="15.578125" style="121" bestFit="1" customWidth="1"/>
    <col min="14605" max="14605" width="14.68359375" style="121" bestFit="1" customWidth="1"/>
    <col min="14606" max="14606" width="16" style="121" bestFit="1" customWidth="1"/>
    <col min="14607" max="14607" width="14.68359375" style="121" bestFit="1" customWidth="1"/>
    <col min="14608" max="14608" width="16" style="121" bestFit="1" customWidth="1"/>
    <col min="14609" max="14609" width="12.68359375" style="121" bestFit="1" customWidth="1"/>
    <col min="14610" max="14610" width="14.68359375" style="121" bestFit="1" customWidth="1"/>
    <col min="14611" max="14848" width="9.15625" style="121"/>
    <col min="14849" max="14849" width="6.26171875" style="121" customWidth="1"/>
    <col min="14850" max="14850" width="4.41796875" style="121" customWidth="1"/>
    <col min="14851" max="14851" width="38.41796875" style="121" customWidth="1"/>
    <col min="14852" max="14853" width="0" style="121" hidden="1" customWidth="1"/>
    <col min="14854" max="14854" width="28.26171875" style="121" customWidth="1"/>
    <col min="14855" max="14855" width="19.26171875" style="121" bestFit="1" customWidth="1"/>
    <col min="14856" max="14856" width="18" style="121" bestFit="1" customWidth="1"/>
    <col min="14857" max="14857" width="16.26171875" style="121" bestFit="1" customWidth="1"/>
    <col min="14858" max="14858" width="16.578125" style="121" bestFit="1" customWidth="1"/>
    <col min="14859" max="14859" width="16.41796875" style="121" bestFit="1" customWidth="1"/>
    <col min="14860" max="14860" width="15.578125" style="121" bestFit="1" customWidth="1"/>
    <col min="14861" max="14861" width="14.68359375" style="121" bestFit="1" customWidth="1"/>
    <col min="14862" max="14862" width="16" style="121" bestFit="1" customWidth="1"/>
    <col min="14863" max="14863" width="14.68359375" style="121" bestFit="1" customWidth="1"/>
    <col min="14864" max="14864" width="16" style="121" bestFit="1" customWidth="1"/>
    <col min="14865" max="14865" width="12.68359375" style="121" bestFit="1" customWidth="1"/>
    <col min="14866" max="14866" width="14.68359375" style="121" bestFit="1" customWidth="1"/>
    <col min="14867" max="15104" width="9.15625" style="121"/>
    <col min="15105" max="15105" width="6.26171875" style="121" customWidth="1"/>
    <col min="15106" max="15106" width="4.41796875" style="121" customWidth="1"/>
    <col min="15107" max="15107" width="38.41796875" style="121" customWidth="1"/>
    <col min="15108" max="15109" width="0" style="121" hidden="1" customWidth="1"/>
    <col min="15110" max="15110" width="28.26171875" style="121" customWidth="1"/>
    <col min="15111" max="15111" width="19.26171875" style="121" bestFit="1" customWidth="1"/>
    <col min="15112" max="15112" width="18" style="121" bestFit="1" customWidth="1"/>
    <col min="15113" max="15113" width="16.26171875" style="121" bestFit="1" customWidth="1"/>
    <col min="15114" max="15114" width="16.578125" style="121" bestFit="1" customWidth="1"/>
    <col min="15115" max="15115" width="16.41796875" style="121" bestFit="1" customWidth="1"/>
    <col min="15116" max="15116" width="15.578125" style="121" bestFit="1" customWidth="1"/>
    <col min="15117" max="15117" width="14.68359375" style="121" bestFit="1" customWidth="1"/>
    <col min="15118" max="15118" width="16" style="121" bestFit="1" customWidth="1"/>
    <col min="15119" max="15119" width="14.68359375" style="121" bestFit="1" customWidth="1"/>
    <col min="15120" max="15120" width="16" style="121" bestFit="1" customWidth="1"/>
    <col min="15121" max="15121" width="12.68359375" style="121" bestFit="1" customWidth="1"/>
    <col min="15122" max="15122" width="14.68359375" style="121" bestFit="1" customWidth="1"/>
    <col min="15123" max="15360" width="9.15625" style="121"/>
    <col min="15361" max="15361" width="6.26171875" style="121" customWidth="1"/>
    <col min="15362" max="15362" width="4.41796875" style="121" customWidth="1"/>
    <col min="15363" max="15363" width="38.41796875" style="121" customWidth="1"/>
    <col min="15364" max="15365" width="0" style="121" hidden="1" customWidth="1"/>
    <col min="15366" max="15366" width="28.26171875" style="121" customWidth="1"/>
    <col min="15367" max="15367" width="19.26171875" style="121" bestFit="1" customWidth="1"/>
    <col min="15368" max="15368" width="18" style="121" bestFit="1" customWidth="1"/>
    <col min="15369" max="15369" width="16.26171875" style="121" bestFit="1" customWidth="1"/>
    <col min="15370" max="15370" width="16.578125" style="121" bestFit="1" customWidth="1"/>
    <col min="15371" max="15371" width="16.41796875" style="121" bestFit="1" customWidth="1"/>
    <col min="15372" max="15372" width="15.578125" style="121" bestFit="1" customWidth="1"/>
    <col min="15373" max="15373" width="14.68359375" style="121" bestFit="1" customWidth="1"/>
    <col min="15374" max="15374" width="16" style="121" bestFit="1" customWidth="1"/>
    <col min="15375" max="15375" width="14.68359375" style="121" bestFit="1" customWidth="1"/>
    <col min="15376" max="15376" width="16" style="121" bestFit="1" customWidth="1"/>
    <col min="15377" max="15377" width="12.68359375" style="121" bestFit="1" customWidth="1"/>
    <col min="15378" max="15378" width="14.68359375" style="121" bestFit="1" customWidth="1"/>
    <col min="15379" max="15616" width="9.15625" style="121"/>
    <col min="15617" max="15617" width="6.26171875" style="121" customWidth="1"/>
    <col min="15618" max="15618" width="4.41796875" style="121" customWidth="1"/>
    <col min="15619" max="15619" width="38.41796875" style="121" customWidth="1"/>
    <col min="15620" max="15621" width="0" style="121" hidden="1" customWidth="1"/>
    <col min="15622" max="15622" width="28.26171875" style="121" customWidth="1"/>
    <col min="15623" max="15623" width="19.26171875" style="121" bestFit="1" customWidth="1"/>
    <col min="15624" max="15624" width="18" style="121" bestFit="1" customWidth="1"/>
    <col min="15625" max="15625" width="16.26171875" style="121" bestFit="1" customWidth="1"/>
    <col min="15626" max="15626" width="16.578125" style="121" bestFit="1" customWidth="1"/>
    <col min="15627" max="15627" width="16.41796875" style="121" bestFit="1" customWidth="1"/>
    <col min="15628" max="15628" width="15.578125" style="121" bestFit="1" customWidth="1"/>
    <col min="15629" max="15629" width="14.68359375" style="121" bestFit="1" customWidth="1"/>
    <col min="15630" max="15630" width="16" style="121" bestFit="1" customWidth="1"/>
    <col min="15631" max="15631" width="14.68359375" style="121" bestFit="1" customWidth="1"/>
    <col min="15632" max="15632" width="16" style="121" bestFit="1" customWidth="1"/>
    <col min="15633" max="15633" width="12.68359375" style="121" bestFit="1" customWidth="1"/>
    <col min="15634" max="15634" width="14.68359375" style="121" bestFit="1" customWidth="1"/>
    <col min="15635" max="15872" width="9.15625" style="121"/>
    <col min="15873" max="15873" width="6.26171875" style="121" customWidth="1"/>
    <col min="15874" max="15874" width="4.41796875" style="121" customWidth="1"/>
    <col min="15875" max="15875" width="38.41796875" style="121" customWidth="1"/>
    <col min="15876" max="15877" width="0" style="121" hidden="1" customWidth="1"/>
    <col min="15878" max="15878" width="28.26171875" style="121" customWidth="1"/>
    <col min="15879" max="15879" width="19.26171875" style="121" bestFit="1" customWidth="1"/>
    <col min="15880" max="15880" width="18" style="121" bestFit="1" customWidth="1"/>
    <col min="15881" max="15881" width="16.26171875" style="121" bestFit="1" customWidth="1"/>
    <col min="15882" max="15882" width="16.578125" style="121" bestFit="1" customWidth="1"/>
    <col min="15883" max="15883" width="16.41796875" style="121" bestFit="1" customWidth="1"/>
    <col min="15884" max="15884" width="15.578125" style="121" bestFit="1" customWidth="1"/>
    <col min="15885" max="15885" width="14.68359375" style="121" bestFit="1" customWidth="1"/>
    <col min="15886" max="15886" width="16" style="121" bestFit="1" customWidth="1"/>
    <col min="15887" max="15887" width="14.68359375" style="121" bestFit="1" customWidth="1"/>
    <col min="15888" max="15888" width="16" style="121" bestFit="1" customWidth="1"/>
    <col min="15889" max="15889" width="12.68359375" style="121" bestFit="1" customWidth="1"/>
    <col min="15890" max="15890" width="14.68359375" style="121" bestFit="1" customWidth="1"/>
    <col min="15891" max="16128" width="9.15625" style="121"/>
    <col min="16129" max="16129" width="6.26171875" style="121" customWidth="1"/>
    <col min="16130" max="16130" width="4.41796875" style="121" customWidth="1"/>
    <col min="16131" max="16131" width="38.41796875" style="121" customWidth="1"/>
    <col min="16132" max="16133" width="0" style="121" hidden="1" customWidth="1"/>
    <col min="16134" max="16134" width="28.26171875" style="121" customWidth="1"/>
    <col min="16135" max="16135" width="19.26171875" style="121" bestFit="1" customWidth="1"/>
    <col min="16136" max="16136" width="18" style="121" bestFit="1" customWidth="1"/>
    <col min="16137" max="16137" width="16.26171875" style="121" bestFit="1" customWidth="1"/>
    <col min="16138" max="16138" width="16.578125" style="121" bestFit="1" customWidth="1"/>
    <col min="16139" max="16139" width="16.41796875" style="121" bestFit="1" customWidth="1"/>
    <col min="16140" max="16140" width="15.578125" style="121" bestFit="1" customWidth="1"/>
    <col min="16141" max="16141" width="14.68359375" style="121" bestFit="1" customWidth="1"/>
    <col min="16142" max="16142" width="16" style="121" bestFit="1" customWidth="1"/>
    <col min="16143" max="16143" width="14.68359375" style="121" bestFit="1" customWidth="1"/>
    <col min="16144" max="16144" width="16" style="121" bestFit="1" customWidth="1"/>
    <col min="16145" max="16145" width="12.68359375" style="121" bestFit="1" customWidth="1"/>
    <col min="16146" max="16146" width="14.68359375" style="121" bestFit="1" customWidth="1"/>
    <col min="16147" max="16384" width="9.15625" style="121"/>
  </cols>
  <sheetData>
    <row r="1" spans="1:12" ht="20.100000000000001" x14ac:dyDescent="0.7">
      <c r="A1" s="486" t="s">
        <v>744</v>
      </c>
      <c r="B1" s="486"/>
      <c r="C1" s="486"/>
      <c r="D1" s="486"/>
      <c r="E1" s="486"/>
      <c r="F1" s="486"/>
      <c r="G1" s="486"/>
      <c r="H1" s="486"/>
      <c r="I1" s="486"/>
      <c r="J1" s="486"/>
    </row>
    <row r="3" spans="1:12" x14ac:dyDescent="0.4">
      <c r="F3" s="122"/>
      <c r="G3" s="122"/>
    </row>
    <row r="4" spans="1:12" ht="36.9" x14ac:dyDescent="0.4">
      <c r="A4" s="123"/>
      <c r="B4" s="124" t="s">
        <v>98</v>
      </c>
      <c r="C4" s="125"/>
      <c r="D4" s="123"/>
      <c r="E4" s="127" t="s">
        <v>99</v>
      </c>
      <c r="F4" s="127" t="s">
        <v>100</v>
      </c>
      <c r="G4" s="182" t="s">
        <v>679</v>
      </c>
      <c r="H4" s="127" t="s">
        <v>680</v>
      </c>
      <c r="I4" s="128" t="s">
        <v>681</v>
      </c>
      <c r="J4" s="127" t="s">
        <v>682</v>
      </c>
    </row>
    <row r="5" spans="1:12" x14ac:dyDescent="0.4">
      <c r="A5" s="129" t="s">
        <v>101</v>
      </c>
      <c r="C5" s="129" t="s">
        <v>102</v>
      </c>
      <c r="I5" s="130"/>
    </row>
    <row r="6" spans="1:12" x14ac:dyDescent="0.4">
      <c r="A6" s="129" t="s">
        <v>103</v>
      </c>
      <c r="C6" s="121" t="s">
        <v>104</v>
      </c>
      <c r="E6" s="131">
        <f>SUM('#1-Meritus:#5034-Mt Washington Pediatric'!D18:D18)</f>
        <v>324933117.61702907</v>
      </c>
      <c r="F6" s="131">
        <f>SUM('#1-Meritus:#5034-Mt Washington Pediatric'!E18:E18)</f>
        <v>0</v>
      </c>
      <c r="G6" s="131">
        <f>SUM('#1-Meritus:#5034-Mt Washington Pediatric'!F18:F18)</f>
        <v>0</v>
      </c>
      <c r="H6" s="131">
        <f>SUM('#1-Meritus:#5034-Mt Washington Pediatric'!G18:G18)</f>
        <v>269294869.88475388</v>
      </c>
      <c r="I6" s="131">
        <f>SUM('#1-Meritus:#5034-Mt Washington Pediatric'!H18:H18)</f>
        <v>55638247.732275255</v>
      </c>
      <c r="J6" s="131">
        <f>I6-F6</f>
        <v>55638247.732275255</v>
      </c>
      <c r="K6" s="130"/>
      <c r="L6" s="130"/>
    </row>
    <row r="7" spans="1:12" ht="36.9" x14ac:dyDescent="0.4">
      <c r="A7" s="123" t="s">
        <v>105</v>
      </c>
      <c r="B7" s="123"/>
      <c r="C7" s="126"/>
      <c r="D7" s="126"/>
      <c r="E7" s="127" t="s">
        <v>106</v>
      </c>
      <c r="F7" s="127" t="s">
        <v>107</v>
      </c>
      <c r="G7" s="182" t="s">
        <v>679</v>
      </c>
      <c r="H7" s="127" t="s">
        <v>680</v>
      </c>
      <c r="I7" s="128" t="s">
        <v>681</v>
      </c>
      <c r="J7" s="127" t="s">
        <v>682</v>
      </c>
      <c r="K7" s="130"/>
    </row>
    <row r="8" spans="1:12" x14ac:dyDescent="0.4">
      <c r="A8" s="124" t="s">
        <v>108</v>
      </c>
      <c r="B8" s="129" t="s">
        <v>109</v>
      </c>
      <c r="H8" s="132"/>
      <c r="I8" s="133"/>
      <c r="K8" s="130"/>
      <c r="L8" s="130"/>
    </row>
    <row r="9" spans="1:12" x14ac:dyDescent="0.4">
      <c r="A9" s="134" t="s">
        <v>110</v>
      </c>
      <c r="B9" s="121" t="s">
        <v>111</v>
      </c>
      <c r="E9" s="135">
        <f>SUM('#1-Meritus:#5034-Mt Washington Pediatric'!D21:D21)</f>
        <v>18141133.450894814</v>
      </c>
      <c r="F9" s="135">
        <f>SUM('#1-Meritus:#5034-Mt Washington Pediatric'!E21:E21)</f>
        <v>9100380.7515459526</v>
      </c>
      <c r="G9" s="135">
        <f>SUM('#1-Meritus:#5034-Mt Washington Pediatric'!F21:F21)</f>
        <v>136262</v>
      </c>
      <c r="H9" s="135">
        <f>SUM('#1-Meritus:#5034-Mt Washington Pediatric'!G21:G21)</f>
        <v>1271590.3500000001</v>
      </c>
      <c r="I9" s="135">
        <f>SUM('#1-Meritus:#5034-Mt Washington Pediatric'!H21:H21)</f>
        <v>25833661.852440767</v>
      </c>
      <c r="J9" s="131">
        <f>I9-F9</f>
        <v>16733281.100894814</v>
      </c>
      <c r="K9" s="130"/>
      <c r="L9" s="130"/>
    </row>
    <row r="10" spans="1:12" x14ac:dyDescent="0.4">
      <c r="A10" s="134" t="s">
        <v>112</v>
      </c>
      <c r="B10" s="121" t="s">
        <v>113</v>
      </c>
      <c r="E10" s="135">
        <f>SUM('#1-Meritus:#5034-Mt Washington Pediatric'!D22:D22)</f>
        <v>2935571.6617740826</v>
      </c>
      <c r="F10" s="135">
        <f>SUM('#1-Meritus:#5034-Mt Washington Pediatric'!E22:E22)</f>
        <v>2138791.4175220677</v>
      </c>
      <c r="G10" s="135">
        <f>SUM('#1-Meritus:#5034-Mt Washington Pediatric'!F22:F22)</f>
        <v>471112</v>
      </c>
      <c r="H10" s="135">
        <f>SUM('#1-Meritus:#5034-Mt Washington Pediatric'!G22:G22)</f>
        <v>1730</v>
      </c>
      <c r="I10" s="135">
        <f>SUM('#1-Meritus:#5034-Mt Washington Pediatric'!H22:H22)</f>
        <v>4601521.0792961502</v>
      </c>
      <c r="J10" s="131">
        <f t="shared" ref="J10:J22" si="0">I10-F10</f>
        <v>2462729.6617740826</v>
      </c>
      <c r="K10" s="130"/>
      <c r="L10" s="130"/>
    </row>
    <row r="11" spans="1:12" x14ac:dyDescent="0.4">
      <c r="A11" s="134" t="s">
        <v>114</v>
      </c>
      <c r="B11" s="121" t="s">
        <v>115</v>
      </c>
      <c r="E11" s="135">
        <f>SUM('#1-Meritus:#5034-Mt Washington Pediatric'!D23:D23)</f>
        <v>651371.76820771443</v>
      </c>
      <c r="F11" s="135">
        <f>SUM('#1-Meritus:#5034-Mt Washington Pediatric'!E23:E23)</f>
        <v>352540.52714992937</v>
      </c>
      <c r="G11" s="135">
        <f>SUM('#1-Meritus:#5034-Mt Washington Pediatric'!F23:F23)</f>
        <v>0</v>
      </c>
      <c r="H11" s="135">
        <f>SUM('#1-Meritus:#5034-Mt Washington Pediatric'!G23:G23)</f>
        <v>72261</v>
      </c>
      <c r="I11" s="135">
        <f>SUM('#1-Meritus:#5034-Mt Washington Pediatric'!H23:H23)</f>
        <v>931651.29535764398</v>
      </c>
      <c r="J11" s="131">
        <f t="shared" si="0"/>
        <v>579110.76820771466</v>
      </c>
      <c r="K11" s="130"/>
      <c r="L11" s="130"/>
    </row>
    <row r="12" spans="1:12" x14ac:dyDescent="0.4">
      <c r="A12" s="134" t="s">
        <v>116</v>
      </c>
      <c r="B12" s="121" t="s">
        <v>117</v>
      </c>
      <c r="E12" s="135">
        <f>SUM('#1-Meritus:#5034-Mt Washington Pediatric'!D24:D24)</f>
        <v>14211422.664999999</v>
      </c>
      <c r="F12" s="135">
        <f>SUM('#1-Meritus:#5034-Mt Washington Pediatric'!E24:E24)</f>
        <v>5968771.2303344067</v>
      </c>
      <c r="G12" s="135">
        <f>SUM('#1-Meritus:#5034-Mt Washington Pediatric'!F24:F24)</f>
        <v>579280.06000000006</v>
      </c>
      <c r="H12" s="135">
        <f>SUM('#1-Meritus:#5034-Mt Washington Pediatric'!G24:G24)</f>
        <v>4007246.6100000003</v>
      </c>
      <c r="I12" s="135">
        <f>SUM('#1-Meritus:#5034-Mt Washington Pediatric'!H24:H24)</f>
        <v>15593667.225334406</v>
      </c>
      <c r="J12" s="131">
        <f t="shared" si="0"/>
        <v>9624895.9949999992</v>
      </c>
      <c r="K12" s="130"/>
      <c r="L12" s="130"/>
    </row>
    <row r="13" spans="1:12" x14ac:dyDescent="0.4">
      <c r="A13" s="134" t="s">
        <v>118</v>
      </c>
      <c r="B13" s="121" t="s">
        <v>119</v>
      </c>
      <c r="E13" s="135">
        <f>SUM('#1-Meritus:#5034-Mt Washington Pediatric'!D25:D25)</f>
        <v>2575695.6893227743</v>
      </c>
      <c r="F13" s="135">
        <f>SUM('#1-Meritus:#5034-Mt Washington Pediatric'!E25:E25)</f>
        <v>1650733.1658361035</v>
      </c>
      <c r="G13" s="135">
        <f>SUM('#1-Meritus:#5034-Mt Washington Pediatric'!F25:F25)</f>
        <v>0</v>
      </c>
      <c r="H13" s="135">
        <f>SUM('#1-Meritus:#5034-Mt Washington Pediatric'!G25:G25)</f>
        <v>951046.75</v>
      </c>
      <c r="I13" s="135">
        <f>SUM('#1-Meritus:#5034-Mt Washington Pediatric'!H25:H25)</f>
        <v>3275382.1051588771</v>
      </c>
      <c r="J13" s="131">
        <f t="shared" si="0"/>
        <v>1624648.9393227736</v>
      </c>
      <c r="K13" s="130"/>
      <c r="L13" s="130"/>
    </row>
    <row r="14" spans="1:12" x14ac:dyDescent="0.4">
      <c r="A14" s="134" t="s">
        <v>120</v>
      </c>
      <c r="B14" s="121" t="s">
        <v>121</v>
      </c>
      <c r="E14" s="135">
        <f>SUM('#1-Meritus:#5034-Mt Washington Pediatric'!D26:D26)</f>
        <v>808368.81315705529</v>
      </c>
      <c r="F14" s="135">
        <f>SUM('#1-Meritus:#5034-Mt Washington Pediatric'!E26:E26)</f>
        <v>136705.9697597606</v>
      </c>
      <c r="G14" s="135">
        <f>SUM('#1-Meritus:#5034-Mt Washington Pediatric'!F26:F26)</f>
        <v>0</v>
      </c>
      <c r="H14" s="135">
        <f>SUM('#1-Meritus:#5034-Mt Washington Pediatric'!G26:G26)</f>
        <v>252992</v>
      </c>
      <c r="I14" s="135">
        <f>SUM('#1-Meritus:#5034-Mt Washington Pediatric'!H26:H26)</f>
        <v>692082.78291681595</v>
      </c>
      <c r="J14" s="131">
        <f t="shared" si="0"/>
        <v>555376.81315705529</v>
      </c>
      <c r="K14" s="130"/>
      <c r="L14" s="130"/>
    </row>
    <row r="15" spans="1:12" x14ac:dyDescent="0.4">
      <c r="A15" s="134" t="s">
        <v>122</v>
      </c>
      <c r="B15" s="121" t="s">
        <v>123</v>
      </c>
      <c r="E15" s="135">
        <f>SUM('#1-Meritus:#5034-Mt Washington Pediatric'!D27:D27)</f>
        <v>10966734.375961984</v>
      </c>
      <c r="F15" s="135">
        <f>SUM('#1-Meritus:#5034-Mt Washington Pediatric'!E27:E27)</f>
        <v>2627221.0246677757</v>
      </c>
      <c r="G15" s="135">
        <f>SUM('#1-Meritus:#5034-Mt Washington Pediatric'!F27:F27)</f>
        <v>0</v>
      </c>
      <c r="H15" s="135">
        <f>SUM('#1-Meritus:#5034-Mt Washington Pediatric'!G27:G27)</f>
        <v>494</v>
      </c>
      <c r="I15" s="135">
        <f>SUM('#1-Meritus:#5034-Mt Washington Pediatric'!H27:H27)</f>
        <v>13593461.400629761</v>
      </c>
      <c r="J15" s="131">
        <f t="shared" si="0"/>
        <v>10966240.375961985</v>
      </c>
      <c r="K15" s="130"/>
      <c r="L15" s="130"/>
    </row>
    <row r="16" spans="1:12" x14ac:dyDescent="0.4">
      <c r="A16" s="134" t="s">
        <v>124</v>
      </c>
      <c r="B16" s="121" t="s">
        <v>125</v>
      </c>
      <c r="E16" s="135">
        <f>SUM('#1-Meritus:#5034-Mt Washington Pediatric'!D28:D28)</f>
        <v>1186717.9300000002</v>
      </c>
      <c r="F16" s="135">
        <f>SUM('#1-Meritus:#5034-Mt Washington Pediatric'!E28:E28)</f>
        <v>453863.70131180598</v>
      </c>
      <c r="G16" s="135">
        <f>SUM('#1-Meritus:#5034-Mt Washington Pediatric'!F28:F28)</f>
        <v>0</v>
      </c>
      <c r="H16" s="135">
        <f>SUM('#1-Meritus:#5034-Mt Washington Pediatric'!G28:G28)</f>
        <v>1315513</v>
      </c>
      <c r="I16" s="135">
        <f>SUM('#1-Meritus:#5034-Mt Washington Pediatric'!H28:H28)</f>
        <v>325068.63131180609</v>
      </c>
      <c r="J16" s="131">
        <f t="shared" si="0"/>
        <v>-128795.06999999989</v>
      </c>
      <c r="K16" s="130"/>
      <c r="L16" s="130"/>
    </row>
    <row r="17" spans="1:16" x14ac:dyDescent="0.4">
      <c r="A17" s="134" t="s">
        <v>126</v>
      </c>
      <c r="B17" s="121" t="s">
        <v>127</v>
      </c>
      <c r="E17" s="135">
        <f>SUM('#1-Meritus:#5034-Mt Washington Pediatric'!D29:D29)</f>
        <v>47619714.904415637</v>
      </c>
      <c r="F17" s="135">
        <f>SUM('#1-Meritus:#5034-Mt Washington Pediatric'!E29:E29)</f>
        <v>19972606.904032104</v>
      </c>
      <c r="G17" s="135">
        <f>SUM('#1-Meritus:#5034-Mt Washington Pediatric'!F29:F29)</f>
        <v>1568177.6500000001</v>
      </c>
      <c r="H17" s="135">
        <f>SUM('#1-Meritus:#5034-Mt Washington Pediatric'!G29:G29)</f>
        <v>3317591.561712692</v>
      </c>
      <c r="I17" s="135">
        <f>SUM('#1-Meritus:#5034-Mt Washington Pediatric'!H29:H29)</f>
        <v>62706552.596735038</v>
      </c>
      <c r="J17" s="131">
        <f t="shared" si="0"/>
        <v>42733945.692702934</v>
      </c>
      <c r="K17" s="130"/>
      <c r="L17" s="130"/>
    </row>
    <row r="18" spans="1:16" x14ac:dyDescent="0.4">
      <c r="A18" s="136" t="s">
        <v>128</v>
      </c>
      <c r="B18" s="487" t="s">
        <v>129</v>
      </c>
      <c r="C18" s="488"/>
      <c r="D18" s="137"/>
      <c r="E18" s="135">
        <f>SUM('#1-Meritus:#5034-Mt Washington Pediatric'!D30:D30)</f>
        <v>9773615.5229097977</v>
      </c>
      <c r="F18" s="135">
        <f>SUM('#1-Meritus:#5034-Mt Washington Pediatric'!E30:E30)</f>
        <v>5255299.3360151947</v>
      </c>
      <c r="G18" s="135">
        <f>SUM('#1-Meritus:#5034-Mt Washington Pediatric'!F30:F30)</f>
        <v>2967046</v>
      </c>
      <c r="H18" s="135">
        <f>SUM('#1-Meritus:#5034-Mt Washington Pediatric'!G30:G30)</f>
        <v>198283</v>
      </c>
      <c r="I18" s="135">
        <f>SUM('#1-Meritus:#5034-Mt Washington Pediatric'!H30:H30)</f>
        <v>11863585.858924992</v>
      </c>
      <c r="J18" s="131">
        <f t="shared" si="0"/>
        <v>6608286.5229097977</v>
      </c>
      <c r="K18" s="130"/>
      <c r="L18" s="130"/>
      <c r="M18" s="130"/>
      <c r="N18" s="130"/>
      <c r="O18" s="130"/>
      <c r="P18" s="130"/>
    </row>
    <row r="19" spans="1:16" x14ac:dyDescent="0.4">
      <c r="A19" s="136" t="s">
        <v>130</v>
      </c>
      <c r="B19" s="487" t="s">
        <v>129</v>
      </c>
      <c r="C19" s="488"/>
      <c r="D19" s="137"/>
      <c r="E19" s="135">
        <f>SUM('#1-Meritus:#5034-Mt Washington Pediatric'!D31:D31)</f>
        <v>386623.05731</v>
      </c>
      <c r="F19" s="135">
        <f>SUM('#1-Meritus:#5034-Mt Washington Pediatric'!E31:E31)</f>
        <v>175151.21749339357</v>
      </c>
      <c r="G19" s="135">
        <f>SUM('#1-Meritus:#5034-Mt Washington Pediatric'!F31:F31)</f>
        <v>0</v>
      </c>
      <c r="H19" s="135">
        <f>SUM('#1-Meritus:#5034-Mt Washington Pediatric'!G31:G31)</f>
        <v>0</v>
      </c>
      <c r="I19" s="135">
        <f>SUM('#1-Meritus:#5034-Mt Washington Pediatric'!H31:H31)</f>
        <v>561774.27480339352</v>
      </c>
      <c r="J19" s="131">
        <f t="shared" si="0"/>
        <v>386623.05730999995</v>
      </c>
      <c r="K19" s="130"/>
      <c r="L19" s="130"/>
    </row>
    <row r="20" spans="1:16" x14ac:dyDescent="0.4">
      <c r="A20" s="136" t="s">
        <v>131</v>
      </c>
      <c r="B20" s="138" t="s">
        <v>129</v>
      </c>
      <c r="C20" s="139"/>
      <c r="D20" s="137"/>
      <c r="E20" s="135">
        <f>SUM('#1-Meritus:#5034-Mt Washington Pediatric'!D32:D32)</f>
        <v>744615.71488783939</v>
      </c>
      <c r="F20" s="135">
        <f>SUM('#1-Meritus:#5034-Mt Washington Pediatric'!E32:E32)</f>
        <v>569097.10721923667</v>
      </c>
      <c r="G20" s="135">
        <f>SUM('#1-Meritus:#5034-Mt Washington Pediatric'!F32:F32)</f>
        <v>0</v>
      </c>
      <c r="H20" s="135">
        <f>SUM('#1-Meritus:#5034-Mt Washington Pediatric'!G32:G32)</f>
        <v>0</v>
      </c>
      <c r="I20" s="135">
        <f>SUM('#1-Meritus:#5034-Mt Washington Pediatric'!H32:H32)</f>
        <v>1313712.8221070759</v>
      </c>
      <c r="J20" s="131">
        <f t="shared" si="0"/>
        <v>744615.71488783928</v>
      </c>
      <c r="K20" s="130"/>
      <c r="L20" s="130"/>
    </row>
    <row r="21" spans="1:16" x14ac:dyDescent="0.4">
      <c r="A21" s="136" t="s">
        <v>132</v>
      </c>
      <c r="B21" s="138" t="s">
        <v>129</v>
      </c>
      <c r="C21" s="139"/>
      <c r="D21" s="137"/>
      <c r="E21" s="135">
        <f>SUM('#1-Meritus:#5034-Mt Washington Pediatric'!D33:D33)</f>
        <v>424314</v>
      </c>
      <c r="F21" s="135">
        <f>SUM('#1-Meritus:#5034-Mt Washington Pediatric'!E33:E33)</f>
        <v>122203</v>
      </c>
      <c r="G21" s="135">
        <f>SUM('#1-Meritus:#5034-Mt Washington Pediatric'!F33:F33)</f>
        <v>0</v>
      </c>
      <c r="H21" s="135">
        <f>SUM('#1-Meritus:#5034-Mt Washington Pediatric'!G33:G33)</f>
        <v>0</v>
      </c>
      <c r="I21" s="135">
        <f>SUM('#1-Meritus:#5034-Mt Washington Pediatric'!H33:H33)</f>
        <v>546517</v>
      </c>
      <c r="J21" s="131">
        <f t="shared" si="0"/>
        <v>424314</v>
      </c>
      <c r="K21" s="130"/>
      <c r="L21" s="130"/>
    </row>
    <row r="22" spans="1:16" x14ac:dyDescent="0.4">
      <c r="A22" s="136" t="s">
        <v>133</v>
      </c>
      <c r="B22" s="487" t="s">
        <v>129</v>
      </c>
      <c r="C22" s="488"/>
      <c r="D22" s="137"/>
      <c r="E22" s="135">
        <f>SUM('#1-Meritus:#5034-Mt Washington Pediatric'!D34:D34)</f>
        <v>0</v>
      </c>
      <c r="F22" s="135">
        <f>SUM('#1-Meritus:#5034-Mt Washington Pediatric'!E34:E34)</f>
        <v>0</v>
      </c>
      <c r="G22" s="135">
        <f>SUM('#1-Meritus:#5034-Mt Washington Pediatric'!F34:F34)</f>
        <v>0</v>
      </c>
      <c r="H22" s="135">
        <f>SUM('#1-Meritus:#5034-Mt Washington Pediatric'!G34:G34)</f>
        <v>0</v>
      </c>
      <c r="I22" s="135">
        <f>SUM('#1-Meritus:#5034-Mt Washington Pediatric'!H34:H34)</f>
        <v>0</v>
      </c>
      <c r="J22" s="131">
        <f t="shared" si="0"/>
        <v>0</v>
      </c>
      <c r="K22" s="130"/>
      <c r="L22" s="130"/>
    </row>
    <row r="23" spans="1:16" x14ac:dyDescent="0.4">
      <c r="D23" s="129"/>
      <c r="E23" s="140"/>
      <c r="F23" s="140"/>
      <c r="G23" s="140"/>
      <c r="H23" s="140"/>
      <c r="I23" s="140"/>
      <c r="J23" s="141"/>
      <c r="K23" s="130"/>
      <c r="L23" s="130"/>
    </row>
    <row r="24" spans="1:16" x14ac:dyDescent="0.4">
      <c r="A24" s="124" t="s">
        <v>134</v>
      </c>
      <c r="B24" s="129" t="s">
        <v>135</v>
      </c>
      <c r="E24" s="131">
        <f>SUM(E9:E22)</f>
        <v>110425899.55384168</v>
      </c>
      <c r="F24" s="131">
        <f>SUM(F9:F22)</f>
        <v>48523365.352887727</v>
      </c>
      <c r="G24" s="131">
        <f>SUM(G9:G22)</f>
        <v>5721877.71</v>
      </c>
      <c r="H24" s="131">
        <f>SUM(H9:H22)</f>
        <v>11388748.271712692</v>
      </c>
      <c r="I24" s="131">
        <f>SUM(I9:I22)</f>
        <v>141838638.92501673</v>
      </c>
      <c r="J24" s="131">
        <f>I24-F24</f>
        <v>93315273.572129011</v>
      </c>
      <c r="K24" s="130"/>
      <c r="L24" s="130"/>
    </row>
    <row r="25" spans="1:16" x14ac:dyDescent="0.4">
      <c r="A25" s="124"/>
      <c r="B25" s="129"/>
      <c r="E25" s="142"/>
      <c r="F25" s="142"/>
      <c r="G25" s="142"/>
      <c r="H25" s="142"/>
      <c r="I25" s="142"/>
      <c r="J25" s="142"/>
      <c r="K25" s="130"/>
      <c r="L25" s="130"/>
    </row>
    <row r="26" spans="1:16" x14ac:dyDescent="0.4">
      <c r="A26" s="124"/>
      <c r="B26" s="129"/>
      <c r="E26" s="130"/>
      <c r="F26" s="130"/>
      <c r="G26" s="130"/>
      <c r="H26" s="143"/>
      <c r="I26" s="143"/>
      <c r="J26" s="144"/>
      <c r="K26" s="130"/>
      <c r="L26" s="130"/>
    </row>
    <row r="27" spans="1:16" ht="50.25" customHeight="1" x14ac:dyDescent="0.4">
      <c r="A27" s="125"/>
      <c r="B27" s="125"/>
      <c r="E27" s="127" t="s">
        <v>106</v>
      </c>
      <c r="F27" s="127" t="s">
        <v>107</v>
      </c>
      <c r="G27" s="182" t="s">
        <v>679</v>
      </c>
      <c r="H27" s="127" t="s">
        <v>680</v>
      </c>
      <c r="I27" s="128" t="s">
        <v>681</v>
      </c>
      <c r="J27" s="127" t="s">
        <v>682</v>
      </c>
      <c r="K27" s="130"/>
    </row>
    <row r="28" spans="1:16" x14ac:dyDescent="0.4">
      <c r="A28" s="124" t="s">
        <v>136</v>
      </c>
      <c r="B28" s="124"/>
      <c r="C28" s="129" t="s">
        <v>137</v>
      </c>
      <c r="H28" s="132"/>
      <c r="I28" s="133"/>
      <c r="K28" s="130"/>
      <c r="L28" s="130"/>
    </row>
    <row r="29" spans="1:16" x14ac:dyDescent="0.4">
      <c r="A29" s="134" t="s">
        <v>138</v>
      </c>
      <c r="B29" s="134"/>
      <c r="C29" s="129" t="s">
        <v>139</v>
      </c>
      <c r="D29" s="129"/>
      <c r="E29" s="135">
        <f>SUM('#1-Meritus:#5034-Mt Washington Pediatric'!D40:D40)</f>
        <v>375662840.02998209</v>
      </c>
      <c r="F29" s="135">
        <f>SUM('#1-Meritus:#5034-Mt Washington Pediatric'!E40:E40)</f>
        <v>197265565.94350845</v>
      </c>
      <c r="G29" s="135">
        <f>SUM('#1-Meritus:#5034-Mt Washington Pediatric'!F40:F40)</f>
        <v>553680</v>
      </c>
      <c r="H29" s="135">
        <f>SUM('#1-Meritus:#5034-Mt Washington Pediatric'!G40:G40)</f>
        <v>2767623.9799999995</v>
      </c>
      <c r="I29" s="135">
        <f>SUM('#1-Meritus:#5034-Mt Washington Pediatric'!H40:H40)</f>
        <v>569607101.99349058</v>
      </c>
      <c r="J29" s="131">
        <f>I29-F29</f>
        <v>372341536.04998213</v>
      </c>
      <c r="K29" s="130"/>
      <c r="L29" s="130"/>
    </row>
    <row r="30" spans="1:16" x14ac:dyDescent="0.4">
      <c r="A30" s="134" t="s">
        <v>140</v>
      </c>
      <c r="B30" s="134"/>
      <c r="C30" s="121" t="s">
        <v>141</v>
      </c>
      <c r="E30" s="135">
        <f>SUM('#1-Meritus:#5034-Mt Washington Pediatric'!D41:D41)</f>
        <v>25667172.574905466</v>
      </c>
      <c r="F30" s="135">
        <f>SUM('#1-Meritus:#5034-Mt Washington Pediatric'!E41:E41)</f>
        <v>15106674.538358504</v>
      </c>
      <c r="G30" s="135">
        <f>SUM('#1-Meritus:#5034-Mt Washington Pediatric'!F41:F41)</f>
        <v>0</v>
      </c>
      <c r="H30" s="135">
        <f>SUM('#1-Meritus:#5034-Mt Washington Pediatric'!G41:G41)</f>
        <v>202182.28</v>
      </c>
      <c r="I30" s="135">
        <f>SUM('#1-Meritus:#5034-Mt Washington Pediatric'!H41:H41)</f>
        <v>40571664.833263986</v>
      </c>
      <c r="J30" s="131">
        <f t="shared" ref="J30:J38" si="1">I30-F30</f>
        <v>25464990.294905484</v>
      </c>
      <c r="K30" s="130"/>
      <c r="L30" s="130"/>
    </row>
    <row r="31" spans="1:16" x14ac:dyDescent="0.4">
      <c r="A31" s="134" t="s">
        <v>142</v>
      </c>
      <c r="B31" s="134"/>
      <c r="C31" s="121" t="s">
        <v>143</v>
      </c>
      <c r="D31" s="145"/>
      <c r="E31" s="135">
        <f>SUM('#1-Meritus:#5034-Mt Washington Pediatric'!D42:D42)</f>
        <v>16655502.599438069</v>
      </c>
      <c r="F31" s="135">
        <f>SUM('#1-Meritus:#5034-Mt Washington Pediatric'!E42:E42)</f>
        <v>9209002.461896427</v>
      </c>
      <c r="G31" s="135">
        <f>SUM('#1-Meritus:#5034-Mt Washington Pediatric'!F42:F42)</f>
        <v>0</v>
      </c>
      <c r="H31" s="135">
        <f>SUM('#1-Meritus:#5034-Mt Washington Pediatric'!G42:G42)</f>
        <v>120363</v>
      </c>
      <c r="I31" s="135">
        <f>SUM('#1-Meritus:#5034-Mt Washington Pediatric'!H42:H42)</f>
        <v>25744142.061334502</v>
      </c>
      <c r="J31" s="131">
        <f t="shared" si="1"/>
        <v>16535139.599438075</v>
      </c>
      <c r="K31" s="130"/>
      <c r="L31" s="130"/>
    </row>
    <row r="32" spans="1:16" x14ac:dyDescent="0.4">
      <c r="A32" s="134" t="s">
        <v>144</v>
      </c>
      <c r="B32" s="134"/>
      <c r="C32" s="121" t="s">
        <v>145</v>
      </c>
      <c r="E32" s="135">
        <f>SUM('#1-Meritus:#5034-Mt Washington Pediatric'!D43:D43)</f>
        <v>3143919</v>
      </c>
      <c r="F32" s="135">
        <f>SUM('#1-Meritus:#5034-Mt Washington Pediatric'!E43:E43)</f>
        <v>1616682.9221999999</v>
      </c>
      <c r="G32" s="135">
        <f>SUM('#1-Meritus:#5034-Mt Washington Pediatric'!F43:F43)</f>
        <v>0</v>
      </c>
      <c r="H32" s="135">
        <f>SUM('#1-Meritus:#5034-Mt Washington Pediatric'!G43:G43)</f>
        <v>0</v>
      </c>
      <c r="I32" s="135">
        <f>SUM('#1-Meritus:#5034-Mt Washington Pediatric'!H43:H43)</f>
        <v>4760601.9221999999</v>
      </c>
      <c r="J32" s="131">
        <f t="shared" si="1"/>
        <v>3143919</v>
      </c>
      <c r="K32" s="130"/>
      <c r="L32" s="130"/>
    </row>
    <row r="33" spans="1:16" x14ac:dyDescent="0.4">
      <c r="A33" s="136" t="s">
        <v>146</v>
      </c>
      <c r="B33" s="134"/>
      <c r="C33" s="138" t="s">
        <v>129</v>
      </c>
      <c r="D33" s="52"/>
      <c r="E33" s="135">
        <f>SUM('#1-Meritus:#5034-Mt Washington Pediatric'!D44:D44)</f>
        <v>1631604.2602425369</v>
      </c>
      <c r="F33" s="135">
        <f>SUM('#1-Meritus:#5034-Mt Washington Pediatric'!E44:E44)</f>
        <v>866262.25534201635</v>
      </c>
      <c r="G33" s="135">
        <f>SUM('#1-Meritus:#5034-Mt Washington Pediatric'!F44:F44)</f>
        <v>0</v>
      </c>
      <c r="H33" s="135">
        <f>SUM('#1-Meritus:#5034-Mt Washington Pediatric'!G44:G44)</f>
        <v>63125</v>
      </c>
      <c r="I33" s="135">
        <f>SUM('#1-Meritus:#5034-Mt Washington Pediatric'!H44:H44)</f>
        <v>2434741.5155845527</v>
      </c>
      <c r="J33" s="131">
        <f t="shared" si="1"/>
        <v>1568479.2602425362</v>
      </c>
      <c r="K33" s="130"/>
      <c r="L33" s="130"/>
      <c r="M33" s="130"/>
      <c r="N33" s="130"/>
      <c r="O33" s="130"/>
      <c r="P33" s="130"/>
    </row>
    <row r="34" spans="1:16" x14ac:dyDescent="0.4">
      <c r="A34" s="136" t="s">
        <v>147</v>
      </c>
      <c r="C34" s="138" t="s">
        <v>129</v>
      </c>
      <c r="D34" s="52"/>
      <c r="E34" s="135">
        <f>SUM('#1-Meritus:#5034-Mt Washington Pediatric'!D45:D45)</f>
        <v>605319.81999999995</v>
      </c>
      <c r="F34" s="135">
        <f>SUM('#1-Meritus:#5034-Mt Washington Pediatric'!E45:E45)</f>
        <v>587515.36909549148</v>
      </c>
      <c r="G34" s="135">
        <f>SUM('#1-Meritus:#5034-Mt Washington Pediatric'!F45:F45)</f>
        <v>0</v>
      </c>
      <c r="H34" s="135">
        <f>SUM('#1-Meritus:#5034-Mt Washington Pediatric'!G45:G45)</f>
        <v>622171.42000000004</v>
      </c>
      <c r="I34" s="135">
        <f>SUM('#1-Meritus:#5034-Mt Washington Pediatric'!H45:H45)</f>
        <v>570663.7690954915</v>
      </c>
      <c r="J34" s="131">
        <f t="shared" si="1"/>
        <v>-16851.599999999977</v>
      </c>
      <c r="K34" s="130"/>
      <c r="L34" s="130"/>
    </row>
    <row r="35" spans="1:16" x14ac:dyDescent="0.4">
      <c r="A35" s="136" t="s">
        <v>148</v>
      </c>
      <c r="C35" s="138" t="s">
        <v>129</v>
      </c>
      <c r="D35" s="52"/>
      <c r="E35" s="135">
        <f>SUM('#1-Meritus:#5034-Mt Washington Pediatric'!D46:D46)</f>
        <v>67945.756800000003</v>
      </c>
      <c r="F35" s="135">
        <f>SUM('#1-Meritus:#5034-Mt Washington Pediatric'!E46:E46)</f>
        <v>65947.248158542876</v>
      </c>
      <c r="G35" s="135">
        <f>SUM('#1-Meritus:#5034-Mt Washington Pediatric'!F46:F46)</f>
        <v>0</v>
      </c>
      <c r="H35" s="135">
        <f>SUM('#1-Meritus:#5034-Mt Washington Pediatric'!G46:G46)</f>
        <v>0</v>
      </c>
      <c r="I35" s="135">
        <f>SUM('#1-Meritus:#5034-Mt Washington Pediatric'!H46:H46)</f>
        <v>133893.00495854288</v>
      </c>
      <c r="J35" s="131">
        <f t="shared" si="1"/>
        <v>67945.756800000003</v>
      </c>
      <c r="K35" s="130"/>
      <c r="L35" s="130"/>
    </row>
    <row r="36" spans="1:16" x14ac:dyDescent="0.4">
      <c r="A36" s="136" t="s">
        <v>149</v>
      </c>
      <c r="C36" s="138" t="s">
        <v>129</v>
      </c>
      <c r="D36" s="52"/>
      <c r="E36" s="135">
        <f>SUM('#1-Meritus:#5034-Mt Washington Pediatric'!D47:D47)</f>
        <v>0</v>
      </c>
      <c r="F36" s="135">
        <f>SUM('#1-Meritus:#5034-Mt Washington Pediatric'!E47:E47)</f>
        <v>0</v>
      </c>
      <c r="G36" s="135">
        <f>SUM('#1-Meritus:#5034-Mt Washington Pediatric'!F47:F47)</f>
        <v>0</v>
      </c>
      <c r="H36" s="135">
        <f>SUM('#1-Meritus:#5034-Mt Washington Pediatric'!G47:G47)</f>
        <v>0</v>
      </c>
      <c r="I36" s="135">
        <f>SUM('#1-Meritus:#5034-Mt Washington Pediatric'!H47:H47)</f>
        <v>0</v>
      </c>
      <c r="J36" s="131">
        <f t="shared" si="1"/>
        <v>0</v>
      </c>
      <c r="K36" s="130"/>
      <c r="L36" s="130"/>
    </row>
    <row r="37" spans="1:16" x14ac:dyDescent="0.4">
      <c r="A37" s="136"/>
      <c r="C37" s="146"/>
      <c r="D37" s="147"/>
      <c r="E37" s="148"/>
      <c r="F37" s="148"/>
      <c r="G37" s="148"/>
      <c r="H37" s="148"/>
      <c r="I37" s="148"/>
      <c r="J37" s="149"/>
      <c r="K37" s="130"/>
      <c r="L37" s="130"/>
    </row>
    <row r="38" spans="1:16" x14ac:dyDescent="0.4">
      <c r="A38" s="125" t="s">
        <v>150</v>
      </c>
      <c r="B38" s="125"/>
      <c r="C38" s="129" t="s">
        <v>151</v>
      </c>
      <c r="E38" s="131">
        <f>SUM(E29:E36)</f>
        <v>423434304.04136813</v>
      </c>
      <c r="F38" s="131">
        <f>SUM(F29:F36)</f>
        <v>224717650.73855942</v>
      </c>
      <c r="G38" s="131">
        <f>SUM(G29:G36)</f>
        <v>553680</v>
      </c>
      <c r="H38" s="131">
        <f>SUM(H29:H36)</f>
        <v>3775465.6799999992</v>
      </c>
      <c r="I38" s="131">
        <f>SUM(I29:I36)</f>
        <v>643822809.09992766</v>
      </c>
      <c r="J38" s="131">
        <f t="shared" si="1"/>
        <v>419105158.36136824</v>
      </c>
      <c r="K38" s="130"/>
      <c r="L38" s="130"/>
    </row>
    <row r="39" spans="1:16" x14ac:dyDescent="0.4">
      <c r="A39" s="125"/>
      <c r="B39" s="125"/>
      <c r="E39" s="130"/>
      <c r="F39" s="130"/>
      <c r="G39" s="130"/>
      <c r="H39" s="130"/>
      <c r="I39" s="142"/>
      <c r="J39" s="130"/>
      <c r="K39" s="130"/>
      <c r="L39" s="130"/>
    </row>
    <row r="40" spans="1:16" x14ac:dyDescent="0.4">
      <c r="A40" s="125"/>
      <c r="B40" s="125"/>
      <c r="E40" s="130"/>
      <c r="F40" s="130"/>
      <c r="G40" s="130"/>
      <c r="H40" s="130"/>
      <c r="I40" s="130"/>
      <c r="J40" s="130"/>
      <c r="K40" s="130"/>
      <c r="L40" s="130"/>
    </row>
    <row r="41" spans="1:16" ht="37.799999999999997" x14ac:dyDescent="0.55000000000000004">
      <c r="A41" s="125"/>
      <c r="B41" s="125"/>
      <c r="E41" s="127" t="s">
        <v>106</v>
      </c>
      <c r="F41" s="127" t="s">
        <v>107</v>
      </c>
      <c r="G41" s="182" t="s">
        <v>679</v>
      </c>
      <c r="H41" s="127" t="s">
        <v>680</v>
      </c>
      <c r="I41" s="128" t="s">
        <v>681</v>
      </c>
      <c r="J41" s="127" t="s">
        <v>682</v>
      </c>
      <c r="K41" s="130"/>
      <c r="L41" s="20"/>
    </row>
    <row r="42" spans="1:16" x14ac:dyDescent="0.4">
      <c r="A42" s="124" t="s">
        <v>152</v>
      </c>
      <c r="B42" s="125"/>
      <c r="C42" s="150" t="s">
        <v>153</v>
      </c>
      <c r="H42" s="132"/>
      <c r="I42" s="133"/>
      <c r="K42" s="130"/>
      <c r="L42" s="130"/>
    </row>
    <row r="43" spans="1:16" x14ac:dyDescent="0.4">
      <c r="B43" s="124"/>
      <c r="C43" s="129" t="s">
        <v>151</v>
      </c>
      <c r="D43" s="150"/>
      <c r="E43" s="135">
        <f>SUM('#1-Meritus:#5034-Mt Washington Pediatric'!D64:D64)</f>
        <v>917250600.59170413</v>
      </c>
      <c r="F43" s="135">
        <f>SUM('#1-Meritus:#5034-Mt Washington Pediatric'!E64:E64)</f>
        <v>141011014.1627827</v>
      </c>
      <c r="G43" s="135">
        <f>SUM('#1-Meritus:#5034-Mt Washington Pediatric'!F64:F64)</f>
        <v>338049</v>
      </c>
      <c r="H43" s="135">
        <f>SUM('#1-Meritus:#5034-Mt Washington Pediatric'!G64:G64)</f>
        <v>355159307.04039192</v>
      </c>
      <c r="I43" s="135">
        <f>SUM('#1-Meritus:#5034-Mt Washington Pediatric'!H64:H64)</f>
        <v>702764258.71409476</v>
      </c>
      <c r="J43" s="131">
        <f>I43-F43</f>
        <v>561753244.55131209</v>
      </c>
      <c r="K43" s="130"/>
      <c r="L43" s="130"/>
    </row>
    <row r="44" spans="1:16" x14ac:dyDescent="0.4">
      <c r="A44" s="134"/>
      <c r="B44" s="134"/>
      <c r="E44" s="151"/>
      <c r="F44" s="151"/>
      <c r="G44" s="151"/>
      <c r="H44" s="151"/>
      <c r="I44" s="142"/>
      <c r="J44" s="152"/>
      <c r="K44" s="130"/>
      <c r="L44" s="130"/>
    </row>
    <row r="45" spans="1:16" x14ac:dyDescent="0.4">
      <c r="A45" s="134"/>
      <c r="B45" s="134"/>
      <c r="H45" s="132"/>
      <c r="I45" s="133"/>
      <c r="J45" s="130"/>
      <c r="K45" s="130"/>
      <c r="L45" s="130"/>
    </row>
    <row r="46" spans="1:16" ht="45.75" customHeight="1" x14ac:dyDescent="0.4">
      <c r="A46" s="124" t="s">
        <v>154</v>
      </c>
      <c r="B46" s="125"/>
      <c r="C46" s="129" t="s">
        <v>155</v>
      </c>
      <c r="E46" s="127" t="s">
        <v>106</v>
      </c>
      <c r="F46" s="127" t="s">
        <v>107</v>
      </c>
      <c r="G46" s="182" t="s">
        <v>679</v>
      </c>
      <c r="H46" s="127" t="s">
        <v>680</v>
      </c>
      <c r="I46" s="128" t="s">
        <v>681</v>
      </c>
      <c r="J46" s="127" t="s">
        <v>682</v>
      </c>
      <c r="K46" s="130"/>
      <c r="L46" s="130"/>
    </row>
    <row r="47" spans="1:16" x14ac:dyDescent="0.4">
      <c r="A47" s="134" t="s">
        <v>156</v>
      </c>
      <c r="B47" s="125"/>
      <c r="C47" s="129" t="s">
        <v>157</v>
      </c>
      <c r="E47" s="135">
        <f>SUM('#1-Meritus:#5034-Mt Washington Pediatric'!D68:D68)</f>
        <v>9133413.1615903433</v>
      </c>
      <c r="F47" s="135">
        <f>SUM('#1-Meritus:#5034-Mt Washington Pediatric'!E68:E68)</f>
        <v>4008917.7843303233</v>
      </c>
      <c r="G47" s="135">
        <f>SUM('#1-Meritus:#5034-Mt Washington Pediatric'!F68:F68)</f>
        <v>0</v>
      </c>
      <c r="H47" s="135">
        <f>SUM('#1-Meritus:#5034-Mt Washington Pediatric'!G68:G68)</f>
        <v>3085010</v>
      </c>
      <c r="I47" s="135">
        <f>SUM('#1-Meritus:#5034-Mt Washington Pediatric'!H68:H68)</f>
        <v>10057320.945920665</v>
      </c>
      <c r="J47" s="131">
        <f>I47-F47</f>
        <v>6048403.1615903415</v>
      </c>
      <c r="K47" s="130"/>
      <c r="L47" s="130"/>
    </row>
    <row r="48" spans="1:16" x14ac:dyDescent="0.4">
      <c r="A48" s="134" t="s">
        <v>158</v>
      </c>
      <c r="B48" s="124"/>
      <c r="C48" s="129" t="s">
        <v>159</v>
      </c>
      <c r="E48" s="135">
        <f>SUM('#1-Meritus:#5034-Mt Washington Pediatric'!D69:D69)</f>
        <v>2896438.710372691</v>
      </c>
      <c r="F48" s="135">
        <f>SUM('#1-Meritus:#5034-Mt Washington Pediatric'!E69:E69)</f>
        <v>857757.68356899323</v>
      </c>
      <c r="G48" s="135">
        <f>SUM('#1-Meritus:#5034-Mt Washington Pediatric'!F69:F69)</f>
        <v>0</v>
      </c>
      <c r="H48" s="135">
        <f>SUM('#1-Meritus:#5034-Mt Washington Pediatric'!G69:G69)</f>
        <v>312658</v>
      </c>
      <c r="I48" s="135">
        <f>SUM('#1-Meritus:#5034-Mt Washington Pediatric'!H69:H69)</f>
        <v>3441538.3939416842</v>
      </c>
      <c r="J48" s="131">
        <f>I48-F48</f>
        <v>2583780.710372691</v>
      </c>
      <c r="K48" s="130"/>
      <c r="L48" s="130"/>
    </row>
    <row r="49" spans="1:12" x14ac:dyDescent="0.4">
      <c r="A49" s="134" t="s">
        <v>160</v>
      </c>
      <c r="B49" s="134"/>
      <c r="C49" s="129" t="s">
        <v>129</v>
      </c>
      <c r="D49" s="129"/>
      <c r="E49" s="135">
        <f>SUM('#1-Meritus:#5034-Mt Washington Pediatric'!D70:D70)</f>
        <v>190681</v>
      </c>
      <c r="F49" s="135">
        <f>SUM('#1-Meritus:#5034-Mt Washington Pediatric'!E70:E70)</f>
        <v>145108</v>
      </c>
      <c r="G49" s="135">
        <f>SUM('#1-Meritus:#5034-Mt Washington Pediatric'!F70:F70)</f>
        <v>0</v>
      </c>
      <c r="H49" s="135">
        <f>SUM('#1-Meritus:#5034-Mt Washington Pediatric'!G70:G70)</f>
        <v>0</v>
      </c>
      <c r="I49" s="135">
        <f>SUM('#1-Meritus:#5034-Mt Washington Pediatric'!H70:H70)</f>
        <v>335789</v>
      </c>
      <c r="J49" s="131">
        <f>I49-F49</f>
        <v>190681</v>
      </c>
      <c r="K49" s="130"/>
      <c r="L49" s="130"/>
    </row>
    <row r="50" spans="1:12" x14ac:dyDescent="0.4">
      <c r="D50" s="129"/>
      <c r="E50" s="140"/>
      <c r="F50" s="140"/>
      <c r="G50" s="140"/>
      <c r="H50" s="140"/>
      <c r="I50" s="140"/>
      <c r="J50" s="141"/>
      <c r="K50" s="130"/>
      <c r="L50" s="130"/>
    </row>
    <row r="51" spans="1:12" x14ac:dyDescent="0.4">
      <c r="A51" s="134" t="s">
        <v>161</v>
      </c>
      <c r="B51" s="134"/>
      <c r="C51" s="129" t="s">
        <v>151</v>
      </c>
      <c r="E51" s="153">
        <f t="shared" ref="E51:J51" si="2">SUM(E47:E49)</f>
        <v>12220532.871963035</v>
      </c>
      <c r="F51" s="153">
        <f t="shared" si="2"/>
        <v>5011783.4678993169</v>
      </c>
      <c r="G51" s="153">
        <f t="shared" si="2"/>
        <v>0</v>
      </c>
      <c r="H51" s="153">
        <f t="shared" si="2"/>
        <v>3397668</v>
      </c>
      <c r="I51" s="153">
        <f t="shared" si="2"/>
        <v>13834648.339862349</v>
      </c>
      <c r="J51" s="153">
        <f t="shared" si="2"/>
        <v>8822864.8719630316</v>
      </c>
      <c r="K51" s="130"/>
      <c r="L51" s="130"/>
    </row>
    <row r="52" spans="1:12" x14ac:dyDescent="0.4">
      <c r="A52" s="134"/>
      <c r="B52" s="134"/>
      <c r="E52" s="154"/>
      <c r="F52" s="154"/>
      <c r="G52" s="154"/>
      <c r="H52" s="154"/>
      <c r="I52" s="142"/>
      <c r="J52" s="144"/>
      <c r="K52" s="130"/>
      <c r="L52" s="130"/>
    </row>
    <row r="53" spans="1:12" ht="46.5" customHeight="1" x14ac:dyDescent="0.5">
      <c r="A53" s="125" t="s">
        <v>162</v>
      </c>
      <c r="B53" s="125"/>
      <c r="C53" s="155" t="s">
        <v>69</v>
      </c>
      <c r="E53" s="127" t="s">
        <v>106</v>
      </c>
      <c r="F53" s="127" t="s">
        <v>107</v>
      </c>
      <c r="G53" s="182" t="s">
        <v>679</v>
      </c>
      <c r="H53" s="127" t="s">
        <v>680</v>
      </c>
      <c r="I53" s="128" t="s">
        <v>681</v>
      </c>
      <c r="J53" s="127" t="s">
        <v>682</v>
      </c>
      <c r="K53" s="130"/>
      <c r="L53" s="130"/>
    </row>
    <row r="54" spans="1:12" ht="15" x14ac:dyDescent="0.5">
      <c r="A54" s="125"/>
      <c r="B54" s="125"/>
      <c r="C54" s="155"/>
      <c r="H54" s="132"/>
      <c r="I54" s="133"/>
      <c r="K54" s="130"/>
      <c r="L54" s="130"/>
    </row>
    <row r="55" spans="1:12" x14ac:dyDescent="0.4">
      <c r="A55" s="134" t="s">
        <v>163</v>
      </c>
      <c r="B55" s="125"/>
      <c r="C55" s="124" t="s">
        <v>164</v>
      </c>
      <c r="E55" s="135">
        <f>SUM('#1-Meritus:#5034-Mt Washington Pediatric'!D77:D77)</f>
        <v>7691207.5735734403</v>
      </c>
      <c r="F55" s="135">
        <f>SUM('#1-Meritus:#5034-Mt Washington Pediatric'!E77:E77)</f>
        <v>1860.0588</v>
      </c>
      <c r="G55" s="135">
        <f>SUM('#1-Meritus:#5034-Mt Washington Pediatric'!F77:F77)</f>
        <v>0</v>
      </c>
      <c r="H55" s="135">
        <f>SUM('#1-Meritus:#5034-Mt Washington Pediatric'!G77:G77)</f>
        <v>200</v>
      </c>
      <c r="I55" s="135">
        <f>SUM('#1-Meritus:#5034-Mt Washington Pediatric'!H77:H77)</f>
        <v>7691007.5735734403</v>
      </c>
      <c r="J55" s="131">
        <f>I55-F55</f>
        <v>7689147.5147734405</v>
      </c>
      <c r="K55" s="422"/>
      <c r="L55" s="130"/>
    </row>
    <row r="56" spans="1:12" x14ac:dyDescent="0.4">
      <c r="A56" s="134" t="s">
        <v>165</v>
      </c>
      <c r="B56" s="124"/>
      <c r="C56" s="124" t="s">
        <v>166</v>
      </c>
      <c r="E56" s="135">
        <f>SUM('#1-Meritus:#5034-Mt Washington Pediatric'!D78:D78)</f>
        <v>3607150.45</v>
      </c>
      <c r="F56" s="135">
        <f>SUM('#1-Meritus:#5034-Mt Washington Pediatric'!E78:E78)</f>
        <v>5373.52</v>
      </c>
      <c r="G56" s="135">
        <f>SUM('#1-Meritus:#5034-Mt Washington Pediatric'!F78:F78)</f>
        <v>242596</v>
      </c>
      <c r="H56" s="135">
        <f>SUM('#1-Meritus:#5034-Mt Washington Pediatric'!G78:G78)</f>
        <v>1438596.9</v>
      </c>
      <c r="I56" s="135">
        <f>SUM('#1-Meritus:#5034-Mt Washington Pediatric'!H78:H78)</f>
        <v>1925957.55</v>
      </c>
      <c r="J56" s="131">
        <f>I56-F56</f>
        <v>1920584.03</v>
      </c>
      <c r="K56" s="422"/>
      <c r="L56" s="130"/>
    </row>
    <row r="57" spans="1:12" x14ac:dyDescent="0.4">
      <c r="A57" s="134" t="s">
        <v>167</v>
      </c>
      <c r="B57" s="134"/>
      <c r="C57" s="124" t="s">
        <v>168</v>
      </c>
      <c r="E57" s="135">
        <f>SUM('#1-Meritus:#5034-Mt Washington Pediatric'!D79:D79)</f>
        <v>3170719.9539886266</v>
      </c>
      <c r="F57" s="135">
        <f>SUM('#1-Meritus:#5034-Mt Washington Pediatric'!E79:E79)</f>
        <v>28858.13</v>
      </c>
      <c r="G57" s="135">
        <f>SUM('#1-Meritus:#5034-Mt Washington Pediatric'!F79:F79)</f>
        <v>0</v>
      </c>
      <c r="H57" s="135">
        <f>SUM('#1-Meritus:#5034-Mt Washington Pediatric'!G79:G79)</f>
        <v>32932</v>
      </c>
      <c r="I57" s="135">
        <f>SUM('#1-Meritus:#5034-Mt Washington Pediatric'!H79:H79)</f>
        <v>3137787.9539886266</v>
      </c>
      <c r="J57" s="131">
        <f>I57-F57</f>
        <v>3108929.8239886267</v>
      </c>
      <c r="K57" s="130"/>
      <c r="L57" s="130"/>
    </row>
    <row r="58" spans="1:12" x14ac:dyDescent="0.4">
      <c r="A58" s="134" t="s">
        <v>169</v>
      </c>
      <c r="B58" s="134"/>
      <c r="C58" s="124" t="s">
        <v>170</v>
      </c>
      <c r="E58" s="135">
        <f>SUM('#1-Meritus:#5034-Mt Washington Pediatric'!D80:D80)</f>
        <v>3299148.0942364894</v>
      </c>
      <c r="F58" s="135">
        <f>SUM('#1-Meritus:#5034-Mt Washington Pediatric'!E80:E80)</f>
        <v>0</v>
      </c>
      <c r="G58" s="135">
        <f>SUM('#1-Meritus:#5034-Mt Washington Pediatric'!F80:F80)</f>
        <v>0</v>
      </c>
      <c r="H58" s="135">
        <f>SUM('#1-Meritus:#5034-Mt Washington Pediatric'!G80:G80)</f>
        <v>0</v>
      </c>
      <c r="I58" s="135">
        <f>SUM('#1-Meritus:#5034-Mt Washington Pediatric'!H80:H80)</f>
        <v>3299148.0942364894</v>
      </c>
      <c r="J58" s="131">
        <f>I58-F58</f>
        <v>3299148.0942364894</v>
      </c>
      <c r="K58" s="130"/>
      <c r="L58" s="130"/>
    </row>
    <row r="59" spans="1:12" x14ac:dyDescent="0.4">
      <c r="A59" s="134"/>
      <c r="B59" s="134"/>
      <c r="C59" s="157"/>
      <c r="E59" s="141"/>
      <c r="F59" s="141"/>
      <c r="G59" s="141"/>
      <c r="H59" s="141"/>
      <c r="I59" s="141"/>
      <c r="J59" s="141"/>
      <c r="K59" s="130"/>
      <c r="L59" s="130"/>
    </row>
    <row r="60" spans="1:12" x14ac:dyDescent="0.4">
      <c r="A60" s="134" t="s">
        <v>171</v>
      </c>
      <c r="B60" s="134"/>
      <c r="C60" s="124" t="s">
        <v>151</v>
      </c>
      <c r="D60" s="157"/>
      <c r="E60" s="153">
        <f t="shared" ref="E60:J60" si="3">SUM(E55:E59)</f>
        <v>17768226.071798556</v>
      </c>
      <c r="F60" s="153">
        <f t="shared" si="3"/>
        <v>36091.7088</v>
      </c>
      <c r="G60" s="153">
        <f t="shared" si="3"/>
        <v>242596</v>
      </c>
      <c r="H60" s="153">
        <f t="shared" si="3"/>
        <v>1471728.9</v>
      </c>
      <c r="I60" s="153">
        <f t="shared" si="3"/>
        <v>16053901.171798557</v>
      </c>
      <c r="J60" s="153">
        <f t="shared" si="3"/>
        <v>16017809.462998558</v>
      </c>
      <c r="K60" s="130"/>
      <c r="L60" s="130"/>
    </row>
    <row r="61" spans="1:12" x14ac:dyDescent="0.4">
      <c r="A61" s="134"/>
      <c r="B61" s="134"/>
      <c r="C61" s="124"/>
      <c r="D61" s="157"/>
      <c r="E61" s="152"/>
      <c r="F61" s="152"/>
      <c r="G61" s="152"/>
      <c r="H61" s="152"/>
      <c r="I61" s="142"/>
      <c r="J61" s="152"/>
      <c r="K61" s="130"/>
      <c r="L61" s="130"/>
    </row>
    <row r="62" spans="1:12" x14ac:dyDescent="0.4">
      <c r="A62" s="134"/>
      <c r="E62" s="158"/>
      <c r="F62" s="158"/>
      <c r="G62" s="158"/>
      <c r="H62" s="158"/>
      <c r="I62" s="158"/>
      <c r="J62" s="158"/>
      <c r="K62" s="130"/>
      <c r="L62" s="130"/>
    </row>
    <row r="63" spans="1:12" x14ac:dyDescent="0.4">
      <c r="A63" s="134"/>
      <c r="B63" s="134"/>
      <c r="C63" s="124"/>
      <c r="H63" s="132"/>
      <c r="I63" s="133"/>
      <c r="K63" s="130"/>
      <c r="L63" s="130"/>
    </row>
    <row r="64" spans="1:12" ht="41.25" customHeight="1" x14ac:dyDescent="0.4">
      <c r="A64" s="124" t="s">
        <v>172</v>
      </c>
      <c r="B64" s="134"/>
      <c r="C64" s="129" t="s">
        <v>173</v>
      </c>
      <c r="E64" s="127" t="s">
        <v>106</v>
      </c>
      <c r="F64" s="127" t="s">
        <v>107</v>
      </c>
      <c r="G64" s="182" t="s">
        <v>679</v>
      </c>
      <c r="H64" s="127" t="s">
        <v>680</v>
      </c>
      <c r="I64" s="128" t="s">
        <v>681</v>
      </c>
      <c r="J64" s="127" t="s">
        <v>682</v>
      </c>
      <c r="K64" s="130"/>
      <c r="L64" s="130"/>
    </row>
    <row r="65" spans="1:12" x14ac:dyDescent="0.4">
      <c r="H65" s="132"/>
      <c r="I65" s="133"/>
      <c r="K65" s="130"/>
      <c r="L65" s="130"/>
    </row>
    <row r="66" spans="1:12" x14ac:dyDescent="0.4">
      <c r="A66" s="134" t="s">
        <v>174</v>
      </c>
      <c r="B66" s="125"/>
      <c r="C66" s="129" t="s">
        <v>175</v>
      </c>
      <c r="E66" s="135">
        <f>SUM('#1-Meritus:#5034-Mt Washington Pediatric'!D86:D86)</f>
        <v>1137733.4891706407</v>
      </c>
      <c r="F66" s="135">
        <f>SUM('#1-Meritus:#5034-Mt Washington Pediatric'!E86:E86)</f>
        <v>143396.26217806819</v>
      </c>
      <c r="G66" s="135">
        <f>SUM('#1-Meritus:#5034-Mt Washington Pediatric'!F86:F86)</f>
        <v>0</v>
      </c>
      <c r="H66" s="135">
        <f>SUM('#1-Meritus:#5034-Mt Washington Pediatric'!G86:G86)</f>
        <v>82281</v>
      </c>
      <c r="I66" s="135">
        <f>SUM('#1-Meritus:#5034-Mt Washington Pediatric'!H86:H86)</f>
        <v>1198848.7513487088</v>
      </c>
      <c r="J66" s="131">
        <f>I66-F66</f>
        <v>1055452.4891706405</v>
      </c>
      <c r="K66" s="130"/>
      <c r="L66" s="130"/>
    </row>
    <row r="67" spans="1:12" x14ac:dyDescent="0.4">
      <c r="A67" s="134" t="s">
        <v>176</v>
      </c>
      <c r="B67" s="124"/>
      <c r="C67" s="129" t="s">
        <v>177</v>
      </c>
      <c r="D67" s="129"/>
      <c r="E67" s="135">
        <f>SUM('#1-Meritus:#5034-Mt Washington Pediatric'!D87:D87)</f>
        <v>623849.87052971893</v>
      </c>
      <c r="F67" s="135">
        <f>SUM('#1-Meritus:#5034-Mt Washington Pediatric'!E87:E87)</f>
        <v>20706.919913034006</v>
      </c>
      <c r="G67" s="135">
        <f>SUM('#1-Meritus:#5034-Mt Washington Pediatric'!F87:F87)</f>
        <v>0</v>
      </c>
      <c r="H67" s="135">
        <f>SUM('#1-Meritus:#5034-Mt Washington Pediatric'!G87:G87)</f>
        <v>0</v>
      </c>
      <c r="I67" s="135">
        <f>SUM('#1-Meritus:#5034-Mt Washington Pediatric'!H87:H87)</f>
        <v>644556.79044275277</v>
      </c>
      <c r="J67" s="131">
        <f t="shared" ref="J67:J76" si="4">I67-F67</f>
        <v>623849.87052971881</v>
      </c>
      <c r="K67" s="130"/>
      <c r="L67" s="130"/>
    </row>
    <row r="68" spans="1:12" x14ac:dyDescent="0.4">
      <c r="A68" s="134" t="s">
        <v>178</v>
      </c>
      <c r="B68" s="134"/>
      <c r="C68" s="129" t="s">
        <v>179</v>
      </c>
      <c r="D68" s="129"/>
      <c r="E68" s="135">
        <f>SUM('#1-Meritus:#5034-Mt Washington Pediatric'!D88:D88)</f>
        <v>7765875.0160586974</v>
      </c>
      <c r="F68" s="135">
        <f>SUM('#1-Meritus:#5034-Mt Washington Pediatric'!E88:E88)</f>
        <v>4452618.9145737598</v>
      </c>
      <c r="G68" s="135">
        <f>SUM('#1-Meritus:#5034-Mt Washington Pediatric'!F88:F88)</f>
        <v>0</v>
      </c>
      <c r="H68" s="135">
        <f>SUM('#1-Meritus:#5034-Mt Washington Pediatric'!G88:G88)</f>
        <v>1360007</v>
      </c>
      <c r="I68" s="135">
        <f>SUM('#1-Meritus:#5034-Mt Washington Pediatric'!H88:H88)</f>
        <v>10858486.930632461</v>
      </c>
      <c r="J68" s="131">
        <f t="shared" si="4"/>
        <v>6405868.0160587011</v>
      </c>
      <c r="K68" s="130"/>
      <c r="L68" s="130"/>
    </row>
    <row r="69" spans="1:12" x14ac:dyDescent="0.4">
      <c r="A69" s="134" t="s">
        <v>180</v>
      </c>
      <c r="B69" s="134"/>
      <c r="C69" s="129" t="s">
        <v>181</v>
      </c>
      <c r="D69" s="129"/>
      <c r="E69" s="135">
        <f>SUM('#1-Meritus:#5034-Mt Washington Pediatric'!D89:D89)</f>
        <v>767633.75059047609</v>
      </c>
      <c r="F69" s="135">
        <f>SUM('#1-Meritus:#5034-Mt Washington Pediatric'!E89:E89)</f>
        <v>416260.90433462331</v>
      </c>
      <c r="G69" s="135">
        <f>SUM('#1-Meritus:#5034-Mt Washington Pediatric'!F89:F89)</f>
        <v>0</v>
      </c>
      <c r="H69" s="135">
        <f>SUM('#1-Meritus:#5034-Mt Washington Pediatric'!G89:G89)</f>
        <v>1560</v>
      </c>
      <c r="I69" s="135">
        <f>SUM('#1-Meritus:#5034-Mt Washington Pediatric'!H89:H89)</f>
        <v>1182334.6549250996</v>
      </c>
      <c r="J69" s="131">
        <f t="shared" si="4"/>
        <v>766073.75059047621</v>
      </c>
      <c r="K69" s="130"/>
      <c r="L69" s="130"/>
    </row>
    <row r="70" spans="1:12" x14ac:dyDescent="0.4">
      <c r="A70" s="134" t="s">
        <v>182</v>
      </c>
      <c r="B70" s="134"/>
      <c r="C70" s="129" t="s">
        <v>183</v>
      </c>
      <c r="D70" s="129"/>
      <c r="E70" s="135">
        <f>SUM('#1-Meritus:#5034-Mt Washington Pediatric'!D90:D90)</f>
        <v>131330.51768098917</v>
      </c>
      <c r="F70" s="135">
        <f>SUM('#1-Meritus:#5034-Mt Washington Pediatric'!E90:E90)</f>
        <v>90331.362917429971</v>
      </c>
      <c r="G70" s="135">
        <f>SUM('#1-Meritus:#5034-Mt Washington Pediatric'!F90:F90)</f>
        <v>0</v>
      </c>
      <c r="H70" s="135">
        <f>SUM('#1-Meritus:#5034-Mt Washington Pediatric'!G90:G90)</f>
        <v>0</v>
      </c>
      <c r="I70" s="135">
        <f>SUM('#1-Meritus:#5034-Mt Washington Pediatric'!H90:H90)</f>
        <v>221661.88059841914</v>
      </c>
      <c r="J70" s="131">
        <f t="shared" si="4"/>
        <v>131330.51768098917</v>
      </c>
      <c r="K70" s="130"/>
      <c r="L70" s="130"/>
    </row>
    <row r="71" spans="1:12" x14ac:dyDescent="0.4">
      <c r="A71" s="134" t="s">
        <v>184</v>
      </c>
      <c r="B71" s="134"/>
      <c r="C71" s="129" t="s">
        <v>185</v>
      </c>
      <c r="D71" s="159"/>
      <c r="E71" s="135">
        <f>SUM('#1-Meritus:#5034-Mt Washington Pediatric'!D91:D91)</f>
        <v>3302943.7245562873</v>
      </c>
      <c r="F71" s="135">
        <f>SUM('#1-Meritus:#5034-Mt Washington Pediatric'!E91:E91)</f>
        <v>1858805.916013717</v>
      </c>
      <c r="G71" s="135">
        <f>SUM('#1-Meritus:#5034-Mt Washington Pediatric'!F91:F91)</f>
        <v>0</v>
      </c>
      <c r="H71" s="135">
        <f>SUM('#1-Meritus:#5034-Mt Washington Pediatric'!G91:G91)</f>
        <v>1321107</v>
      </c>
      <c r="I71" s="135">
        <f>SUM('#1-Meritus:#5034-Mt Washington Pediatric'!H91:H91)</f>
        <v>3840642.640570004</v>
      </c>
      <c r="J71" s="131">
        <f t="shared" si="4"/>
        <v>1981836.7245562871</v>
      </c>
      <c r="K71" s="130"/>
      <c r="L71" s="130"/>
    </row>
    <row r="72" spans="1:12" x14ac:dyDescent="0.4">
      <c r="A72" s="134" t="s">
        <v>186</v>
      </c>
      <c r="B72" s="134"/>
      <c r="C72" s="129" t="s">
        <v>187</v>
      </c>
      <c r="D72" s="129"/>
      <c r="E72" s="135">
        <f>SUM('#1-Meritus:#5034-Mt Washington Pediatric'!D92:D92)</f>
        <v>1258484.6319431099</v>
      </c>
      <c r="F72" s="135">
        <f>SUM('#1-Meritus:#5034-Mt Washington Pediatric'!E92:E92)</f>
        <v>271859.94305764651</v>
      </c>
      <c r="G72" s="135">
        <f>SUM('#1-Meritus:#5034-Mt Washington Pediatric'!F92:F92)</f>
        <v>0</v>
      </c>
      <c r="H72" s="135">
        <f>SUM('#1-Meritus:#5034-Mt Washington Pediatric'!G92:G92)</f>
        <v>2436</v>
      </c>
      <c r="I72" s="135">
        <f>SUM('#1-Meritus:#5034-Mt Washington Pediatric'!H92:H92)</f>
        <v>1527908.5750007567</v>
      </c>
      <c r="J72" s="131">
        <f t="shared" si="4"/>
        <v>1256048.6319431101</v>
      </c>
      <c r="K72" s="130"/>
      <c r="L72" s="130"/>
    </row>
    <row r="73" spans="1:12" x14ac:dyDescent="0.4">
      <c r="A73" s="134" t="s">
        <v>188</v>
      </c>
      <c r="B73" s="134"/>
      <c r="C73" s="129" t="s">
        <v>189</v>
      </c>
      <c r="D73" s="129"/>
      <c r="E73" s="135">
        <f>SUM('#1-Meritus:#5034-Mt Washington Pediatric'!D93:D93)</f>
        <v>3308479.1519270637</v>
      </c>
      <c r="F73" s="135">
        <f>SUM('#1-Meritus:#5034-Mt Washington Pediatric'!E93:E93)</f>
        <v>1662357.7028420144</v>
      </c>
      <c r="G73" s="135">
        <f>SUM('#1-Meritus:#5034-Mt Washington Pediatric'!F93:F93)</f>
        <v>0</v>
      </c>
      <c r="H73" s="135">
        <f>SUM('#1-Meritus:#5034-Mt Washington Pediatric'!G93:G93)</f>
        <v>566935</v>
      </c>
      <c r="I73" s="135">
        <f>SUM('#1-Meritus:#5034-Mt Washington Pediatric'!H93:H93)</f>
        <v>4403901.8547690772</v>
      </c>
      <c r="J73" s="131">
        <f t="shared" si="4"/>
        <v>2741544.1519270628</v>
      </c>
      <c r="K73" s="130"/>
      <c r="L73" s="130"/>
    </row>
    <row r="74" spans="1:12" x14ac:dyDescent="0.4">
      <c r="A74" s="134" t="s">
        <v>190</v>
      </c>
      <c r="B74" s="134"/>
      <c r="C74" s="129" t="s">
        <v>129</v>
      </c>
      <c r="D74" s="129"/>
      <c r="E74" s="135">
        <f>SUM('#1-Meritus:#5034-Mt Washington Pediatric'!D94:D94)</f>
        <v>1354739.3</v>
      </c>
      <c r="F74" s="135">
        <f>SUM('#1-Meritus:#5034-Mt Washington Pediatric'!E94:E94)</f>
        <v>712647.92487600003</v>
      </c>
      <c r="G74" s="135">
        <f>SUM('#1-Meritus:#5034-Mt Washington Pediatric'!F94:F94)</f>
        <v>0</v>
      </c>
      <c r="H74" s="135">
        <f>SUM('#1-Meritus:#5034-Mt Washington Pediatric'!G94:G94)</f>
        <v>0</v>
      </c>
      <c r="I74" s="135">
        <f>SUM('#1-Meritus:#5034-Mt Washington Pediatric'!H94:H94)</f>
        <v>2067387.2248760001</v>
      </c>
      <c r="J74" s="131">
        <f t="shared" si="4"/>
        <v>1354739.3</v>
      </c>
      <c r="K74" s="130"/>
      <c r="L74" s="130"/>
    </row>
    <row r="75" spans="1:12" x14ac:dyDescent="0.4">
      <c r="A75" s="134" t="s">
        <v>191</v>
      </c>
      <c r="B75" s="134"/>
      <c r="C75" s="129" t="s">
        <v>129</v>
      </c>
      <c r="D75" s="129"/>
      <c r="E75" s="135">
        <f>SUM('#1-Meritus:#5034-Mt Washington Pediatric'!D95:D95)</f>
        <v>0</v>
      </c>
      <c r="F75" s="135">
        <f>SUM('#1-Meritus:#5034-Mt Washington Pediatric'!E95:E95)</f>
        <v>0</v>
      </c>
      <c r="G75" s="135">
        <f>SUM('#1-Meritus:#5034-Mt Washington Pediatric'!F95:F95)</f>
        <v>0</v>
      </c>
      <c r="H75" s="135">
        <f>SUM('#1-Meritus:#5034-Mt Washington Pediatric'!G95:G95)</f>
        <v>0</v>
      </c>
      <c r="I75" s="135">
        <f>SUM('#1-Meritus:#5034-Mt Washington Pediatric'!H95:H95)</f>
        <v>0</v>
      </c>
      <c r="J75" s="131">
        <f t="shared" si="4"/>
        <v>0</v>
      </c>
      <c r="K75" s="130"/>
      <c r="L75" s="130"/>
    </row>
    <row r="76" spans="1:12" x14ac:dyDescent="0.4">
      <c r="A76" s="134" t="s">
        <v>192</v>
      </c>
      <c r="B76" s="134"/>
      <c r="C76" s="458"/>
      <c r="D76" s="160"/>
      <c r="E76" s="135">
        <f>SUM('#1-Meritus:#5034-Mt Washington Pediatric'!D96:D96)</f>
        <v>0</v>
      </c>
      <c r="F76" s="135">
        <f>SUM('#1-Meritus:#5034-Mt Washington Pediatric'!E96:E96)</f>
        <v>0</v>
      </c>
      <c r="G76" s="135">
        <f>SUM('#1-Meritus:#5034-Mt Washington Pediatric'!F96:F96)</f>
        <v>0</v>
      </c>
      <c r="H76" s="135">
        <f>SUM('#1-Meritus:#5034-Mt Washington Pediatric'!G96:G96)</f>
        <v>0</v>
      </c>
      <c r="I76" s="135">
        <f>SUM('#1-Meritus:#5034-Mt Washington Pediatric'!H96:H96)</f>
        <v>0</v>
      </c>
      <c r="J76" s="131">
        <f t="shared" si="4"/>
        <v>0</v>
      </c>
      <c r="K76" s="130"/>
      <c r="L76" s="130"/>
    </row>
    <row r="77" spans="1:12" x14ac:dyDescent="0.4">
      <c r="B77" s="134"/>
      <c r="D77" s="129"/>
      <c r="E77" s="144"/>
      <c r="F77" s="144"/>
      <c r="G77" s="144"/>
      <c r="H77" s="144"/>
      <c r="I77" s="144"/>
      <c r="J77" s="130"/>
      <c r="K77" s="130"/>
      <c r="L77" s="130"/>
    </row>
    <row r="78" spans="1:12" x14ac:dyDescent="0.4">
      <c r="A78" s="124" t="s">
        <v>193</v>
      </c>
      <c r="B78" s="134"/>
      <c r="C78" s="129" t="s">
        <v>151</v>
      </c>
      <c r="E78" s="161">
        <f t="shared" ref="E78:J78" si="5">SUM(E66:E76)</f>
        <v>19651069.452456985</v>
      </c>
      <c r="F78" s="161">
        <f t="shared" si="5"/>
        <v>9628985.8507062923</v>
      </c>
      <c r="G78" s="161">
        <f t="shared" si="5"/>
        <v>0</v>
      </c>
      <c r="H78" s="161">
        <f t="shared" si="5"/>
        <v>3334326</v>
      </c>
      <c r="I78" s="161">
        <f t="shared" si="5"/>
        <v>25945729.303163279</v>
      </c>
      <c r="J78" s="161">
        <f t="shared" si="5"/>
        <v>16316743.452456988</v>
      </c>
      <c r="K78" s="130"/>
      <c r="L78" s="130"/>
    </row>
    <row r="79" spans="1:12" x14ac:dyDescent="0.4">
      <c r="A79" s="134"/>
      <c r="B79" s="134"/>
      <c r="C79" s="129"/>
      <c r="E79" s="151"/>
      <c r="F79" s="151"/>
      <c r="G79" s="151"/>
      <c r="H79" s="151"/>
      <c r="I79" s="142"/>
      <c r="J79" s="151"/>
      <c r="K79" s="130"/>
      <c r="L79" s="130"/>
    </row>
    <row r="80" spans="1:12" x14ac:dyDescent="0.4">
      <c r="A80" s="125"/>
      <c r="B80" s="125"/>
      <c r="C80" s="129"/>
      <c r="H80" s="132"/>
      <c r="I80" s="133"/>
      <c r="K80" s="130"/>
      <c r="L80" s="130"/>
    </row>
    <row r="81" spans="1:16" ht="46.5" customHeight="1" x14ac:dyDescent="0.4">
      <c r="A81" s="129" t="s">
        <v>194</v>
      </c>
      <c r="B81" s="129"/>
      <c r="C81" s="129" t="s">
        <v>195</v>
      </c>
      <c r="E81" s="127" t="s">
        <v>106</v>
      </c>
      <c r="F81" s="127" t="s">
        <v>107</v>
      </c>
      <c r="G81" s="182" t="s">
        <v>679</v>
      </c>
      <c r="H81" s="127" t="s">
        <v>680</v>
      </c>
      <c r="I81" s="128" t="s">
        <v>681</v>
      </c>
      <c r="J81" s="127" t="s">
        <v>682</v>
      </c>
      <c r="K81" s="130"/>
      <c r="L81" s="130"/>
    </row>
    <row r="82" spans="1:16" x14ac:dyDescent="0.4">
      <c r="A82" s="125"/>
      <c r="B82" s="125"/>
      <c r="C82" s="129"/>
      <c r="H82" s="132"/>
      <c r="I82" s="133"/>
      <c r="K82" s="130"/>
      <c r="L82" s="130"/>
    </row>
    <row r="83" spans="1:16" x14ac:dyDescent="0.4">
      <c r="A83" s="134" t="s">
        <v>196</v>
      </c>
      <c r="B83" s="125"/>
      <c r="C83" s="121" t="s">
        <v>197</v>
      </c>
      <c r="E83" s="135">
        <f>SUM('#1-Meritus:#5034-Mt Washington Pediatric'!D102:D102)</f>
        <v>6037914.855897693</v>
      </c>
      <c r="F83" s="135">
        <f>SUM('#1-Meritus:#5034-Mt Washington Pediatric'!E102:E102)</f>
        <v>3308982.9448433928</v>
      </c>
      <c r="G83" s="135">
        <f>SUM('#1-Meritus:#5034-Mt Washington Pediatric'!F102:F102)</f>
        <v>179230</v>
      </c>
      <c r="H83" s="135">
        <f>SUM('#1-Meritus:#5034-Mt Washington Pediatric'!G102:G102)</f>
        <v>40258</v>
      </c>
      <c r="I83" s="135">
        <f>SUM('#1-Meritus:#5034-Mt Washington Pediatric'!H102:H102)</f>
        <v>9127409.8007410839</v>
      </c>
      <c r="J83" s="131">
        <f>I83-F83</f>
        <v>5818426.8558976911</v>
      </c>
      <c r="K83" s="130"/>
      <c r="L83" s="130"/>
    </row>
    <row r="84" spans="1:16" x14ac:dyDescent="0.4">
      <c r="A84" s="134" t="s">
        <v>198</v>
      </c>
      <c r="B84" s="124"/>
      <c r="C84" s="121" t="s">
        <v>199</v>
      </c>
      <c r="E84" s="135">
        <f>SUM('#1-Meritus:#5034-Mt Washington Pediatric'!D103:D103)</f>
        <v>1709394.4169399999</v>
      </c>
      <c r="F84" s="135">
        <f>SUM('#1-Meritus:#5034-Mt Washington Pediatric'!E103:E103)</f>
        <v>1201367.0835976952</v>
      </c>
      <c r="G84" s="135">
        <f>SUM('#1-Meritus:#5034-Mt Washington Pediatric'!F103:F103)</f>
        <v>0</v>
      </c>
      <c r="H84" s="135">
        <f>SUM('#1-Meritus:#5034-Mt Washington Pediatric'!G103:G103)</f>
        <v>17016</v>
      </c>
      <c r="I84" s="135">
        <f>SUM('#1-Meritus:#5034-Mt Washington Pediatric'!H103:H103)</f>
        <v>2893745.5005376954</v>
      </c>
      <c r="J84" s="131">
        <f>I84-F84</f>
        <v>1692378.4169400001</v>
      </c>
      <c r="K84" s="130"/>
      <c r="L84" s="130"/>
    </row>
    <row r="85" spans="1:16" x14ac:dyDescent="0.4">
      <c r="A85" s="134" t="s">
        <v>200</v>
      </c>
      <c r="B85" s="134"/>
      <c r="C85" s="121" t="s">
        <v>201</v>
      </c>
      <c r="D85" s="145"/>
      <c r="E85" s="135">
        <f>SUM('#1-Meritus:#5034-Mt Washington Pediatric'!D104:D104)</f>
        <v>1741239.6939999999</v>
      </c>
      <c r="F85" s="135">
        <f>SUM('#1-Meritus:#5034-Mt Washington Pediatric'!E104:E104)</f>
        <v>537302.23011046881</v>
      </c>
      <c r="G85" s="135">
        <f>SUM('#1-Meritus:#5034-Mt Washington Pediatric'!F104:F104)</f>
        <v>0</v>
      </c>
      <c r="H85" s="135">
        <f>SUM('#1-Meritus:#5034-Mt Washington Pediatric'!G104:G104)</f>
        <v>0</v>
      </c>
      <c r="I85" s="135">
        <f>SUM('#1-Meritus:#5034-Mt Washington Pediatric'!H104:H104)</f>
        <v>2278541.9241104685</v>
      </c>
      <c r="J85" s="131">
        <f>I85-F85</f>
        <v>1741239.6939999997</v>
      </c>
      <c r="K85" s="130"/>
      <c r="L85" s="130"/>
    </row>
    <row r="86" spans="1:16" x14ac:dyDescent="0.4">
      <c r="A86" s="134" t="s">
        <v>202</v>
      </c>
      <c r="B86" s="134"/>
      <c r="C86" s="129"/>
      <c r="E86" s="135">
        <f>SUM('#1-Meritus:#5034-Mt Washington Pediatric'!D105:D105)</f>
        <v>15806.065964605032</v>
      </c>
      <c r="F86" s="135">
        <f>SUM('#1-Meritus:#5034-Mt Washington Pediatric'!E105:E105)</f>
        <v>0</v>
      </c>
      <c r="G86" s="135">
        <f>SUM('#1-Meritus:#5034-Mt Washington Pediatric'!F105:F105)</f>
        <v>0</v>
      </c>
      <c r="H86" s="135">
        <f>SUM('#1-Meritus:#5034-Mt Washington Pediatric'!G105:G105)</f>
        <v>0</v>
      </c>
      <c r="I86" s="135">
        <f>SUM('#1-Meritus:#5034-Mt Washington Pediatric'!H105:H105)</f>
        <v>15806.065964605032</v>
      </c>
      <c r="J86" s="131">
        <f>I86-F86</f>
        <v>15806.065964605032</v>
      </c>
      <c r="K86" s="422"/>
      <c r="L86" s="130"/>
    </row>
    <row r="87" spans="1:16" x14ac:dyDescent="0.4">
      <c r="A87" s="134" t="s">
        <v>203</v>
      </c>
      <c r="B87" s="134"/>
      <c r="C87" s="129"/>
      <c r="E87" s="135">
        <f>SUM('#1-Meritus:#5034-Mt Washington Pediatric'!D106:D106)</f>
        <v>0</v>
      </c>
      <c r="F87" s="135">
        <f>SUM('#1-Meritus:#5034-Mt Washington Pediatric'!E106:E106)</f>
        <v>0</v>
      </c>
      <c r="G87" s="135">
        <f>SUM('#1-Meritus:#5034-Mt Washington Pediatric'!F106:F106)</f>
        <v>0</v>
      </c>
      <c r="H87" s="135">
        <f>SUM('#1-Meritus:#5034-Mt Washington Pediatric'!G106:G106)</f>
        <v>0</v>
      </c>
      <c r="I87" s="135">
        <f>SUM('#1-Meritus:#5034-Mt Washington Pediatric'!H106:H106)</f>
        <v>0</v>
      </c>
      <c r="J87" s="131">
        <f>I87-F87</f>
        <v>0</v>
      </c>
      <c r="K87" s="422"/>
      <c r="L87" s="422"/>
      <c r="M87" s="422"/>
      <c r="N87" s="422"/>
      <c r="O87" s="422"/>
      <c r="P87" s="422"/>
    </row>
    <row r="88" spans="1:16" x14ac:dyDescent="0.4">
      <c r="A88" s="134"/>
      <c r="B88" s="134"/>
      <c r="C88" s="129"/>
      <c r="K88" s="422"/>
      <c r="L88" s="130"/>
    </row>
    <row r="89" spans="1:16" x14ac:dyDescent="0.4">
      <c r="A89" s="129" t="s">
        <v>204</v>
      </c>
      <c r="B89" s="125"/>
      <c r="C89" s="129" t="s">
        <v>151</v>
      </c>
      <c r="D89" s="130"/>
      <c r="E89" s="161">
        <f t="shared" ref="E89:J89" si="6">SUM(E83:E87)</f>
        <v>9504355.0328022987</v>
      </c>
      <c r="F89" s="161">
        <f t="shared" si="6"/>
        <v>5047652.2585515566</v>
      </c>
      <c r="G89" s="161">
        <f t="shared" si="6"/>
        <v>179230</v>
      </c>
      <c r="H89" s="161">
        <f t="shared" si="6"/>
        <v>57274</v>
      </c>
      <c r="I89" s="161">
        <f t="shared" si="6"/>
        <v>14315503.291353853</v>
      </c>
      <c r="J89" s="161">
        <f t="shared" si="6"/>
        <v>9267851.0328022968</v>
      </c>
      <c r="K89" s="130"/>
      <c r="L89" s="130"/>
    </row>
    <row r="90" spans="1:16" x14ac:dyDescent="0.4">
      <c r="A90" s="125"/>
      <c r="B90" s="125"/>
      <c r="C90" s="129"/>
      <c r="D90" s="130"/>
      <c r="E90" s="162"/>
      <c r="F90" s="162"/>
      <c r="G90" s="162"/>
      <c r="H90" s="162"/>
      <c r="I90" s="142"/>
      <c r="J90" s="130"/>
      <c r="K90" s="130"/>
      <c r="L90" s="130"/>
    </row>
    <row r="91" spans="1:16" x14ac:dyDescent="0.4">
      <c r="A91" s="125"/>
      <c r="B91" s="125"/>
      <c r="C91" s="129"/>
      <c r="D91" s="130"/>
      <c r="H91" s="132"/>
      <c r="I91" s="133"/>
      <c r="J91" s="130"/>
      <c r="K91" s="130"/>
      <c r="L91" s="130"/>
    </row>
    <row r="92" spans="1:16" x14ac:dyDescent="0.4">
      <c r="A92" s="124" t="s">
        <v>205</v>
      </c>
      <c r="B92" s="125"/>
      <c r="C92" s="129" t="s">
        <v>206</v>
      </c>
      <c r="H92" s="132"/>
      <c r="I92" s="133"/>
      <c r="K92" s="130"/>
      <c r="L92" s="130"/>
    </row>
    <row r="93" spans="1:16" x14ac:dyDescent="0.4">
      <c r="B93" s="125"/>
      <c r="E93" s="163">
        <f>SUM('#1-Meritus:#5034-Mt Washington Pediatric'!H111)</f>
        <v>329992676.29036427</v>
      </c>
      <c r="F93" s="156"/>
      <c r="G93" s="156"/>
      <c r="H93" s="132"/>
      <c r="I93" s="133"/>
      <c r="K93" s="130"/>
      <c r="L93" s="130"/>
    </row>
    <row r="94" spans="1:16" x14ac:dyDescent="0.4">
      <c r="B94" s="124"/>
      <c r="C94" s="129"/>
      <c r="H94" s="132"/>
      <c r="I94" s="133"/>
      <c r="K94" s="130"/>
      <c r="L94" s="130"/>
    </row>
    <row r="95" spans="1:16" x14ac:dyDescent="0.4">
      <c r="A95" s="125"/>
      <c r="B95" s="125"/>
      <c r="H95" s="132"/>
      <c r="I95" s="133"/>
      <c r="K95" s="130"/>
      <c r="L95" s="130"/>
    </row>
    <row r="96" spans="1:16" ht="44.25" customHeight="1" x14ac:dyDescent="0.4">
      <c r="A96" s="125"/>
      <c r="B96" s="125"/>
      <c r="E96" s="127" t="s">
        <v>106</v>
      </c>
      <c r="F96" s="127" t="s">
        <v>107</v>
      </c>
      <c r="G96" s="182" t="s">
        <v>679</v>
      </c>
      <c r="H96" s="127" t="s">
        <v>680</v>
      </c>
      <c r="I96" s="128" t="s">
        <v>681</v>
      </c>
      <c r="J96" s="127" t="s">
        <v>682</v>
      </c>
      <c r="K96" s="130"/>
      <c r="L96" s="130"/>
    </row>
    <row r="97" spans="1:12" x14ac:dyDescent="0.4">
      <c r="A97" s="124" t="s">
        <v>207</v>
      </c>
      <c r="B97" s="134"/>
      <c r="C97" s="129" t="s">
        <v>208</v>
      </c>
      <c r="H97" s="132"/>
      <c r="I97" s="133"/>
      <c r="K97" s="130"/>
      <c r="L97" s="130"/>
    </row>
    <row r="98" spans="1:12" x14ac:dyDescent="0.4">
      <c r="B98" s="125"/>
      <c r="C98" s="129"/>
      <c r="E98" s="158"/>
      <c r="F98" s="158"/>
      <c r="G98" s="158"/>
      <c r="H98" s="158"/>
      <c r="I98" s="158"/>
      <c r="J98" s="158"/>
      <c r="K98" s="130"/>
      <c r="L98" s="130"/>
    </row>
    <row r="99" spans="1:12" x14ac:dyDescent="0.4">
      <c r="A99" s="134" t="s">
        <v>209</v>
      </c>
      <c r="B99" s="124"/>
      <c r="C99" s="129" t="s">
        <v>210</v>
      </c>
      <c r="E99" s="161">
        <f>SUM('#1-Meritus:#5034-Mt Washington Pediatric'!D131)</f>
        <v>740577.72</v>
      </c>
      <c r="F99" s="161">
        <f>SUM('#1-Meritus:#5034-Mt Washington Pediatric'!E131)</f>
        <v>6695.1305866899484</v>
      </c>
      <c r="G99" s="161">
        <f>SUM('#1-Meritus:#5034-Mt Washington Pediatric'!F131)</f>
        <v>0</v>
      </c>
      <c r="H99" s="161">
        <f>SUM('#1-Meritus:#5034-Mt Washington Pediatric'!G131)</f>
        <v>47076.959999999992</v>
      </c>
      <c r="I99" s="161">
        <f>SUM('#1-Meritus:#5034-Mt Washington Pediatric'!H131)</f>
        <v>700195.89058668993</v>
      </c>
      <c r="J99" s="131">
        <f>I99-F99</f>
        <v>693500.76</v>
      </c>
      <c r="K99" s="130"/>
      <c r="L99" s="130"/>
    </row>
    <row r="100" spans="1:12" x14ac:dyDescent="0.4">
      <c r="A100" s="134" t="s">
        <v>211</v>
      </c>
      <c r="B100" s="134"/>
      <c r="C100" s="129" t="s">
        <v>68</v>
      </c>
      <c r="E100" s="161">
        <f>SUM('#1-Meritus:#5034-Mt Washington Pediatric'!D132)</f>
        <v>808996.53</v>
      </c>
      <c r="F100" s="161">
        <f>SUM('#1-Meritus:#5034-Mt Washington Pediatric'!E132)</f>
        <v>0</v>
      </c>
      <c r="G100" s="161">
        <f>SUM('#1-Meritus:#5034-Mt Washington Pediatric'!F132)</f>
        <v>0</v>
      </c>
      <c r="H100" s="161">
        <f>SUM('#1-Meritus:#5034-Mt Washington Pediatric'!G132)</f>
        <v>175000</v>
      </c>
      <c r="I100" s="161">
        <f>SUM('#1-Meritus:#5034-Mt Washington Pediatric'!H132)</f>
        <v>633996.53</v>
      </c>
      <c r="J100" s="131">
        <f>I100-F100</f>
        <v>633996.53</v>
      </c>
      <c r="K100" s="130"/>
      <c r="L100" s="130"/>
    </row>
    <row r="101" spans="1:12" x14ac:dyDescent="0.4">
      <c r="A101" s="134" t="s">
        <v>212</v>
      </c>
      <c r="B101" s="134"/>
      <c r="C101" s="129" t="s">
        <v>129</v>
      </c>
      <c r="E101" s="161">
        <f>SUM('#1-Meritus:#5034-Mt Washington Pediatric'!D133)</f>
        <v>0</v>
      </c>
      <c r="F101" s="161">
        <f>SUM('#1-Meritus:#5034-Mt Washington Pediatric'!E133)</f>
        <v>0</v>
      </c>
      <c r="G101" s="161">
        <f>SUM('#1-Meritus:#5034-Mt Washington Pediatric'!F133)</f>
        <v>0</v>
      </c>
      <c r="H101" s="161">
        <f>SUM('#1-Meritus:#5034-Mt Washington Pediatric'!G133)</f>
        <v>0</v>
      </c>
      <c r="I101" s="161">
        <f>SUM('#1-Meritus:#5034-Mt Washington Pediatric'!H133)</f>
        <v>0</v>
      </c>
      <c r="J101" s="131">
        <f>I101-F101</f>
        <v>0</v>
      </c>
      <c r="K101" s="130"/>
      <c r="L101" s="130"/>
    </row>
    <row r="102" spans="1:12" x14ac:dyDescent="0.4">
      <c r="A102" s="134" t="s">
        <v>213</v>
      </c>
      <c r="B102" s="134"/>
      <c r="C102" s="129" t="s">
        <v>129</v>
      </c>
      <c r="E102" s="161">
        <f>SUM('#1-Meritus:#5034-Mt Washington Pediatric'!D134)</f>
        <v>0</v>
      </c>
      <c r="F102" s="161">
        <f>SUM('#1-Meritus:#5034-Mt Washington Pediatric'!E134)</f>
        <v>0</v>
      </c>
      <c r="G102" s="161">
        <f>SUM('#1-Meritus:#5034-Mt Washington Pediatric'!F134)</f>
        <v>0</v>
      </c>
      <c r="H102" s="161">
        <f>SUM('#1-Meritus:#5034-Mt Washington Pediatric'!G134)</f>
        <v>0</v>
      </c>
      <c r="I102" s="161">
        <f>SUM('#1-Meritus:#5034-Mt Washington Pediatric'!H134)</f>
        <v>0</v>
      </c>
      <c r="J102" s="131">
        <f>I102-F102</f>
        <v>0</v>
      </c>
      <c r="K102" s="130"/>
      <c r="L102" s="130"/>
    </row>
    <row r="103" spans="1:12" x14ac:dyDescent="0.4">
      <c r="A103" s="134" t="s">
        <v>214</v>
      </c>
      <c r="B103" s="134"/>
      <c r="C103" s="129" t="s">
        <v>129</v>
      </c>
      <c r="E103" s="161">
        <f>SUM('#1-Meritus:#5034-Mt Washington Pediatric'!D135)</f>
        <v>0</v>
      </c>
      <c r="F103" s="161">
        <f>SUM('#1-Meritus:#5034-Mt Washington Pediatric'!E135)</f>
        <v>0</v>
      </c>
      <c r="G103" s="161">
        <f>SUM('#1-Meritus:#5034-Mt Washington Pediatric'!F135)</f>
        <v>0</v>
      </c>
      <c r="H103" s="161">
        <f>SUM('#1-Meritus:#5034-Mt Washington Pediatric'!G135)</f>
        <v>0</v>
      </c>
      <c r="I103" s="161">
        <f>SUM('#1-Meritus:#5034-Mt Washington Pediatric'!H135)</f>
        <v>0</v>
      </c>
      <c r="J103" s="131">
        <f>I103-F103</f>
        <v>0</v>
      </c>
      <c r="K103" s="130"/>
      <c r="L103" s="130"/>
    </row>
    <row r="104" spans="1:12" x14ac:dyDescent="0.4">
      <c r="A104" s="134" t="s">
        <v>215</v>
      </c>
      <c r="B104" s="134"/>
      <c r="C104" s="129" t="s">
        <v>151</v>
      </c>
      <c r="E104" s="163">
        <f t="shared" ref="E104:J104" si="7">SUM(E98:E102)</f>
        <v>1549574.25</v>
      </c>
      <c r="F104" s="163">
        <f t="shared" si="7"/>
        <v>6695.1305866899484</v>
      </c>
      <c r="G104" s="163">
        <f t="shared" si="7"/>
        <v>0</v>
      </c>
      <c r="H104" s="163">
        <f t="shared" si="7"/>
        <v>222076.96</v>
      </c>
      <c r="I104" s="163">
        <f t="shared" si="7"/>
        <v>1334192.4205866898</v>
      </c>
      <c r="J104" s="163">
        <f t="shared" si="7"/>
        <v>1327497.29</v>
      </c>
      <c r="K104" s="130"/>
      <c r="L104" s="130"/>
    </row>
    <row r="105" spans="1:12" x14ac:dyDescent="0.4">
      <c r="A105" s="124"/>
      <c r="B105" s="124"/>
      <c r="E105" s="144"/>
      <c r="F105" s="144"/>
      <c r="G105" s="144"/>
      <c r="H105" s="144"/>
      <c r="I105" s="142"/>
      <c r="J105" s="144"/>
    </row>
    <row r="106" spans="1:12" x14ac:dyDescent="0.4">
      <c r="A106" s="125"/>
      <c r="B106" s="125"/>
      <c r="H106" s="132"/>
      <c r="I106" s="133"/>
    </row>
    <row r="107" spans="1:12" ht="46.5" customHeight="1" x14ac:dyDescent="0.4">
      <c r="A107" s="129"/>
      <c r="E107" s="127" t="s">
        <v>106</v>
      </c>
      <c r="F107" s="127" t="s">
        <v>107</v>
      </c>
      <c r="G107" s="182" t="s">
        <v>679</v>
      </c>
      <c r="H107" s="127" t="s">
        <v>680</v>
      </c>
      <c r="I107" s="128" t="s">
        <v>681</v>
      </c>
      <c r="J107" s="127" t="s">
        <v>682</v>
      </c>
    </row>
    <row r="108" spans="1:12" x14ac:dyDescent="0.4">
      <c r="A108" s="121" t="s">
        <v>216</v>
      </c>
      <c r="C108" s="129" t="s">
        <v>217</v>
      </c>
      <c r="H108" s="132"/>
      <c r="I108" s="133"/>
    </row>
    <row r="109" spans="1:12" x14ac:dyDescent="0.4">
      <c r="A109" s="134" t="s">
        <v>218</v>
      </c>
      <c r="B109" s="124"/>
      <c r="C109" s="129" t="s">
        <v>66</v>
      </c>
      <c r="E109" s="164">
        <f>+E24</f>
        <v>110425899.55384168</v>
      </c>
      <c r="F109" s="164">
        <f>+F24</f>
        <v>48523365.352887727</v>
      </c>
      <c r="G109" s="164">
        <f>+G24</f>
        <v>5721877.71</v>
      </c>
      <c r="H109" s="164">
        <f>+H24</f>
        <v>11388748.271712692</v>
      </c>
      <c r="I109" s="131">
        <f>+E109+F109-G109-H109</f>
        <v>141838638.9250167</v>
      </c>
      <c r="J109" s="131">
        <f>+E109-G109-H109</f>
        <v>93315273.572128996</v>
      </c>
      <c r="K109" s="130"/>
      <c r="L109" s="130"/>
    </row>
    <row r="110" spans="1:12" x14ac:dyDescent="0.4">
      <c r="A110" s="134" t="s">
        <v>219</v>
      </c>
      <c r="B110" s="134"/>
      <c r="C110" s="129" t="s">
        <v>220</v>
      </c>
      <c r="E110" s="164">
        <f>+E38</f>
        <v>423434304.04136813</v>
      </c>
      <c r="F110" s="164">
        <f>+F38</f>
        <v>224717650.73855942</v>
      </c>
      <c r="G110" s="164">
        <f>+G38</f>
        <v>553680</v>
      </c>
      <c r="H110" s="164">
        <f>+H38</f>
        <v>3775465.6799999992</v>
      </c>
      <c r="I110" s="131">
        <f t="shared" ref="I110:I118" si="8">+E110+F110-G110-H110</f>
        <v>643822809.09992754</v>
      </c>
      <c r="J110" s="131">
        <f t="shared" ref="J110:J118" si="9">+E110-G110-H110</f>
        <v>419105158.36136812</v>
      </c>
      <c r="K110" s="130"/>
      <c r="L110" s="130"/>
    </row>
    <row r="111" spans="1:12" x14ac:dyDescent="0.4">
      <c r="A111" s="134" t="s">
        <v>221</v>
      </c>
      <c r="B111" s="134"/>
      <c r="C111" s="129" t="s">
        <v>222</v>
      </c>
      <c r="E111" s="164">
        <f>+E43</f>
        <v>917250600.59170413</v>
      </c>
      <c r="F111" s="164">
        <f>+F43</f>
        <v>141011014.1627827</v>
      </c>
      <c r="G111" s="164">
        <f>+G43</f>
        <v>338049</v>
      </c>
      <c r="H111" s="164">
        <f>+H43</f>
        <v>355159307.04039192</v>
      </c>
      <c r="I111" s="131">
        <f t="shared" si="8"/>
        <v>702764258.71409488</v>
      </c>
      <c r="J111" s="131">
        <f t="shared" si="9"/>
        <v>561753244.55131221</v>
      </c>
      <c r="K111" s="130"/>
      <c r="L111" s="130"/>
    </row>
    <row r="112" spans="1:12" x14ac:dyDescent="0.4">
      <c r="A112" s="134" t="s">
        <v>223</v>
      </c>
      <c r="B112" s="134"/>
      <c r="C112" s="129" t="s">
        <v>70</v>
      </c>
      <c r="E112" s="164">
        <f>+E51</f>
        <v>12220532.871963035</v>
      </c>
      <c r="F112" s="164">
        <f>+F51</f>
        <v>5011783.4678993169</v>
      </c>
      <c r="G112" s="164">
        <f>+G51</f>
        <v>0</v>
      </c>
      <c r="H112" s="164">
        <f>+H51</f>
        <v>3397668</v>
      </c>
      <c r="I112" s="131">
        <f t="shared" si="8"/>
        <v>13834648.339862354</v>
      </c>
      <c r="J112" s="131">
        <f t="shared" si="9"/>
        <v>8822864.8719630353</v>
      </c>
      <c r="K112" s="130"/>
      <c r="L112" s="130"/>
    </row>
    <row r="113" spans="1:12" x14ac:dyDescent="0.4">
      <c r="A113" s="134" t="s">
        <v>224</v>
      </c>
      <c r="B113" s="134"/>
      <c r="C113" s="129" t="s">
        <v>69</v>
      </c>
      <c r="E113" s="164">
        <f>+E60</f>
        <v>17768226.071798556</v>
      </c>
      <c r="F113" s="164">
        <f>+F60</f>
        <v>36091.7088</v>
      </c>
      <c r="G113" s="164">
        <f>+G60</f>
        <v>242596</v>
      </c>
      <c r="H113" s="164">
        <f>+H60</f>
        <v>1471728.9</v>
      </c>
      <c r="I113" s="131">
        <f>+E113-G113-H113</f>
        <v>16053901.171798555</v>
      </c>
      <c r="J113" s="131">
        <f t="shared" si="9"/>
        <v>16053901.171798555</v>
      </c>
      <c r="K113" s="130"/>
      <c r="L113" s="130"/>
    </row>
    <row r="114" spans="1:12" x14ac:dyDescent="0.4">
      <c r="A114" s="134" t="s">
        <v>225</v>
      </c>
      <c r="B114" s="134"/>
      <c r="C114" s="129" t="s">
        <v>226</v>
      </c>
      <c r="E114" s="164">
        <f>+E78</f>
        <v>19651069.452456985</v>
      </c>
      <c r="F114" s="164">
        <f>+F78</f>
        <v>9628985.8507062923</v>
      </c>
      <c r="G114" s="164">
        <f>+G78</f>
        <v>0</v>
      </c>
      <c r="H114" s="164">
        <f>+H78</f>
        <v>3334326</v>
      </c>
      <c r="I114" s="131">
        <f t="shared" si="8"/>
        <v>25945729.303163275</v>
      </c>
      <c r="J114" s="131">
        <f t="shared" si="9"/>
        <v>16316743.452456985</v>
      </c>
      <c r="K114" s="130"/>
      <c r="L114" s="130"/>
    </row>
    <row r="115" spans="1:12" x14ac:dyDescent="0.4">
      <c r="A115" s="134" t="s">
        <v>227</v>
      </c>
      <c r="B115" s="134"/>
      <c r="C115" s="129" t="s">
        <v>71</v>
      </c>
      <c r="E115" s="164">
        <f>+E89</f>
        <v>9504355.0328022987</v>
      </c>
      <c r="F115" s="164">
        <f>+F89</f>
        <v>5047652.2585515566</v>
      </c>
      <c r="G115" s="164">
        <f>+G89</f>
        <v>179230</v>
      </c>
      <c r="H115" s="164">
        <f>+H89</f>
        <v>57274</v>
      </c>
      <c r="I115" s="131">
        <f t="shared" si="8"/>
        <v>14315503.291353855</v>
      </c>
      <c r="J115" s="131">
        <f t="shared" si="9"/>
        <v>9267851.0328022987</v>
      </c>
      <c r="K115" s="130"/>
      <c r="L115" s="130"/>
    </row>
    <row r="116" spans="1:12" x14ac:dyDescent="0.4">
      <c r="A116" s="134" t="s">
        <v>228</v>
      </c>
      <c r="B116" s="134"/>
      <c r="C116" s="129" t="s">
        <v>58</v>
      </c>
      <c r="E116" s="166">
        <f>+E93</f>
        <v>329992676.29036427</v>
      </c>
      <c r="F116" s="165">
        <v>0</v>
      </c>
      <c r="G116" s="165">
        <v>0</v>
      </c>
      <c r="H116" s="166">
        <v>0</v>
      </c>
      <c r="I116" s="131">
        <f t="shared" si="8"/>
        <v>329992676.29036427</v>
      </c>
      <c r="J116" s="131">
        <f t="shared" si="9"/>
        <v>329992676.29036427</v>
      </c>
      <c r="K116" s="130"/>
      <c r="L116" s="130"/>
    </row>
    <row r="117" spans="1:12" x14ac:dyDescent="0.4">
      <c r="A117" s="134" t="s">
        <v>229</v>
      </c>
      <c r="B117" s="134"/>
      <c r="C117" s="129" t="s">
        <v>230</v>
      </c>
      <c r="E117" s="164">
        <f>+E104</f>
        <v>1549574.25</v>
      </c>
      <c r="F117" s="164">
        <f>+F104</f>
        <v>6695.1305866899484</v>
      </c>
      <c r="G117" s="164">
        <f>+G104</f>
        <v>0</v>
      </c>
      <c r="H117" s="164">
        <f>+H104</f>
        <v>222076.96</v>
      </c>
      <c r="I117" s="131">
        <f t="shared" si="8"/>
        <v>1334192.4205866901</v>
      </c>
      <c r="J117" s="131">
        <f t="shared" si="9"/>
        <v>1327497.29</v>
      </c>
      <c r="K117" s="130"/>
      <c r="L117" s="130"/>
    </row>
    <row r="118" spans="1:12" x14ac:dyDescent="0.4">
      <c r="A118" s="134" t="s">
        <v>103</v>
      </c>
      <c r="B118" s="134"/>
      <c r="C118" s="129" t="s">
        <v>104</v>
      </c>
      <c r="E118" s="164">
        <f>+E6</f>
        <v>324933117.61702907</v>
      </c>
      <c r="F118" s="164">
        <f>+F6</f>
        <v>0</v>
      </c>
      <c r="G118" s="164">
        <f>+G6</f>
        <v>0</v>
      </c>
      <c r="H118" s="164">
        <f>+H6</f>
        <v>269294869.88475388</v>
      </c>
      <c r="I118" s="131">
        <f t="shared" si="8"/>
        <v>55638247.732275188</v>
      </c>
      <c r="J118" s="131">
        <f t="shared" si="9"/>
        <v>55638247.732275188</v>
      </c>
      <c r="K118" s="130"/>
      <c r="L118" s="130"/>
    </row>
    <row r="119" spans="1:12" x14ac:dyDescent="0.4">
      <c r="A119" s="134"/>
      <c r="B119" s="134"/>
      <c r="C119" s="129"/>
      <c r="E119" s="144"/>
      <c r="F119" s="144"/>
      <c r="G119" s="144"/>
      <c r="H119" s="144"/>
      <c r="I119" s="144"/>
      <c r="J119" s="130"/>
    </row>
    <row r="120" spans="1:12" x14ac:dyDescent="0.4">
      <c r="A120" s="134" t="s">
        <v>231</v>
      </c>
      <c r="B120" s="125"/>
      <c r="C120" s="129" t="s">
        <v>217</v>
      </c>
      <c r="E120" s="164">
        <f t="shared" ref="E120:J120" si="10">SUM(E109:E118)</f>
        <v>2166730355.7733283</v>
      </c>
      <c r="F120" s="164">
        <f t="shared" si="10"/>
        <v>433983238.67077374</v>
      </c>
      <c r="G120" s="164">
        <f t="shared" si="10"/>
        <v>7035432.71</v>
      </c>
      <c r="H120" s="164">
        <f t="shared" si="10"/>
        <v>648101464.73685837</v>
      </c>
      <c r="I120" s="164">
        <f>SUM(I109:I118)</f>
        <v>1945540605.2884433</v>
      </c>
      <c r="J120" s="164">
        <f t="shared" si="10"/>
        <v>1511593458.3264697</v>
      </c>
      <c r="K120" s="122"/>
    </row>
    <row r="121" spans="1:12" x14ac:dyDescent="0.4">
      <c r="A121" s="125"/>
      <c r="B121" s="124"/>
      <c r="C121" s="129"/>
      <c r="E121" s="151"/>
      <c r="F121" s="151"/>
      <c r="G121" s="151"/>
      <c r="H121" s="167"/>
      <c r="I121" s="167"/>
      <c r="J121" s="167"/>
    </row>
    <row r="122" spans="1:12" x14ac:dyDescent="0.4">
      <c r="A122" s="124"/>
      <c r="B122" s="124"/>
      <c r="C122" s="129" t="s">
        <v>232</v>
      </c>
      <c r="D122" s="168"/>
      <c r="E122" s="163">
        <f>SUM('#1-Meritus:#5034-Mt Washington Pediatric'!E121)</f>
        <v>18226100701.77</v>
      </c>
      <c r="H122" s="130"/>
      <c r="I122" s="422"/>
    </row>
    <row r="123" spans="1:12" x14ac:dyDescent="0.4">
      <c r="A123" s="124"/>
      <c r="B123" s="124"/>
      <c r="D123" s="129"/>
      <c r="H123" s="130"/>
      <c r="K123" s="133"/>
    </row>
    <row r="124" spans="1:12" x14ac:dyDescent="0.4">
      <c r="A124" s="124"/>
      <c r="B124" s="125"/>
      <c r="C124" s="129" t="s">
        <v>233</v>
      </c>
      <c r="D124" s="169"/>
      <c r="E124" s="170">
        <f>I120/E122</f>
        <v>0.1067447523265086</v>
      </c>
      <c r="H124" s="130"/>
      <c r="I124" s="425"/>
      <c r="J124" s="132"/>
      <c r="K124" s="133"/>
    </row>
    <row r="125" spans="1:12" x14ac:dyDescent="0.4">
      <c r="A125" s="125"/>
      <c r="B125" s="125"/>
      <c r="D125" s="129"/>
      <c r="I125" s="426"/>
      <c r="J125" s="132"/>
      <c r="K125" s="133"/>
    </row>
    <row r="126" spans="1:12" x14ac:dyDescent="0.4">
      <c r="A126" s="125"/>
      <c r="B126" s="125"/>
      <c r="C126" s="129" t="s">
        <v>234</v>
      </c>
      <c r="D126" s="171"/>
      <c r="E126" s="170">
        <f>J120/E122</f>
        <v>8.2935647238011445E-2</v>
      </c>
      <c r="I126" s="427"/>
      <c r="J126" s="132"/>
      <c r="K126" s="133"/>
    </row>
    <row r="127" spans="1:12" x14ac:dyDescent="0.4">
      <c r="A127" s="125"/>
      <c r="I127" s="426"/>
      <c r="J127" s="132"/>
      <c r="K127" s="132"/>
      <c r="L127" s="133"/>
    </row>
    <row r="128" spans="1:12" x14ac:dyDescent="0.4">
      <c r="I128" s="426"/>
    </row>
    <row r="129" spans="9:9" x14ac:dyDescent="0.4">
      <c r="I129" s="420"/>
    </row>
  </sheetData>
  <mergeCells count="4">
    <mergeCell ref="A1:J1"/>
    <mergeCell ref="B18:C18"/>
    <mergeCell ref="B19:C19"/>
    <mergeCell ref="B22:C22"/>
  </mergeCells>
  <pageMargins left="0.7" right="0.7" top="0.75" bottom="0.75" header="0.3" footer="0.3"/>
  <pageSetup scale="41" fitToHeight="0" orientation="landscape" r:id="rId1"/>
  <rowBreaks count="2" manualBreakCount="2">
    <brk id="44" max="16383" man="1"/>
    <brk id="8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815E8-83FB-4C01-BF60-16E290E830B0}">
  <sheetPr codeName="Sheet9"/>
  <dimension ref="A1:H75"/>
  <sheetViews>
    <sheetView workbookViewId="0"/>
  </sheetViews>
  <sheetFormatPr defaultColWidth="20.578125" defaultRowHeight="14.4" x14ac:dyDescent="0.55000000000000004"/>
  <cols>
    <col min="1" max="1" width="7" customWidth="1"/>
    <col min="2" max="2" width="39.578125" customWidth="1"/>
    <col min="3" max="3" width="14.83984375" customWidth="1"/>
    <col min="4" max="4" width="15" customWidth="1"/>
    <col min="5" max="5" width="16" customWidth="1"/>
    <col min="6" max="6" width="15.26171875" customWidth="1"/>
    <col min="7" max="7" width="19.578125" customWidth="1"/>
    <col min="8" max="8" width="20.68359375" customWidth="1"/>
  </cols>
  <sheetData>
    <row r="1" spans="1:8" ht="26.1" thickBot="1" x14ac:dyDescent="0.6">
      <c r="A1" s="445"/>
      <c r="B1" s="450" t="s">
        <v>723</v>
      </c>
      <c r="C1" s="451" t="s">
        <v>724</v>
      </c>
      <c r="D1" s="451" t="s">
        <v>725</v>
      </c>
      <c r="E1" s="451" t="s">
        <v>726</v>
      </c>
      <c r="F1" s="451" t="s">
        <v>727</v>
      </c>
      <c r="G1" s="451" t="s">
        <v>728</v>
      </c>
      <c r="H1" s="451" t="s">
        <v>729</v>
      </c>
    </row>
    <row r="2" spans="1:8" ht="14.7" thickBot="1" x14ac:dyDescent="0.6">
      <c r="A2" s="489" t="s">
        <v>730</v>
      </c>
      <c r="B2" s="489"/>
      <c r="C2" s="489"/>
      <c r="D2" s="489"/>
      <c r="E2" s="489"/>
      <c r="F2" s="489"/>
      <c r="G2" s="489"/>
      <c r="H2" s="489"/>
    </row>
    <row r="3" spans="1:8" ht="14.7" thickBot="1" x14ac:dyDescent="0.6">
      <c r="A3" s="452" t="s">
        <v>103</v>
      </c>
      <c r="B3" s="453" t="s">
        <v>104</v>
      </c>
      <c r="C3" s="454">
        <v>324933117.61702907</v>
      </c>
      <c r="D3" s="455"/>
      <c r="E3" s="455"/>
      <c r="F3" s="454">
        <v>269294869.88475388</v>
      </c>
      <c r="G3" s="454">
        <v>55638247.732275255</v>
      </c>
      <c r="H3" s="454">
        <v>55638247.732275255</v>
      </c>
    </row>
    <row r="4" spans="1:8" ht="14.7" thickBot="1" x14ac:dyDescent="0.6">
      <c r="A4" s="489" t="s">
        <v>66</v>
      </c>
      <c r="B4" s="489"/>
      <c r="C4" s="489"/>
      <c r="D4" s="489"/>
      <c r="E4" s="489"/>
      <c r="F4" s="489"/>
      <c r="G4" s="489"/>
      <c r="H4" s="489"/>
    </row>
    <row r="5" spans="1:8" ht="14.7" thickBot="1" x14ac:dyDescent="0.6">
      <c r="A5" s="452" t="s">
        <v>110</v>
      </c>
      <c r="B5" s="452" t="s">
        <v>111</v>
      </c>
      <c r="C5" s="456">
        <v>18141133.450894814</v>
      </c>
      <c r="D5" s="456">
        <v>9100380.7515459526</v>
      </c>
      <c r="E5" s="456">
        <v>136262</v>
      </c>
      <c r="F5" s="456">
        <v>1271590.3500000001</v>
      </c>
      <c r="G5" s="456">
        <v>25833661.852440767</v>
      </c>
      <c r="H5" s="456">
        <v>16733281.100894814</v>
      </c>
    </row>
    <row r="6" spans="1:8" ht="14.7" thickBot="1" x14ac:dyDescent="0.6">
      <c r="A6" s="452" t="s">
        <v>112</v>
      </c>
      <c r="B6" s="452" t="s">
        <v>113</v>
      </c>
      <c r="C6" s="456">
        <v>2935571.6617740826</v>
      </c>
      <c r="D6" s="456">
        <v>2138791.4175220677</v>
      </c>
      <c r="E6" s="456">
        <v>471112</v>
      </c>
      <c r="F6" s="456">
        <v>1730</v>
      </c>
      <c r="G6" s="456">
        <v>4601521.0792961502</v>
      </c>
      <c r="H6" s="456">
        <v>2462729.6617740826</v>
      </c>
    </row>
    <row r="7" spans="1:8" ht="14.7" thickBot="1" x14ac:dyDescent="0.6">
      <c r="A7" s="452" t="s">
        <v>114</v>
      </c>
      <c r="B7" s="452" t="s">
        <v>115</v>
      </c>
      <c r="C7" s="456">
        <v>651371.76820771443</v>
      </c>
      <c r="D7" s="456">
        <v>352540.52714992937</v>
      </c>
      <c r="E7" s="456"/>
      <c r="F7" s="456">
        <v>72261</v>
      </c>
      <c r="G7" s="456">
        <v>931651.29535764398</v>
      </c>
      <c r="H7" s="456">
        <v>579110.76820771466</v>
      </c>
    </row>
    <row r="8" spans="1:8" ht="14.7" thickBot="1" x14ac:dyDescent="0.6">
      <c r="A8" s="452" t="s">
        <v>116</v>
      </c>
      <c r="B8" s="452" t="s">
        <v>117</v>
      </c>
      <c r="C8" s="456">
        <v>14211422.664999999</v>
      </c>
      <c r="D8" s="456">
        <v>5968771.2303344067</v>
      </c>
      <c r="E8" s="456">
        <v>579280.06000000006</v>
      </c>
      <c r="F8" s="456">
        <v>4007246.6100000003</v>
      </c>
      <c r="G8" s="456">
        <v>15593667.225334406</v>
      </c>
      <c r="H8" s="456">
        <v>9624895.9949999992</v>
      </c>
    </row>
    <row r="9" spans="1:8" ht="14.7" thickBot="1" x14ac:dyDescent="0.6">
      <c r="A9" s="452" t="s">
        <v>118</v>
      </c>
      <c r="B9" s="452" t="s">
        <v>119</v>
      </c>
      <c r="C9" s="456">
        <v>2575695.6893227743</v>
      </c>
      <c r="D9" s="456">
        <v>1650733.1658361035</v>
      </c>
      <c r="E9" s="456"/>
      <c r="F9" s="456">
        <v>951046.75</v>
      </c>
      <c r="G9" s="456">
        <v>3275382.1051588771</v>
      </c>
      <c r="H9" s="456">
        <v>1624648.9393227736</v>
      </c>
    </row>
    <row r="10" spans="1:8" ht="14.7" thickBot="1" x14ac:dyDescent="0.6">
      <c r="A10" s="452" t="s">
        <v>120</v>
      </c>
      <c r="B10" s="452" t="s">
        <v>121</v>
      </c>
      <c r="C10" s="456">
        <v>808368.81315705529</v>
      </c>
      <c r="D10" s="456">
        <v>136705.9697597606</v>
      </c>
      <c r="E10" s="456"/>
      <c r="F10" s="456">
        <v>252992</v>
      </c>
      <c r="G10" s="456">
        <v>692082.78291681595</v>
      </c>
      <c r="H10" s="456">
        <v>555376.81315705529</v>
      </c>
    </row>
    <row r="11" spans="1:8" ht="14.7" thickBot="1" x14ac:dyDescent="0.6">
      <c r="A11" s="452" t="s">
        <v>122</v>
      </c>
      <c r="B11" s="452" t="s">
        <v>123</v>
      </c>
      <c r="C11" s="456">
        <v>10966734.375961984</v>
      </c>
      <c r="D11" s="456">
        <v>2627221.0246677757</v>
      </c>
      <c r="E11" s="456"/>
      <c r="F11" s="456">
        <v>494</v>
      </c>
      <c r="G11" s="456">
        <v>13593461.400629761</v>
      </c>
      <c r="H11" s="456">
        <v>10966240.375961985</v>
      </c>
    </row>
    <row r="12" spans="1:8" ht="14.7" thickBot="1" x14ac:dyDescent="0.6">
      <c r="A12" s="452" t="s">
        <v>124</v>
      </c>
      <c r="B12" s="452" t="s">
        <v>125</v>
      </c>
      <c r="C12" s="456">
        <v>1186717.9300000002</v>
      </c>
      <c r="D12" s="456">
        <v>453863.70131180598</v>
      </c>
      <c r="E12" s="456"/>
      <c r="F12" s="456">
        <v>1315513</v>
      </c>
      <c r="G12" s="456">
        <v>325068.63131180609</v>
      </c>
      <c r="H12" s="456">
        <v>-128795.06999999989</v>
      </c>
    </row>
    <row r="13" spans="1:8" ht="14.7" thickBot="1" x14ac:dyDescent="0.6">
      <c r="A13" s="452" t="s">
        <v>126</v>
      </c>
      <c r="B13" s="452" t="s">
        <v>127</v>
      </c>
      <c r="C13" s="456">
        <v>47619714.904415637</v>
      </c>
      <c r="D13" s="456">
        <v>19972606.904032104</v>
      </c>
      <c r="E13" s="456">
        <v>1568177.6500000001</v>
      </c>
      <c r="F13" s="456">
        <v>3317591.561712692</v>
      </c>
      <c r="G13" s="456">
        <v>62706552.596735038</v>
      </c>
      <c r="H13" s="456">
        <v>42733945.692702934</v>
      </c>
    </row>
    <row r="14" spans="1:8" ht="14.7" thickBot="1" x14ac:dyDescent="0.6">
      <c r="A14" s="452" t="s">
        <v>128</v>
      </c>
      <c r="B14" s="452" t="s">
        <v>129</v>
      </c>
      <c r="C14" s="456">
        <v>11329168.295107637</v>
      </c>
      <c r="D14" s="456">
        <v>6121750.660727825</v>
      </c>
      <c r="E14" s="456">
        <v>2967046</v>
      </c>
      <c r="F14" s="456">
        <v>198283</v>
      </c>
      <c r="G14" s="456">
        <v>14285589.955835462</v>
      </c>
      <c r="H14" s="456">
        <v>8163839.2951076366</v>
      </c>
    </row>
    <row r="15" spans="1:8" ht="14.7" thickBot="1" x14ac:dyDescent="0.6">
      <c r="A15" s="452" t="s">
        <v>134</v>
      </c>
      <c r="B15" s="453" t="s">
        <v>731</v>
      </c>
      <c r="C15" s="454">
        <v>110425899.55384168</v>
      </c>
      <c r="D15" s="454">
        <v>48523365.352887727</v>
      </c>
      <c r="E15" s="454">
        <v>5721877.71</v>
      </c>
      <c r="F15" s="454">
        <v>11388748.271712692</v>
      </c>
      <c r="G15" s="454">
        <v>141838638.92501673</v>
      </c>
      <c r="H15" s="454">
        <v>93315273.572129011</v>
      </c>
    </row>
    <row r="16" spans="1:8" ht="14.7" thickBot="1" x14ac:dyDescent="0.6">
      <c r="A16" s="489" t="s">
        <v>220</v>
      </c>
      <c r="B16" s="489"/>
      <c r="C16" s="489"/>
      <c r="D16" s="489"/>
      <c r="E16" s="489"/>
      <c r="F16" s="489"/>
      <c r="G16" s="489"/>
      <c r="H16" s="489"/>
    </row>
    <row r="17" spans="1:8" ht="14.7" thickBot="1" x14ac:dyDescent="0.6">
      <c r="A17" s="452" t="s">
        <v>138</v>
      </c>
      <c r="B17" s="452" t="s">
        <v>139</v>
      </c>
      <c r="C17" s="456">
        <v>375662840.02998209</v>
      </c>
      <c r="D17" s="456">
        <v>197265565.94350845</v>
      </c>
      <c r="E17" s="456">
        <v>553680</v>
      </c>
      <c r="F17" s="456">
        <v>2767623.9799999995</v>
      </c>
      <c r="G17" s="456">
        <v>569607101.99349058</v>
      </c>
      <c r="H17" s="456">
        <v>372341536.04998213</v>
      </c>
    </row>
    <row r="18" spans="1:8" ht="14.7" thickBot="1" x14ac:dyDescent="0.6">
      <c r="A18" s="452" t="s">
        <v>140</v>
      </c>
      <c r="B18" s="452" t="s">
        <v>141</v>
      </c>
      <c r="C18" s="456">
        <v>25667172.574905466</v>
      </c>
      <c r="D18" s="456">
        <v>15106674.538358504</v>
      </c>
      <c r="E18" s="456"/>
      <c r="F18" s="456">
        <v>202182.28</v>
      </c>
      <c r="G18" s="456">
        <v>40571664.833263986</v>
      </c>
      <c r="H18" s="456">
        <v>25464990.294905484</v>
      </c>
    </row>
    <row r="19" spans="1:8" ht="14.7" thickBot="1" x14ac:dyDescent="0.6">
      <c r="A19" s="452" t="s">
        <v>142</v>
      </c>
      <c r="B19" s="452" t="s">
        <v>143</v>
      </c>
      <c r="C19" s="456">
        <v>16655502.599438069</v>
      </c>
      <c r="D19" s="456">
        <v>9209002.461896427</v>
      </c>
      <c r="E19" s="456"/>
      <c r="F19" s="456">
        <v>120363</v>
      </c>
      <c r="G19" s="456">
        <v>25744142.061334502</v>
      </c>
      <c r="H19" s="456">
        <v>16535139.599438075</v>
      </c>
    </row>
    <row r="20" spans="1:8" ht="14.7" thickBot="1" x14ac:dyDescent="0.6">
      <c r="A20" s="452" t="s">
        <v>144</v>
      </c>
      <c r="B20" s="452" t="s">
        <v>145</v>
      </c>
      <c r="C20" s="456">
        <v>3143919</v>
      </c>
      <c r="D20" s="456">
        <v>1616682.9221999999</v>
      </c>
      <c r="E20" s="456"/>
      <c r="F20" s="456"/>
      <c r="G20" s="456">
        <v>4760601.9221999999</v>
      </c>
      <c r="H20" s="456">
        <v>3143919</v>
      </c>
    </row>
    <row r="21" spans="1:8" ht="14.7" thickBot="1" x14ac:dyDescent="0.6">
      <c r="A21" s="452" t="s">
        <v>146</v>
      </c>
      <c r="B21" s="452" t="s">
        <v>129</v>
      </c>
      <c r="C21" s="456">
        <v>2304869.8370425371</v>
      </c>
      <c r="D21" s="456">
        <v>1519724.8725960506</v>
      </c>
      <c r="E21" s="456"/>
      <c r="F21" s="456">
        <v>685296.42</v>
      </c>
      <c r="G21" s="456">
        <v>3139298.2896385873</v>
      </c>
      <c r="H21" s="456">
        <v>1619573.4170425362</v>
      </c>
    </row>
    <row r="22" spans="1:8" ht="14.7" thickBot="1" x14ac:dyDescent="0.6">
      <c r="A22" s="452" t="s">
        <v>150</v>
      </c>
      <c r="B22" s="453" t="s">
        <v>731</v>
      </c>
      <c r="C22" s="454">
        <v>423434304.04136813</v>
      </c>
      <c r="D22" s="454">
        <v>224717650.73855942</v>
      </c>
      <c r="E22" s="454">
        <v>553680</v>
      </c>
      <c r="F22" s="454">
        <v>3775465.6799999992</v>
      </c>
      <c r="G22" s="454">
        <v>643822809.09992766</v>
      </c>
      <c r="H22" s="454">
        <v>419105158.36136824</v>
      </c>
    </row>
    <row r="23" spans="1:8" ht="14.7" thickBot="1" x14ac:dyDescent="0.6">
      <c r="A23" s="489" t="s">
        <v>732</v>
      </c>
      <c r="B23" s="489"/>
      <c r="C23" s="489"/>
      <c r="D23" s="489"/>
      <c r="E23" s="489"/>
      <c r="F23" s="489"/>
      <c r="G23" s="489"/>
      <c r="H23" s="489"/>
    </row>
    <row r="24" spans="1:8" ht="14.7" thickBot="1" x14ac:dyDescent="0.6">
      <c r="A24" s="452"/>
      <c r="B24" s="453" t="s">
        <v>733</v>
      </c>
      <c r="C24" s="454">
        <v>917250600.59170413</v>
      </c>
      <c r="D24" s="454">
        <v>141011014.1627827</v>
      </c>
      <c r="E24" s="454">
        <v>338049</v>
      </c>
      <c r="F24" s="454">
        <v>355159307.04039192</v>
      </c>
      <c r="G24" s="454">
        <v>702764258.71409476</v>
      </c>
      <c r="H24" s="454">
        <v>561753244.55131209</v>
      </c>
    </row>
    <row r="25" spans="1:8" ht="14.7" thickBot="1" x14ac:dyDescent="0.6">
      <c r="A25" s="489" t="s">
        <v>70</v>
      </c>
      <c r="B25" s="489"/>
      <c r="C25" s="489"/>
      <c r="D25" s="489"/>
      <c r="E25" s="489"/>
      <c r="F25" s="489"/>
      <c r="G25" s="489"/>
      <c r="H25" s="489"/>
    </row>
    <row r="26" spans="1:8" ht="14.7" thickBot="1" x14ac:dyDescent="0.6">
      <c r="A26" s="452" t="s">
        <v>156</v>
      </c>
      <c r="B26" s="452" t="s">
        <v>157</v>
      </c>
      <c r="C26" s="456">
        <v>9133413.1615903433</v>
      </c>
      <c r="D26" s="456">
        <v>4008917.7843303233</v>
      </c>
      <c r="E26" s="456"/>
      <c r="F26" s="456">
        <v>3085010</v>
      </c>
      <c r="G26" s="456">
        <v>10057320.945920665</v>
      </c>
      <c r="H26" s="456">
        <v>6048403.1615903415</v>
      </c>
    </row>
    <row r="27" spans="1:8" ht="14.7" thickBot="1" x14ac:dyDescent="0.6">
      <c r="A27" s="452" t="s">
        <v>158</v>
      </c>
      <c r="B27" s="452" t="s">
        <v>159</v>
      </c>
      <c r="C27" s="456">
        <v>2896438.710372691</v>
      </c>
      <c r="D27" s="456">
        <v>857757.68356899323</v>
      </c>
      <c r="E27" s="456"/>
      <c r="F27" s="456">
        <v>312658</v>
      </c>
      <c r="G27" s="456">
        <v>3441538.3939416842</v>
      </c>
      <c r="H27" s="456">
        <v>2583780.710372691</v>
      </c>
    </row>
    <row r="28" spans="1:8" ht="14.7" thickBot="1" x14ac:dyDescent="0.6">
      <c r="A28" s="452" t="s">
        <v>160</v>
      </c>
      <c r="B28" s="452" t="s">
        <v>129</v>
      </c>
      <c r="C28" s="456">
        <v>190681</v>
      </c>
      <c r="D28" s="456">
        <v>145108</v>
      </c>
      <c r="E28" s="456"/>
      <c r="F28" s="456"/>
      <c r="G28" s="456">
        <v>335789</v>
      </c>
      <c r="H28" s="456">
        <v>190681</v>
      </c>
    </row>
    <row r="29" spans="1:8" ht="14.7" thickBot="1" x14ac:dyDescent="0.6">
      <c r="A29" s="452" t="s">
        <v>161</v>
      </c>
      <c r="B29" s="453" t="s">
        <v>57</v>
      </c>
      <c r="C29" s="454">
        <v>12220532.871963035</v>
      </c>
      <c r="D29" s="454">
        <v>5011783.4678993169</v>
      </c>
      <c r="E29" s="454"/>
      <c r="F29" s="454">
        <v>3397668</v>
      </c>
      <c r="G29" s="454">
        <v>13834648.339862349</v>
      </c>
      <c r="H29" s="454">
        <v>8822864.8719630316</v>
      </c>
    </row>
    <row r="30" spans="1:8" ht="14.7" thickBot="1" x14ac:dyDescent="0.6">
      <c r="A30" s="489" t="s">
        <v>69</v>
      </c>
      <c r="B30" s="489"/>
      <c r="C30" s="489"/>
      <c r="D30" s="489"/>
      <c r="E30" s="489"/>
      <c r="F30" s="489"/>
      <c r="G30" s="489"/>
      <c r="H30" s="489"/>
    </row>
    <row r="31" spans="1:8" ht="14.7" thickBot="1" x14ac:dyDescent="0.6">
      <c r="A31" s="452" t="s">
        <v>163</v>
      </c>
      <c r="B31" s="452" t="s">
        <v>164</v>
      </c>
      <c r="C31" s="456">
        <v>7691207.5735734403</v>
      </c>
      <c r="D31" s="456">
        <v>1860.0588</v>
      </c>
      <c r="E31" s="456"/>
      <c r="F31" s="456">
        <v>200</v>
      </c>
      <c r="G31" s="456">
        <v>7691007.5735734403</v>
      </c>
      <c r="H31" s="456">
        <v>7689147.5147734405</v>
      </c>
    </row>
    <row r="32" spans="1:8" ht="14.7" thickBot="1" x14ac:dyDescent="0.6">
      <c r="A32" s="452" t="s">
        <v>165</v>
      </c>
      <c r="B32" s="452" t="s">
        <v>166</v>
      </c>
      <c r="C32" s="456">
        <v>3607150.45</v>
      </c>
      <c r="D32" s="456">
        <v>5373.52</v>
      </c>
      <c r="E32" s="456">
        <v>242596</v>
      </c>
      <c r="F32" s="456">
        <v>1438596.9</v>
      </c>
      <c r="G32" s="456">
        <v>1925957.55</v>
      </c>
      <c r="H32" s="456">
        <v>1920584.03</v>
      </c>
    </row>
    <row r="33" spans="1:8" ht="14.7" thickBot="1" x14ac:dyDescent="0.6">
      <c r="A33" s="452" t="s">
        <v>167</v>
      </c>
      <c r="B33" s="452" t="s">
        <v>168</v>
      </c>
      <c r="C33" s="456">
        <v>3170719.9539886266</v>
      </c>
      <c r="D33" s="456">
        <v>28858.13</v>
      </c>
      <c r="E33" s="456"/>
      <c r="F33" s="456">
        <v>32932</v>
      </c>
      <c r="G33" s="456">
        <v>3137787.9539886266</v>
      </c>
      <c r="H33" s="456">
        <v>3108929.8239886267</v>
      </c>
    </row>
    <row r="34" spans="1:8" ht="14.7" thickBot="1" x14ac:dyDescent="0.6">
      <c r="A34" s="452" t="s">
        <v>169</v>
      </c>
      <c r="B34" s="452" t="s">
        <v>170</v>
      </c>
      <c r="C34" s="456">
        <v>3299148.0942364894</v>
      </c>
      <c r="D34" s="456"/>
      <c r="E34" s="456"/>
      <c r="F34" s="456"/>
      <c r="G34" s="456">
        <v>3299148.0942364894</v>
      </c>
      <c r="H34" s="456">
        <v>3299148.0942364894</v>
      </c>
    </row>
    <row r="35" spans="1:8" ht="14.7" thickBot="1" x14ac:dyDescent="0.6">
      <c r="A35" s="452" t="s">
        <v>171</v>
      </c>
      <c r="B35" s="453" t="s">
        <v>57</v>
      </c>
      <c r="C35" s="454">
        <v>17768226.071798556</v>
      </c>
      <c r="D35" s="454">
        <v>36091.7088</v>
      </c>
      <c r="E35" s="454">
        <v>242596</v>
      </c>
      <c r="F35" s="454">
        <v>1471728.9</v>
      </c>
      <c r="G35" s="454">
        <v>16053901.171798557</v>
      </c>
      <c r="H35" s="454">
        <v>16017809.462998558</v>
      </c>
    </row>
    <row r="36" spans="1:8" ht="14.7" thickBot="1" x14ac:dyDescent="0.6">
      <c r="A36" s="489" t="s">
        <v>734</v>
      </c>
      <c r="B36" s="489"/>
      <c r="C36" s="489"/>
      <c r="D36" s="489"/>
      <c r="E36" s="489"/>
      <c r="F36" s="489"/>
      <c r="G36" s="489"/>
      <c r="H36" s="489"/>
    </row>
    <row r="37" spans="1:8" ht="14.7" thickBot="1" x14ac:dyDescent="0.6">
      <c r="A37" s="452" t="s">
        <v>174</v>
      </c>
      <c r="B37" s="452" t="s">
        <v>175</v>
      </c>
      <c r="C37" s="456">
        <v>1137733.4891706407</v>
      </c>
      <c r="D37" s="456">
        <v>143396.26217806819</v>
      </c>
      <c r="E37" s="456"/>
      <c r="F37" s="456">
        <v>82281</v>
      </c>
      <c r="G37" s="456">
        <v>1198848.7513487088</v>
      </c>
      <c r="H37" s="456">
        <v>1055452.4891706405</v>
      </c>
    </row>
    <row r="38" spans="1:8" ht="14.7" thickBot="1" x14ac:dyDescent="0.6">
      <c r="A38" s="452" t="s">
        <v>176</v>
      </c>
      <c r="B38" s="452" t="s">
        <v>177</v>
      </c>
      <c r="C38" s="456">
        <v>623849.87052971893</v>
      </c>
      <c r="D38" s="456">
        <v>20706.919913034006</v>
      </c>
      <c r="E38" s="456"/>
      <c r="F38" s="456"/>
      <c r="G38" s="456">
        <v>644556.79044275277</v>
      </c>
      <c r="H38" s="456">
        <v>623849.87052971881</v>
      </c>
    </row>
    <row r="39" spans="1:8" ht="14.7" thickBot="1" x14ac:dyDescent="0.6">
      <c r="A39" s="452" t="s">
        <v>178</v>
      </c>
      <c r="B39" s="452" t="s">
        <v>179</v>
      </c>
      <c r="C39" s="456">
        <v>7765875.0160586974</v>
      </c>
      <c r="D39" s="456">
        <v>4452618.9145737598</v>
      </c>
      <c r="E39" s="456"/>
      <c r="F39" s="456">
        <v>1360007</v>
      </c>
      <c r="G39" s="456">
        <v>10858486.930632461</v>
      </c>
      <c r="H39" s="456">
        <v>6405868.0160587011</v>
      </c>
    </row>
    <row r="40" spans="1:8" ht="14.7" thickBot="1" x14ac:dyDescent="0.6">
      <c r="A40" s="452" t="s">
        <v>180</v>
      </c>
      <c r="B40" s="452" t="s">
        <v>181</v>
      </c>
      <c r="C40" s="456">
        <v>767633.75059047609</v>
      </c>
      <c r="D40" s="456">
        <v>416260.90433462331</v>
      </c>
      <c r="E40" s="456"/>
      <c r="F40" s="456">
        <v>1560</v>
      </c>
      <c r="G40" s="456">
        <v>1182334.6549250996</v>
      </c>
      <c r="H40" s="456">
        <v>766073.75059047621</v>
      </c>
    </row>
    <row r="41" spans="1:8" ht="14.7" thickBot="1" x14ac:dyDescent="0.6">
      <c r="A41" s="452" t="s">
        <v>182</v>
      </c>
      <c r="B41" s="452" t="s">
        <v>183</v>
      </c>
      <c r="C41" s="456">
        <v>131330.51768098917</v>
      </c>
      <c r="D41" s="456">
        <v>90331.362917429971</v>
      </c>
      <c r="E41" s="456"/>
      <c r="F41" s="456"/>
      <c r="G41" s="456">
        <v>221661.88059841914</v>
      </c>
      <c r="H41" s="456">
        <v>131330.51768098917</v>
      </c>
    </row>
    <row r="42" spans="1:8" ht="14.7" thickBot="1" x14ac:dyDescent="0.6">
      <c r="A42" s="452" t="s">
        <v>184</v>
      </c>
      <c r="B42" s="452" t="s">
        <v>185</v>
      </c>
      <c r="C42" s="456">
        <v>3302943.7245562873</v>
      </c>
      <c r="D42" s="456">
        <v>1858805.916013717</v>
      </c>
      <c r="E42" s="456"/>
      <c r="F42" s="456">
        <v>1321107</v>
      </c>
      <c r="G42" s="456">
        <v>3840642.640570004</v>
      </c>
      <c r="H42" s="456">
        <v>1981836.7245562871</v>
      </c>
    </row>
    <row r="43" spans="1:8" ht="14.7" thickBot="1" x14ac:dyDescent="0.6">
      <c r="A43" s="452" t="s">
        <v>186</v>
      </c>
      <c r="B43" s="452" t="s">
        <v>187</v>
      </c>
      <c r="C43" s="456">
        <v>1258484.6319431099</v>
      </c>
      <c r="D43" s="456">
        <v>271859.94305764651</v>
      </c>
      <c r="E43" s="456"/>
      <c r="F43" s="456">
        <v>2436</v>
      </c>
      <c r="G43" s="456">
        <v>1527908.5750007567</v>
      </c>
      <c r="H43" s="456">
        <v>1256048.6319431101</v>
      </c>
    </row>
    <row r="44" spans="1:8" ht="14.7" thickBot="1" x14ac:dyDescent="0.6">
      <c r="A44" s="452" t="s">
        <v>188</v>
      </c>
      <c r="B44" s="452" t="s">
        <v>189</v>
      </c>
      <c r="C44" s="456">
        <v>3308479.1519270637</v>
      </c>
      <c r="D44" s="456">
        <v>1662357.7028420144</v>
      </c>
      <c r="E44" s="456"/>
      <c r="F44" s="456">
        <v>566935</v>
      </c>
      <c r="G44" s="456">
        <v>4403901.8547690772</v>
      </c>
      <c r="H44" s="456">
        <v>2741544.1519270628</v>
      </c>
    </row>
    <row r="45" spans="1:8" ht="14.7" thickBot="1" x14ac:dyDescent="0.6">
      <c r="A45" s="452" t="s">
        <v>190</v>
      </c>
      <c r="B45" s="452" t="s">
        <v>129</v>
      </c>
      <c r="C45" s="456">
        <v>1354739.3</v>
      </c>
      <c r="D45" s="456">
        <v>712647.92487600003</v>
      </c>
      <c r="E45" s="456"/>
      <c r="F45" s="456"/>
      <c r="G45" s="456">
        <v>2067387.2248760001</v>
      </c>
      <c r="H45" s="456">
        <v>1354739.3</v>
      </c>
    </row>
    <row r="46" spans="1:8" ht="14.7" thickBot="1" x14ac:dyDescent="0.6">
      <c r="A46" s="452"/>
      <c r="B46" s="453" t="s">
        <v>57</v>
      </c>
      <c r="C46" s="454">
        <v>19651069.452456985</v>
      </c>
      <c r="D46" s="454">
        <v>9628985.8507062923</v>
      </c>
      <c r="E46" s="454"/>
      <c r="F46" s="454">
        <v>3334326</v>
      </c>
      <c r="G46" s="454">
        <v>25945729.303163279</v>
      </c>
      <c r="H46" s="454">
        <v>16316743.452456988</v>
      </c>
    </row>
    <row r="47" spans="1:8" ht="14.7" thickBot="1" x14ac:dyDescent="0.6">
      <c r="A47" s="489" t="s">
        <v>71</v>
      </c>
      <c r="B47" s="489"/>
      <c r="C47" s="489"/>
      <c r="D47" s="489"/>
      <c r="E47" s="489"/>
      <c r="F47" s="489"/>
      <c r="G47" s="489"/>
      <c r="H47" s="489"/>
    </row>
    <row r="48" spans="1:8" ht="14.7" thickBot="1" x14ac:dyDescent="0.6">
      <c r="A48" s="452" t="s">
        <v>196</v>
      </c>
      <c r="B48" s="452" t="s">
        <v>197</v>
      </c>
      <c r="C48" s="456">
        <v>6037914.855897693</v>
      </c>
      <c r="D48" s="456">
        <v>3308982.9448433928</v>
      </c>
      <c r="E48" s="456">
        <v>179230</v>
      </c>
      <c r="F48" s="456">
        <v>40258</v>
      </c>
      <c r="G48" s="456">
        <v>9127409.8007410839</v>
      </c>
      <c r="H48" s="456">
        <v>5818426.8558976911</v>
      </c>
    </row>
    <row r="49" spans="1:8" ht="14.7" thickBot="1" x14ac:dyDescent="0.6">
      <c r="A49" s="452" t="s">
        <v>198</v>
      </c>
      <c r="B49" s="452" t="s">
        <v>199</v>
      </c>
      <c r="C49" s="456">
        <v>1709394.4169399999</v>
      </c>
      <c r="D49" s="456">
        <v>1201367.0835976952</v>
      </c>
      <c r="E49" s="456"/>
      <c r="F49" s="456">
        <v>17016</v>
      </c>
      <c r="G49" s="456">
        <v>2893745.5005376954</v>
      </c>
      <c r="H49" s="456">
        <v>1692378.4169400001</v>
      </c>
    </row>
    <row r="50" spans="1:8" ht="14.7" thickBot="1" x14ac:dyDescent="0.6">
      <c r="A50" s="452" t="s">
        <v>200</v>
      </c>
      <c r="B50" s="452" t="s">
        <v>201</v>
      </c>
      <c r="C50" s="456">
        <v>1757045.7599646049</v>
      </c>
      <c r="D50" s="456">
        <v>537302.23011046881</v>
      </c>
      <c r="E50" s="456"/>
      <c r="F50" s="456"/>
      <c r="G50" s="456">
        <v>2294347.9900750737</v>
      </c>
      <c r="H50" s="456">
        <v>1757045.7599646046</v>
      </c>
    </row>
    <row r="51" spans="1:8" ht="14.7" thickBot="1" x14ac:dyDescent="0.6">
      <c r="A51" s="453" t="s">
        <v>204</v>
      </c>
      <c r="B51" s="453" t="s">
        <v>57</v>
      </c>
      <c r="C51" s="454">
        <v>9504355.0328022987</v>
      </c>
      <c r="D51" s="454">
        <v>5047652.2585515566</v>
      </c>
      <c r="E51" s="454">
        <v>179230</v>
      </c>
      <c r="F51" s="454">
        <v>57274</v>
      </c>
      <c r="G51" s="454">
        <v>14315503.291353853</v>
      </c>
      <c r="H51" s="454">
        <v>9267851.0328022968</v>
      </c>
    </row>
    <row r="52" spans="1:8" ht="14.7" thickBot="1" x14ac:dyDescent="0.6">
      <c r="A52" s="489" t="s">
        <v>58</v>
      </c>
      <c r="B52" s="489"/>
      <c r="C52" s="489"/>
      <c r="D52" s="489"/>
      <c r="E52" s="489"/>
      <c r="F52" s="489"/>
      <c r="G52" s="489"/>
      <c r="H52" s="489"/>
    </row>
    <row r="53" spans="1:8" ht="14.7" thickBot="1" x14ac:dyDescent="0.6">
      <c r="A53" s="452"/>
      <c r="B53" s="453" t="s">
        <v>311</v>
      </c>
      <c r="C53" s="490">
        <v>329992676.29036427</v>
      </c>
      <c r="D53" s="490"/>
      <c r="E53" s="490"/>
      <c r="F53" s="490"/>
      <c r="G53" s="490"/>
      <c r="H53" s="490"/>
    </row>
    <row r="54" spans="1:8" ht="14.7" thickBot="1" x14ac:dyDescent="0.6">
      <c r="A54" s="489" t="s">
        <v>735</v>
      </c>
      <c r="B54" s="489"/>
      <c r="C54" s="489"/>
      <c r="D54" s="489"/>
      <c r="E54" s="489"/>
      <c r="F54" s="489"/>
      <c r="G54" s="489"/>
      <c r="H54" s="489"/>
    </row>
    <row r="55" spans="1:8" ht="14.7" thickBot="1" x14ac:dyDescent="0.6">
      <c r="A55" s="452" t="s">
        <v>209</v>
      </c>
      <c r="B55" s="452" t="s">
        <v>210</v>
      </c>
      <c r="C55" s="456">
        <v>740577.72</v>
      </c>
      <c r="D55" s="456">
        <v>6695.1305866899484</v>
      </c>
      <c r="E55" s="456"/>
      <c r="F55" s="456">
        <v>47076.959999999992</v>
      </c>
      <c r="G55" s="456">
        <v>700195.89058668993</v>
      </c>
      <c r="H55" s="456">
        <v>693500.76</v>
      </c>
    </row>
    <row r="56" spans="1:8" ht="14.7" thickBot="1" x14ac:dyDescent="0.6">
      <c r="A56" s="452" t="s">
        <v>211</v>
      </c>
      <c r="B56" s="452" t="s">
        <v>68</v>
      </c>
      <c r="C56" s="456">
        <v>808996.53</v>
      </c>
      <c r="D56" s="456"/>
      <c r="E56" s="456"/>
      <c r="F56" s="456">
        <v>175000</v>
      </c>
      <c r="G56" s="456">
        <v>633996.53</v>
      </c>
      <c r="H56" s="456">
        <v>633996.53</v>
      </c>
    </row>
    <row r="57" spans="1:8" ht="14.7" thickBot="1" x14ac:dyDescent="0.6">
      <c r="A57" s="452" t="s">
        <v>212</v>
      </c>
      <c r="B57" s="452" t="s">
        <v>129</v>
      </c>
      <c r="C57" s="456">
        <v>0</v>
      </c>
      <c r="D57" s="456"/>
      <c r="E57" s="456"/>
      <c r="F57" s="456">
        <v>0</v>
      </c>
      <c r="G57" s="456">
        <v>0</v>
      </c>
      <c r="H57" s="456">
        <v>0</v>
      </c>
    </row>
    <row r="58" spans="1:8" ht="14.7" thickBot="1" x14ac:dyDescent="0.6">
      <c r="A58" s="452" t="s">
        <v>215</v>
      </c>
      <c r="B58" s="453" t="s">
        <v>57</v>
      </c>
      <c r="C58" s="454">
        <v>1549574.25</v>
      </c>
      <c r="D58" s="454">
        <v>6695.1305866899484</v>
      </c>
      <c r="E58" s="454"/>
      <c r="F58" s="454">
        <v>222076.96</v>
      </c>
      <c r="G58" s="454">
        <v>1334192.4205866898</v>
      </c>
      <c r="H58" s="454">
        <v>1327497.29</v>
      </c>
    </row>
    <row r="59" spans="1:8" ht="14.7" thickBot="1" x14ac:dyDescent="0.6">
      <c r="A59" s="489" t="s">
        <v>736</v>
      </c>
      <c r="B59" s="489"/>
      <c r="C59" s="489"/>
      <c r="D59" s="489"/>
      <c r="E59" s="489"/>
      <c r="F59" s="489"/>
      <c r="G59" s="489"/>
      <c r="H59" s="489"/>
    </row>
    <row r="60" spans="1:8" ht="14.7" thickBot="1" x14ac:dyDescent="0.6">
      <c r="A60" s="452" t="s">
        <v>218</v>
      </c>
      <c r="B60" s="452" t="s">
        <v>66</v>
      </c>
      <c r="C60" s="456">
        <v>110425899.55384168</v>
      </c>
      <c r="D60" s="456">
        <v>48523365.352887727</v>
      </c>
      <c r="E60" s="456">
        <v>5721877.71</v>
      </c>
      <c r="F60" s="456">
        <v>11388748.271712692</v>
      </c>
      <c r="G60" s="456">
        <v>141838638.9250167</v>
      </c>
      <c r="H60" s="456">
        <v>93315273.572128996</v>
      </c>
    </row>
    <row r="61" spans="1:8" ht="14.7" thickBot="1" x14ac:dyDescent="0.6">
      <c r="A61" s="452" t="s">
        <v>219</v>
      </c>
      <c r="B61" s="452" t="s">
        <v>220</v>
      </c>
      <c r="C61" s="456">
        <v>423434304.04136813</v>
      </c>
      <c r="D61" s="456">
        <v>224717650.73855942</v>
      </c>
      <c r="E61" s="456">
        <v>553680</v>
      </c>
      <c r="F61" s="456">
        <v>3775465.6799999992</v>
      </c>
      <c r="G61" s="456">
        <v>643822809.09992754</v>
      </c>
      <c r="H61" s="456">
        <v>419105158.36136812</v>
      </c>
    </row>
    <row r="62" spans="1:8" ht="14.7" thickBot="1" x14ac:dyDescent="0.6">
      <c r="A62" s="452" t="s">
        <v>221</v>
      </c>
      <c r="B62" s="452" t="s">
        <v>222</v>
      </c>
      <c r="C62" s="456">
        <v>917250600.59170413</v>
      </c>
      <c r="D62" s="456">
        <v>141011014.1627827</v>
      </c>
      <c r="E62" s="456">
        <v>338049</v>
      </c>
      <c r="F62" s="456">
        <v>355159307.04039192</v>
      </c>
      <c r="G62" s="456">
        <v>702764258.71409488</v>
      </c>
      <c r="H62" s="456">
        <v>561753244.55131221</v>
      </c>
    </row>
    <row r="63" spans="1:8" ht="14.7" thickBot="1" x14ac:dyDescent="0.6">
      <c r="A63" s="452" t="s">
        <v>223</v>
      </c>
      <c r="B63" s="452" t="s">
        <v>70</v>
      </c>
      <c r="C63" s="456">
        <v>12220532.871963035</v>
      </c>
      <c r="D63" s="456">
        <v>5011783.4678993169</v>
      </c>
      <c r="E63" s="456"/>
      <c r="F63" s="456">
        <v>3397668</v>
      </c>
      <c r="G63" s="456">
        <v>13834648.339862354</v>
      </c>
      <c r="H63" s="456">
        <v>8822864.8719630353</v>
      </c>
    </row>
    <row r="64" spans="1:8" ht="14.7" thickBot="1" x14ac:dyDescent="0.6">
      <c r="A64" s="452" t="s">
        <v>224</v>
      </c>
      <c r="B64" s="452" t="s">
        <v>69</v>
      </c>
      <c r="C64" s="456">
        <v>17768226.071798556</v>
      </c>
      <c r="D64" s="456">
        <v>36091.7088</v>
      </c>
      <c r="E64" s="456">
        <v>242596</v>
      </c>
      <c r="F64" s="456">
        <v>1471728.9</v>
      </c>
      <c r="G64" s="456">
        <v>16053901.171798555</v>
      </c>
      <c r="H64" s="456">
        <v>16053901.171798555</v>
      </c>
    </row>
    <row r="65" spans="1:8" ht="14.7" thickBot="1" x14ac:dyDescent="0.6">
      <c r="A65" s="452" t="s">
        <v>225</v>
      </c>
      <c r="B65" s="452" t="s">
        <v>226</v>
      </c>
      <c r="C65" s="456">
        <v>19651069.452456985</v>
      </c>
      <c r="D65" s="456">
        <v>9628985.8507062923</v>
      </c>
      <c r="E65" s="456"/>
      <c r="F65" s="456">
        <v>3334326</v>
      </c>
      <c r="G65" s="456">
        <v>25945729.303163275</v>
      </c>
      <c r="H65" s="456">
        <v>16316743.452456985</v>
      </c>
    </row>
    <row r="66" spans="1:8" ht="14.7" thickBot="1" x14ac:dyDescent="0.6">
      <c r="A66" s="452" t="s">
        <v>227</v>
      </c>
      <c r="B66" s="452" t="s">
        <v>71</v>
      </c>
      <c r="C66" s="456">
        <v>9504355.0328022987</v>
      </c>
      <c r="D66" s="456">
        <v>5047652.2585515566</v>
      </c>
      <c r="E66" s="456">
        <v>179230</v>
      </c>
      <c r="F66" s="456">
        <v>57274</v>
      </c>
      <c r="G66" s="456">
        <v>14315503.291353855</v>
      </c>
      <c r="H66" s="456">
        <v>9267851.0328022987</v>
      </c>
    </row>
    <row r="67" spans="1:8" ht="14.7" thickBot="1" x14ac:dyDescent="0.6">
      <c r="A67" s="452" t="s">
        <v>228</v>
      </c>
      <c r="B67" s="452" t="s">
        <v>58</v>
      </c>
      <c r="C67" s="456">
        <v>329992676.29036427</v>
      </c>
      <c r="D67" s="456"/>
      <c r="E67" s="456"/>
      <c r="F67" s="456"/>
      <c r="G67" s="456">
        <v>329992676.29036427</v>
      </c>
      <c r="H67" s="456">
        <v>329992676.29036427</v>
      </c>
    </row>
    <row r="68" spans="1:8" ht="14.7" thickBot="1" x14ac:dyDescent="0.6">
      <c r="A68" s="452" t="s">
        <v>229</v>
      </c>
      <c r="B68" s="452" t="s">
        <v>230</v>
      </c>
      <c r="C68" s="456">
        <v>1549574.25</v>
      </c>
      <c r="D68" s="456">
        <v>6695.1305866899484</v>
      </c>
      <c r="E68" s="456"/>
      <c r="F68" s="456">
        <v>222076.96</v>
      </c>
      <c r="G68" s="456">
        <v>1334192.4205866901</v>
      </c>
      <c r="H68" s="456">
        <v>1327497.29</v>
      </c>
    </row>
    <row r="69" spans="1:8" ht="14.7" thickBot="1" x14ac:dyDescent="0.6">
      <c r="A69" s="452" t="s">
        <v>103</v>
      </c>
      <c r="B69" s="452" t="s">
        <v>104</v>
      </c>
      <c r="C69" s="456">
        <v>324933117.61702907</v>
      </c>
      <c r="D69" s="456"/>
      <c r="E69" s="456"/>
      <c r="F69" s="456">
        <v>269294869.88475388</v>
      </c>
      <c r="G69" s="456">
        <v>55638247.732275188</v>
      </c>
      <c r="H69" s="456">
        <v>55638247.732275188</v>
      </c>
    </row>
    <row r="70" spans="1:8" ht="14.7" thickBot="1" x14ac:dyDescent="0.6">
      <c r="A70" s="452" t="s">
        <v>231</v>
      </c>
      <c r="B70" s="453" t="s">
        <v>737</v>
      </c>
      <c r="C70" s="454">
        <v>2166730355.7733283</v>
      </c>
      <c r="D70" s="454">
        <v>433983238.67077374</v>
      </c>
      <c r="E70" s="454">
        <v>7035432.71</v>
      </c>
      <c r="F70" s="454">
        <v>648101464.73685837</v>
      </c>
      <c r="G70" s="454">
        <v>1945540605.2884433</v>
      </c>
      <c r="H70" s="454">
        <v>1511593458.3264697</v>
      </c>
    </row>
    <row r="71" spans="1:8" ht="14.7" thickBot="1" x14ac:dyDescent="0.6">
      <c r="A71" s="452"/>
      <c r="B71" s="452"/>
      <c r="C71" s="452"/>
      <c r="D71" s="452"/>
      <c r="E71" s="452"/>
      <c r="F71" s="452"/>
      <c r="G71" s="452"/>
      <c r="H71" s="452"/>
    </row>
    <row r="72" spans="1:8" ht="14.7" thickBot="1" x14ac:dyDescent="0.6">
      <c r="A72" s="452"/>
      <c r="B72" s="452"/>
      <c r="C72" s="452"/>
      <c r="D72" s="452"/>
      <c r="E72" s="452"/>
      <c r="F72" s="452"/>
      <c r="G72" s="452"/>
      <c r="H72" s="452"/>
    </row>
    <row r="73" spans="1:8" ht="14.7" thickBot="1" x14ac:dyDescent="0.6">
      <c r="A73" s="446"/>
      <c r="B73" s="447" t="s">
        <v>80</v>
      </c>
      <c r="C73" s="457">
        <v>18226100701.77</v>
      </c>
      <c r="D73" s="448"/>
      <c r="E73" s="448"/>
      <c r="F73" s="448"/>
      <c r="G73" s="448"/>
      <c r="H73" s="448"/>
    </row>
    <row r="74" spans="1:8" ht="14.7" thickBot="1" x14ac:dyDescent="0.6">
      <c r="A74" s="446"/>
      <c r="B74" s="447" t="s">
        <v>738</v>
      </c>
      <c r="C74" s="449">
        <v>0.1067447523265086</v>
      </c>
    </row>
    <row r="75" spans="1:8" ht="14.7" thickBot="1" x14ac:dyDescent="0.6">
      <c r="A75" s="446"/>
      <c r="B75" s="447" t="s">
        <v>739</v>
      </c>
      <c r="C75" s="449">
        <v>8.2935647238011445E-2</v>
      </c>
    </row>
  </sheetData>
  <mergeCells count="12">
    <mergeCell ref="A30:H30"/>
    <mergeCell ref="A2:H2"/>
    <mergeCell ref="A4:H4"/>
    <mergeCell ref="A16:H16"/>
    <mergeCell ref="A23:H23"/>
    <mergeCell ref="A25:H25"/>
    <mergeCell ref="A36:H36"/>
    <mergeCell ref="A47:H47"/>
    <mergeCell ref="A52:H52"/>
    <mergeCell ref="A54:H54"/>
    <mergeCell ref="A59:H59"/>
    <mergeCell ref="C53:H53"/>
  </mergeCells>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3A700-FC1D-4C26-9448-A788360095EC}">
  <sheetPr codeName="Sheet10"/>
  <dimension ref="A1:I155"/>
  <sheetViews>
    <sheetView zoomScaleNormal="100" workbookViewId="0"/>
  </sheetViews>
  <sheetFormatPr defaultColWidth="9" defaultRowHeight="18" customHeight="1" x14ac:dyDescent="0.55000000000000004"/>
  <cols>
    <col min="1" max="1" width="8.26171875" style="175" customWidth="1"/>
    <col min="2" max="2" width="55.41796875" style="176" bestFit="1" customWidth="1"/>
    <col min="3" max="3" width="12.41796875" style="176" customWidth="1"/>
    <col min="4" max="4" width="17.15625" style="176" customWidth="1"/>
    <col min="5" max="6" width="21.15625" style="176" customWidth="1"/>
    <col min="7" max="7" width="19.83984375" style="176" customWidth="1"/>
    <col min="8" max="8" width="17.578125" style="176" customWidth="1"/>
    <col min="9" max="9" width="11.83984375" style="207" customWidth="1"/>
    <col min="10" max="16384" width="9" style="176"/>
  </cols>
  <sheetData>
    <row r="1" spans="1:8" ht="18" customHeight="1" x14ac:dyDescent="0.55000000000000004">
      <c r="C1" s="177"/>
      <c r="D1" s="177"/>
      <c r="E1" s="177"/>
      <c r="F1" s="177"/>
      <c r="G1" s="177"/>
      <c r="H1" s="177"/>
    </row>
    <row r="2" spans="1:8" ht="18" customHeight="1" x14ac:dyDescent="0.55000000000000004">
      <c r="C2" s="496"/>
      <c r="D2" s="496"/>
    </row>
    <row r="3" spans="1:8" ht="18" customHeight="1" x14ac:dyDescent="0.55000000000000004">
      <c r="B3" s="179" t="s">
        <v>235</v>
      </c>
    </row>
    <row r="5" spans="1:8" ht="18" customHeight="1" x14ac:dyDescent="0.55000000000000004">
      <c r="B5" s="180" t="s">
        <v>236</v>
      </c>
      <c r="C5" s="497" t="s">
        <v>5</v>
      </c>
      <c r="D5" s="497"/>
      <c r="E5" s="497"/>
      <c r="F5" s="208"/>
    </row>
    <row r="6" spans="1:8" ht="18" customHeight="1" x14ac:dyDescent="0.55000000000000004">
      <c r="B6" s="180" t="s">
        <v>237</v>
      </c>
      <c r="C6" s="498">
        <v>210001</v>
      </c>
      <c r="D6" s="498"/>
      <c r="E6" s="498"/>
      <c r="F6" s="209"/>
    </row>
    <row r="7" spans="1:8" ht="18" customHeight="1" x14ac:dyDescent="0.55000000000000004">
      <c r="B7" s="180" t="s">
        <v>238</v>
      </c>
      <c r="C7" s="499">
        <v>3034</v>
      </c>
      <c r="D7" s="499"/>
      <c r="E7" s="499"/>
      <c r="F7" s="210"/>
    </row>
    <row r="8" spans="1:8" ht="18" customHeight="1" x14ac:dyDescent="0.55000000000000004">
      <c r="C8" s="211"/>
      <c r="D8" s="211"/>
      <c r="E8" s="211"/>
      <c r="F8" s="212"/>
    </row>
    <row r="9" spans="1:8" ht="18" customHeight="1" x14ac:dyDescent="0.55000000000000004">
      <c r="B9" s="180" t="s">
        <v>239</v>
      </c>
      <c r="C9" s="497" t="s">
        <v>240</v>
      </c>
      <c r="D9" s="497"/>
      <c r="E9" s="497"/>
      <c r="F9" s="208"/>
    </row>
    <row r="10" spans="1:8" ht="18" customHeight="1" x14ac:dyDescent="0.55000000000000004">
      <c r="B10" s="180" t="s">
        <v>241</v>
      </c>
      <c r="C10" s="491" t="s">
        <v>242</v>
      </c>
      <c r="D10" s="491"/>
      <c r="E10" s="491"/>
      <c r="F10" s="213"/>
    </row>
    <row r="11" spans="1:8" ht="18" customHeight="1" x14ac:dyDescent="0.55000000000000004">
      <c r="B11" s="180" t="s">
        <v>243</v>
      </c>
      <c r="C11" s="492" t="s">
        <v>430</v>
      </c>
      <c r="D11" s="492"/>
      <c r="E11" s="492"/>
      <c r="F11" s="208"/>
    </row>
    <row r="12" spans="1:8" ht="18" customHeight="1" x14ac:dyDescent="0.55000000000000004">
      <c r="B12" s="180"/>
      <c r="C12" s="180"/>
    </row>
    <row r="13" spans="1:8" ht="24.75" customHeight="1" x14ac:dyDescent="0.55000000000000004">
      <c r="B13" s="493"/>
      <c r="C13" s="494"/>
      <c r="D13" s="495"/>
      <c r="E13" s="177"/>
      <c r="F13" s="177"/>
    </row>
    <row r="14" spans="1:8" ht="18" customHeight="1" x14ac:dyDescent="0.55000000000000004">
      <c r="B14" s="181"/>
    </row>
    <row r="15" spans="1:8" ht="18" customHeight="1" x14ac:dyDescent="0.55000000000000004">
      <c r="B15" s="181"/>
    </row>
    <row r="16" spans="1:8" ht="45" customHeight="1" x14ac:dyDescent="0.55000000000000004">
      <c r="A16" s="178" t="s">
        <v>98</v>
      </c>
      <c r="B16" s="177"/>
      <c r="C16" s="177"/>
      <c r="D16" s="182" t="s">
        <v>99</v>
      </c>
      <c r="E16" s="182" t="s">
        <v>100</v>
      </c>
      <c r="F16" s="182" t="s">
        <v>431</v>
      </c>
      <c r="G16" s="182" t="s">
        <v>432</v>
      </c>
      <c r="H16" s="182" t="s">
        <v>244</v>
      </c>
    </row>
    <row r="17" spans="1:9" ht="18" customHeight="1" x14ac:dyDescent="0.55000000000000004">
      <c r="A17" s="183" t="s">
        <v>101</v>
      </c>
      <c r="B17" s="179" t="s">
        <v>102</v>
      </c>
    </row>
    <row r="18" spans="1:9" ht="18" customHeight="1" x14ac:dyDescent="0.55000000000000004">
      <c r="A18" s="180" t="s">
        <v>103</v>
      </c>
      <c r="B18" s="176" t="s">
        <v>104</v>
      </c>
      <c r="D18" s="214">
        <v>7089365.7570403013</v>
      </c>
      <c r="E18" s="214"/>
      <c r="F18" s="214"/>
      <c r="G18" s="214">
        <v>5875454.7492992869</v>
      </c>
      <c r="H18" s="215">
        <f>(D18+E18)-G18</f>
        <v>1213911.0077410145</v>
      </c>
    </row>
    <row r="19" spans="1:9" ht="45" customHeight="1" x14ac:dyDescent="0.55000000000000004">
      <c r="A19" s="178" t="s">
        <v>105</v>
      </c>
      <c r="B19" s="177"/>
      <c r="C19" s="177"/>
      <c r="D19" s="182" t="s">
        <v>99</v>
      </c>
      <c r="E19" s="182" t="s">
        <v>100</v>
      </c>
      <c r="F19" s="182" t="s">
        <v>431</v>
      </c>
      <c r="G19" s="182" t="s">
        <v>432</v>
      </c>
      <c r="H19" s="182" t="s">
        <v>244</v>
      </c>
    </row>
    <row r="20" spans="1:9" ht="18" customHeight="1" x14ac:dyDescent="0.55000000000000004">
      <c r="A20" s="183" t="s">
        <v>108</v>
      </c>
      <c r="B20" s="179" t="s">
        <v>109</v>
      </c>
    </row>
    <row r="21" spans="1:9" ht="18" customHeight="1" x14ac:dyDescent="0.55000000000000004">
      <c r="A21" s="180" t="s">
        <v>110</v>
      </c>
      <c r="B21" s="176" t="s">
        <v>111</v>
      </c>
      <c r="D21" s="184">
        <f>427563.19+48910</f>
        <v>476473.19</v>
      </c>
      <c r="E21" s="216">
        <v>284970.87</v>
      </c>
      <c r="F21" s="216"/>
      <c r="G21" s="184">
        <f>79011.9+1896</f>
        <v>80907.899999999994</v>
      </c>
      <c r="H21" s="217">
        <f>(D21+E21)-F21-G21</f>
        <v>680536.16</v>
      </c>
    </row>
    <row r="22" spans="1:9" ht="18" customHeight="1" x14ac:dyDescent="0.55000000000000004">
      <c r="A22" s="180" t="s">
        <v>112</v>
      </c>
      <c r="B22" s="176" t="s">
        <v>113</v>
      </c>
      <c r="D22" s="184">
        <v>3887</v>
      </c>
      <c r="E22" s="216"/>
      <c r="F22" s="216"/>
      <c r="G22" s="184"/>
      <c r="H22" s="217">
        <f t="shared" ref="H22:H34" si="0">(D22+E22)-F22-G22</f>
        <v>3887</v>
      </c>
    </row>
    <row r="23" spans="1:9" ht="18" customHeight="1" x14ac:dyDescent="0.55000000000000004">
      <c r="A23" s="180" t="s">
        <v>114</v>
      </c>
      <c r="B23" s="176" t="s">
        <v>115</v>
      </c>
      <c r="D23" s="184"/>
      <c r="E23" s="216"/>
      <c r="F23" s="216"/>
      <c r="G23" s="184"/>
      <c r="H23" s="217">
        <f t="shared" si="0"/>
        <v>0</v>
      </c>
    </row>
    <row r="24" spans="1:9" ht="18" customHeight="1" x14ac:dyDescent="0.55000000000000004">
      <c r="A24" s="180" t="s">
        <v>116</v>
      </c>
      <c r="B24" s="176" t="s">
        <v>117</v>
      </c>
      <c r="D24" s="184"/>
      <c r="E24" s="216"/>
      <c r="F24" s="216"/>
      <c r="G24" s="184"/>
      <c r="H24" s="217">
        <f t="shared" si="0"/>
        <v>0</v>
      </c>
    </row>
    <row r="25" spans="1:9" ht="18" customHeight="1" x14ac:dyDescent="0.55000000000000004">
      <c r="A25" s="180" t="s">
        <v>118</v>
      </c>
      <c r="B25" s="176" t="s">
        <v>119</v>
      </c>
      <c r="D25" s="184"/>
      <c r="E25" s="216"/>
      <c r="F25" s="216"/>
      <c r="G25" s="184"/>
      <c r="H25" s="217">
        <f t="shared" si="0"/>
        <v>0</v>
      </c>
    </row>
    <row r="26" spans="1:9" ht="18" customHeight="1" x14ac:dyDescent="0.55000000000000004">
      <c r="A26" s="180" t="s">
        <v>120</v>
      </c>
      <c r="B26" s="176" t="s">
        <v>121</v>
      </c>
      <c r="D26" s="184"/>
      <c r="E26" s="216"/>
      <c r="F26" s="216"/>
      <c r="G26" s="184"/>
      <c r="H26" s="217">
        <f t="shared" si="0"/>
        <v>0</v>
      </c>
    </row>
    <row r="27" spans="1:9" ht="18" customHeight="1" x14ac:dyDescent="0.55000000000000004">
      <c r="A27" s="180" t="s">
        <v>122</v>
      </c>
      <c r="B27" s="176" t="s">
        <v>246</v>
      </c>
      <c r="D27" s="184"/>
      <c r="E27" s="216"/>
      <c r="F27" s="216"/>
      <c r="G27" s="184"/>
      <c r="H27" s="217">
        <f t="shared" si="0"/>
        <v>0</v>
      </c>
    </row>
    <row r="28" spans="1:9" ht="18" customHeight="1" x14ac:dyDescent="0.55000000000000004">
      <c r="A28" s="180" t="s">
        <v>124</v>
      </c>
      <c r="B28" s="176" t="s">
        <v>125</v>
      </c>
      <c r="D28" s="184"/>
      <c r="E28" s="216"/>
      <c r="F28" s="216"/>
      <c r="G28" s="184"/>
      <c r="H28" s="217">
        <f t="shared" si="0"/>
        <v>0</v>
      </c>
    </row>
    <row r="29" spans="1:9" ht="18" customHeight="1" x14ac:dyDescent="0.55000000000000004">
      <c r="A29" s="180" t="s">
        <v>126</v>
      </c>
      <c r="B29" s="176" t="s">
        <v>127</v>
      </c>
      <c r="D29" s="184">
        <v>966737</v>
      </c>
      <c r="E29" s="216"/>
      <c r="F29" s="216"/>
      <c r="G29" s="184"/>
      <c r="H29" s="217">
        <f t="shared" si="0"/>
        <v>966737</v>
      </c>
    </row>
    <row r="30" spans="1:9" ht="18" customHeight="1" x14ac:dyDescent="0.55000000000000004">
      <c r="A30" s="180" t="s">
        <v>128</v>
      </c>
      <c r="B30" s="193"/>
      <c r="D30" s="184"/>
      <c r="E30" s="216"/>
      <c r="F30" s="216"/>
      <c r="G30" s="184"/>
      <c r="H30" s="217">
        <f t="shared" si="0"/>
        <v>0</v>
      </c>
      <c r="I30" s="218"/>
    </row>
    <row r="31" spans="1:9" ht="18" customHeight="1" x14ac:dyDescent="0.55000000000000004">
      <c r="A31" s="180" t="s">
        <v>130</v>
      </c>
      <c r="B31" s="185"/>
      <c r="D31" s="184"/>
      <c r="E31" s="216"/>
      <c r="F31" s="216"/>
      <c r="G31" s="184"/>
      <c r="H31" s="217">
        <f t="shared" si="0"/>
        <v>0</v>
      </c>
    </row>
    <row r="32" spans="1:9" ht="18" customHeight="1" x14ac:dyDescent="0.55000000000000004">
      <c r="A32" s="180" t="s">
        <v>131</v>
      </c>
      <c r="B32" s="185"/>
      <c r="D32" s="184"/>
      <c r="E32" s="216"/>
      <c r="F32" s="216"/>
      <c r="G32" s="184"/>
      <c r="H32" s="217">
        <f t="shared" si="0"/>
        <v>0</v>
      </c>
    </row>
    <row r="33" spans="1:8" ht="18" customHeight="1" x14ac:dyDescent="0.55000000000000004">
      <c r="A33" s="180" t="s">
        <v>132</v>
      </c>
      <c r="B33" s="185"/>
      <c r="D33" s="184"/>
      <c r="E33" s="216"/>
      <c r="F33" s="216"/>
      <c r="G33" s="184"/>
      <c r="H33" s="217">
        <f t="shared" si="0"/>
        <v>0</v>
      </c>
    </row>
    <row r="34" spans="1:8" ht="18" customHeight="1" x14ac:dyDescent="0.55000000000000004">
      <c r="A34" s="180" t="s">
        <v>133</v>
      </c>
      <c r="B34" s="185"/>
      <c r="D34" s="184"/>
      <c r="E34" s="216"/>
      <c r="F34" s="216"/>
      <c r="G34" s="184"/>
      <c r="H34" s="217">
        <f t="shared" si="0"/>
        <v>0</v>
      </c>
    </row>
    <row r="35" spans="1:8" ht="18" customHeight="1" x14ac:dyDescent="0.55000000000000004">
      <c r="H35" s="186"/>
    </row>
    <row r="36" spans="1:8" ht="18" customHeight="1" x14ac:dyDescent="0.55000000000000004">
      <c r="A36" s="183" t="s">
        <v>134</v>
      </c>
      <c r="B36" s="179" t="s">
        <v>135</v>
      </c>
      <c r="C36" s="179" t="s">
        <v>248</v>
      </c>
      <c r="D36" s="217">
        <f>SUM(D21:D34)</f>
        <v>1447097.19</v>
      </c>
      <c r="E36" s="217">
        <f>SUM(E21:E34)</f>
        <v>284970.87</v>
      </c>
      <c r="F36" s="217">
        <f>SUM(F21:F34)</f>
        <v>0</v>
      </c>
      <c r="G36" s="217">
        <f>SUM(G21:G34)</f>
        <v>80907.899999999994</v>
      </c>
      <c r="H36" s="217">
        <f>SUM(H21:H34)</f>
        <v>1651160.1600000001</v>
      </c>
    </row>
    <row r="37" spans="1:8" ht="18" customHeight="1" thickBot="1" x14ac:dyDescent="0.6">
      <c r="B37" s="179"/>
      <c r="D37" s="187"/>
      <c r="E37" s="187"/>
      <c r="F37" s="187"/>
      <c r="G37" s="187"/>
      <c r="H37" s="188"/>
    </row>
    <row r="38" spans="1:8" ht="42.75" customHeight="1" x14ac:dyDescent="0.55000000000000004">
      <c r="D38" s="182" t="s">
        <v>99</v>
      </c>
      <c r="E38" s="182" t="s">
        <v>100</v>
      </c>
      <c r="F38" s="182" t="s">
        <v>431</v>
      </c>
      <c r="G38" s="182" t="s">
        <v>432</v>
      </c>
      <c r="H38" s="182" t="s">
        <v>244</v>
      </c>
    </row>
    <row r="39" spans="1:8" ht="18.75" customHeight="1" x14ac:dyDescent="0.55000000000000004">
      <c r="A39" s="183" t="s">
        <v>249</v>
      </c>
      <c r="B39" s="179" t="s">
        <v>137</v>
      </c>
    </row>
    <row r="40" spans="1:8" ht="18" customHeight="1" x14ac:dyDescent="0.55000000000000004">
      <c r="A40" s="180" t="s">
        <v>250</v>
      </c>
      <c r="B40" s="176" t="s">
        <v>139</v>
      </c>
      <c r="D40" s="184">
        <f>3122488.4+42</f>
        <v>3122530.4</v>
      </c>
      <c r="E40" s="216">
        <v>2081138.52</v>
      </c>
      <c r="F40" s="216"/>
      <c r="G40" s="184">
        <v>254598.23</v>
      </c>
      <c r="H40" s="217">
        <f>(D40+E40)-F40-G40</f>
        <v>4949070.6899999995</v>
      </c>
    </row>
    <row r="41" spans="1:8" ht="18" customHeight="1" x14ac:dyDescent="0.55000000000000004">
      <c r="A41" s="180" t="s">
        <v>251</v>
      </c>
      <c r="B41" s="176" t="s">
        <v>141</v>
      </c>
      <c r="D41" s="184">
        <v>7597</v>
      </c>
      <c r="E41" s="216"/>
      <c r="F41" s="216"/>
      <c r="G41" s="184"/>
      <c r="H41" s="217">
        <f t="shared" ref="H41:H47" si="1">(D41+E41)-F41-G41</f>
        <v>7597</v>
      </c>
    </row>
    <row r="42" spans="1:8" ht="18" customHeight="1" x14ac:dyDescent="0.55000000000000004">
      <c r="A42" s="180" t="s">
        <v>252</v>
      </c>
      <c r="B42" s="176" t="s">
        <v>143</v>
      </c>
      <c r="D42" s="184">
        <v>155053</v>
      </c>
      <c r="E42" s="216"/>
      <c r="F42" s="216"/>
      <c r="G42" s="184"/>
      <c r="H42" s="217">
        <f t="shared" si="1"/>
        <v>155053</v>
      </c>
    </row>
    <row r="43" spans="1:8" ht="18" customHeight="1" x14ac:dyDescent="0.55000000000000004">
      <c r="A43" s="180" t="s">
        <v>253</v>
      </c>
      <c r="B43" s="176" t="s">
        <v>145</v>
      </c>
      <c r="D43" s="184"/>
      <c r="E43" s="216"/>
      <c r="F43" s="216"/>
      <c r="G43" s="184"/>
      <c r="H43" s="217">
        <f t="shared" si="1"/>
        <v>0</v>
      </c>
    </row>
    <row r="44" spans="1:8" ht="18" customHeight="1" x14ac:dyDescent="0.55000000000000004">
      <c r="A44" s="180" t="s">
        <v>146</v>
      </c>
      <c r="B44" s="185"/>
      <c r="D44" s="219"/>
      <c r="E44" s="220"/>
      <c r="F44" s="220"/>
      <c r="G44" s="219"/>
      <c r="H44" s="217">
        <f t="shared" si="1"/>
        <v>0</v>
      </c>
    </row>
    <row r="45" spans="1:8" ht="18" customHeight="1" x14ac:dyDescent="0.55000000000000004">
      <c r="A45" s="180" t="s">
        <v>147</v>
      </c>
      <c r="B45" s="185"/>
      <c r="D45" s="184"/>
      <c r="E45" s="216"/>
      <c r="F45" s="216"/>
      <c r="G45" s="184"/>
      <c r="H45" s="217">
        <f t="shared" si="1"/>
        <v>0</v>
      </c>
    </row>
    <row r="46" spans="1:8" ht="18" customHeight="1" x14ac:dyDescent="0.55000000000000004">
      <c r="A46" s="180" t="s">
        <v>148</v>
      </c>
      <c r="B46" s="185"/>
      <c r="D46" s="184"/>
      <c r="E46" s="216"/>
      <c r="F46" s="216"/>
      <c r="G46" s="184"/>
      <c r="H46" s="217">
        <f t="shared" si="1"/>
        <v>0</v>
      </c>
    </row>
    <row r="47" spans="1:8" ht="18" customHeight="1" x14ac:dyDescent="0.55000000000000004">
      <c r="A47" s="180" t="s">
        <v>149</v>
      </c>
      <c r="B47" s="185"/>
      <c r="D47" s="184"/>
      <c r="E47" s="216"/>
      <c r="F47" s="216"/>
      <c r="G47" s="184"/>
      <c r="H47" s="217">
        <f t="shared" si="1"/>
        <v>0</v>
      </c>
    </row>
    <row r="49" spans="1:9" ht="18" customHeight="1" x14ac:dyDescent="0.55000000000000004">
      <c r="A49" s="183" t="s">
        <v>150</v>
      </c>
      <c r="B49" s="179" t="s">
        <v>254</v>
      </c>
      <c r="C49" s="179" t="s">
        <v>248</v>
      </c>
      <c r="D49" s="217">
        <f>SUM(D40:D47)</f>
        <v>3285180.4</v>
      </c>
      <c r="E49" s="217">
        <f>SUM(E40:E47)</f>
        <v>2081138.52</v>
      </c>
      <c r="F49" s="217">
        <f>SUM(F40:F47)</f>
        <v>0</v>
      </c>
      <c r="G49" s="217">
        <f>SUM(G40:G47)</f>
        <v>254598.23</v>
      </c>
      <c r="H49" s="217">
        <f>SUM(H40:H47)</f>
        <v>5111720.6899999995</v>
      </c>
    </row>
    <row r="50" spans="1:9" ht="18" customHeight="1" thickBot="1" x14ac:dyDescent="0.6">
      <c r="D50" s="189"/>
      <c r="E50" s="189"/>
      <c r="F50" s="189"/>
      <c r="G50" s="189"/>
      <c r="H50" s="189"/>
    </row>
    <row r="51" spans="1:9" ht="42.75" customHeight="1" x14ac:dyDescent="0.55000000000000004">
      <c r="D51" s="182" t="s">
        <v>99</v>
      </c>
      <c r="E51" s="182" t="s">
        <v>100</v>
      </c>
      <c r="F51" s="182" t="s">
        <v>431</v>
      </c>
      <c r="G51" s="182" t="s">
        <v>432</v>
      </c>
      <c r="H51" s="182" t="s">
        <v>244</v>
      </c>
    </row>
    <row r="52" spans="1:9" ht="18" customHeight="1" x14ac:dyDescent="0.55000000000000004">
      <c r="A52" s="183" t="s">
        <v>255</v>
      </c>
      <c r="B52" s="221" t="s">
        <v>256</v>
      </c>
    </row>
    <row r="53" spans="1:9" ht="18" customHeight="1" x14ac:dyDescent="0.55000000000000004">
      <c r="A53" s="180" t="s">
        <v>257</v>
      </c>
      <c r="B53" s="176" t="s">
        <v>433</v>
      </c>
      <c r="D53" s="184">
        <v>70180177.63000001</v>
      </c>
      <c r="E53" s="184">
        <v>15074119.25</v>
      </c>
      <c r="F53" s="222"/>
      <c r="G53" s="184">
        <v>40538871.829999998</v>
      </c>
      <c r="H53" s="217">
        <f>(D53+E53)-F53-G53</f>
        <v>44715425.050000012</v>
      </c>
    </row>
    <row r="54" spans="1:9" ht="18" customHeight="1" x14ac:dyDescent="0.55000000000000004">
      <c r="A54" s="180" t="s">
        <v>259</v>
      </c>
      <c r="B54" s="193" t="s">
        <v>258</v>
      </c>
      <c r="D54" s="184">
        <v>48563.53</v>
      </c>
      <c r="E54" s="216"/>
      <c r="F54" s="216"/>
      <c r="G54" s="184">
        <v>10178.700000000001</v>
      </c>
      <c r="H54" s="217">
        <f t="shared" ref="H54:H62" si="2">(D54+E54)-F54-G54</f>
        <v>38384.83</v>
      </c>
    </row>
    <row r="55" spans="1:9" ht="18" customHeight="1" x14ac:dyDescent="0.55000000000000004">
      <c r="A55" s="180" t="s">
        <v>260</v>
      </c>
      <c r="B55" s="194" t="s">
        <v>262</v>
      </c>
      <c r="D55" s="184">
        <v>28514.94</v>
      </c>
      <c r="E55" s="216"/>
      <c r="F55" s="216"/>
      <c r="G55" s="184"/>
      <c r="H55" s="217">
        <f t="shared" si="2"/>
        <v>28514.94</v>
      </c>
      <c r="I55" s="218"/>
    </row>
    <row r="56" spans="1:9" ht="18" customHeight="1" x14ac:dyDescent="0.55000000000000004">
      <c r="A56" s="180" t="s">
        <v>261</v>
      </c>
      <c r="B56" s="193"/>
      <c r="D56" s="184"/>
      <c r="E56" s="216"/>
      <c r="F56" s="216"/>
      <c r="G56" s="184"/>
      <c r="H56" s="217">
        <f t="shared" si="2"/>
        <v>0</v>
      </c>
    </row>
    <row r="57" spans="1:9" ht="18" customHeight="1" x14ac:dyDescent="0.55000000000000004">
      <c r="A57" s="180" t="s">
        <v>263</v>
      </c>
      <c r="B57" s="193"/>
      <c r="D57" s="184"/>
      <c r="E57" s="216"/>
      <c r="F57" s="216"/>
      <c r="G57" s="184"/>
      <c r="H57" s="217">
        <f t="shared" si="2"/>
        <v>0</v>
      </c>
    </row>
    <row r="58" spans="1:9" ht="18" customHeight="1" x14ac:dyDescent="0.55000000000000004">
      <c r="A58" s="180" t="s">
        <v>264</v>
      </c>
      <c r="B58" s="193"/>
      <c r="D58" s="184"/>
      <c r="E58" s="216"/>
      <c r="F58" s="216"/>
      <c r="G58" s="184"/>
      <c r="H58" s="217">
        <f>(D58+E58)-F58-G58</f>
        <v>0</v>
      </c>
    </row>
    <row r="59" spans="1:9" ht="18" customHeight="1" x14ac:dyDescent="0.55000000000000004">
      <c r="A59" s="180" t="s">
        <v>265</v>
      </c>
      <c r="B59" s="223"/>
      <c r="D59" s="224"/>
      <c r="E59" s="225"/>
      <c r="F59" s="225"/>
      <c r="G59" s="224"/>
      <c r="H59" s="217">
        <f t="shared" si="2"/>
        <v>0</v>
      </c>
    </row>
    <row r="60" spans="1:9" ht="18" customHeight="1" x14ac:dyDescent="0.55000000000000004">
      <c r="A60" s="180" t="s">
        <v>266</v>
      </c>
      <c r="B60" s="226"/>
      <c r="C60" s="212"/>
      <c r="D60" s="222"/>
      <c r="E60" s="222"/>
      <c r="F60" s="222"/>
      <c r="G60" s="222"/>
      <c r="H60" s="217">
        <f t="shared" si="2"/>
        <v>0</v>
      </c>
    </row>
    <row r="61" spans="1:9" ht="18" customHeight="1" x14ac:dyDescent="0.55000000000000004">
      <c r="A61" s="180" t="s">
        <v>267</v>
      </c>
      <c r="B61" s="226"/>
      <c r="C61" s="212"/>
      <c r="D61" s="222"/>
      <c r="E61" s="222"/>
      <c r="F61" s="222"/>
      <c r="G61" s="222"/>
      <c r="H61" s="217">
        <f t="shared" si="2"/>
        <v>0</v>
      </c>
    </row>
    <row r="62" spans="1:9" ht="18" customHeight="1" x14ac:dyDescent="0.55000000000000004">
      <c r="A62" s="180" t="s">
        <v>268</v>
      </c>
      <c r="B62" s="226"/>
      <c r="C62" s="212"/>
      <c r="D62" s="222"/>
      <c r="E62" s="222"/>
      <c r="F62" s="222"/>
      <c r="G62" s="222"/>
      <c r="H62" s="217">
        <f t="shared" si="2"/>
        <v>0</v>
      </c>
    </row>
    <row r="63" spans="1:9" ht="18" customHeight="1" x14ac:dyDescent="0.55000000000000004">
      <c r="A63" s="180"/>
      <c r="E63" s="227"/>
      <c r="F63" s="192"/>
    </row>
    <row r="64" spans="1:9" ht="18" customHeight="1" x14ac:dyDescent="0.55000000000000004">
      <c r="A64" s="180" t="s">
        <v>269</v>
      </c>
      <c r="B64" s="179" t="s">
        <v>270</v>
      </c>
      <c r="C64" s="179" t="s">
        <v>248</v>
      </c>
      <c r="D64" s="217">
        <f>SUM(D53:D62)</f>
        <v>70257256.100000009</v>
      </c>
      <c r="E64" s="217">
        <f>SUM(E53:E62)</f>
        <v>15074119.25</v>
      </c>
      <c r="F64" s="217">
        <f>SUM(F53:F62)</f>
        <v>0</v>
      </c>
      <c r="G64" s="217">
        <f>SUM(G53:G62)</f>
        <v>40549050.530000001</v>
      </c>
      <c r="H64" s="217">
        <f>SUM(H53:H62)</f>
        <v>44782324.820000008</v>
      </c>
    </row>
    <row r="65" spans="1:9" ht="18" customHeight="1" x14ac:dyDescent="0.55000000000000004">
      <c r="D65" s="190"/>
      <c r="E65" s="190"/>
      <c r="F65" s="190"/>
      <c r="G65" s="190"/>
      <c r="H65" s="190"/>
    </row>
    <row r="66" spans="1:9" ht="42.75" customHeight="1" x14ac:dyDescent="0.55000000000000004">
      <c r="D66" s="182" t="s">
        <v>99</v>
      </c>
      <c r="E66" s="182" t="s">
        <v>100</v>
      </c>
      <c r="F66" s="182" t="s">
        <v>431</v>
      </c>
      <c r="G66" s="182" t="s">
        <v>432</v>
      </c>
      <c r="H66" s="182" t="s">
        <v>244</v>
      </c>
    </row>
    <row r="67" spans="1:9" ht="18" customHeight="1" x14ac:dyDescent="0.55000000000000004">
      <c r="A67" s="183" t="s">
        <v>271</v>
      </c>
      <c r="B67" s="179" t="s">
        <v>155</v>
      </c>
      <c r="D67" s="191"/>
      <c r="E67" s="192"/>
      <c r="F67" s="192"/>
      <c r="G67" s="191"/>
      <c r="H67" s="192"/>
    </row>
    <row r="68" spans="1:9" ht="18" customHeight="1" x14ac:dyDescent="0.55000000000000004">
      <c r="A68" s="180" t="s">
        <v>272</v>
      </c>
      <c r="B68" s="176" t="s">
        <v>157</v>
      </c>
      <c r="D68" s="184"/>
      <c r="E68" s="216"/>
      <c r="F68" s="216"/>
      <c r="G68" s="184"/>
      <c r="H68" s="217">
        <f>(D68+E68)-F68-G68</f>
        <v>0</v>
      </c>
      <c r="I68" s="218"/>
    </row>
    <row r="69" spans="1:9" ht="18" customHeight="1" x14ac:dyDescent="0.55000000000000004">
      <c r="A69" s="180" t="s">
        <v>273</v>
      </c>
      <c r="B69" s="176" t="s">
        <v>159</v>
      </c>
      <c r="D69" s="228"/>
      <c r="E69" s="216"/>
      <c r="F69" s="216"/>
      <c r="G69" s="228"/>
      <c r="H69" s="217">
        <f>(D69+E69)-F69-G69</f>
        <v>0</v>
      </c>
    </row>
    <row r="70" spans="1:9" ht="18" customHeight="1" x14ac:dyDescent="0.55000000000000004">
      <c r="A70" s="180" t="s">
        <v>274</v>
      </c>
      <c r="B70" s="193"/>
      <c r="C70" s="179"/>
      <c r="D70" s="224"/>
      <c r="E70" s="216"/>
      <c r="F70" s="225"/>
      <c r="G70" s="224"/>
      <c r="H70" s="217">
        <f>(D70+E70)-F70-G70</f>
        <v>0</v>
      </c>
    </row>
    <row r="71" spans="1:9" ht="18" customHeight="1" x14ac:dyDescent="0.55000000000000004">
      <c r="A71" s="180" t="s">
        <v>275</v>
      </c>
      <c r="B71" s="193"/>
      <c r="C71" s="179"/>
      <c r="D71" s="224"/>
      <c r="E71" s="216"/>
      <c r="F71" s="225"/>
      <c r="G71" s="224"/>
      <c r="H71" s="217">
        <f>(D71+E71)-F71-G71</f>
        <v>0</v>
      </c>
    </row>
    <row r="72" spans="1:9" ht="18" customHeight="1" x14ac:dyDescent="0.55000000000000004">
      <c r="A72" s="180" t="s">
        <v>276</v>
      </c>
      <c r="B72" s="194"/>
      <c r="C72" s="179"/>
      <c r="D72" s="184"/>
      <c r="E72" s="216"/>
      <c r="F72" s="216"/>
      <c r="G72" s="184"/>
      <c r="H72" s="217">
        <f>(D72+E72)-F72-G72</f>
        <v>0</v>
      </c>
    </row>
    <row r="73" spans="1:9" ht="18" customHeight="1" x14ac:dyDescent="0.55000000000000004">
      <c r="A73" s="180"/>
      <c r="C73" s="179"/>
      <c r="D73" s="195"/>
      <c r="E73" s="192"/>
      <c r="F73" s="192"/>
      <c r="G73" s="195"/>
      <c r="H73" s="192"/>
    </row>
    <row r="74" spans="1:9" ht="18" customHeight="1" x14ac:dyDescent="0.55000000000000004">
      <c r="A74" s="183" t="s">
        <v>161</v>
      </c>
      <c r="B74" s="179" t="s">
        <v>277</v>
      </c>
      <c r="C74" s="179" t="s">
        <v>248</v>
      </c>
      <c r="D74" s="217">
        <f>SUM(D68:D72)</f>
        <v>0</v>
      </c>
      <c r="E74" s="229">
        <f>SUM(E68:E72)</f>
        <v>0</v>
      </c>
      <c r="F74" s="229">
        <f>SUM(F68:F72)</f>
        <v>0</v>
      </c>
      <c r="G74" s="217">
        <f>SUM(G68:G72)</f>
        <v>0</v>
      </c>
      <c r="H74" s="217">
        <f>SUM(H68:H72)</f>
        <v>0</v>
      </c>
    </row>
    <row r="75" spans="1:9" ht="42.75" customHeight="1" x14ac:dyDescent="0.55000000000000004">
      <c r="D75" s="182" t="s">
        <v>99</v>
      </c>
      <c r="E75" s="182" t="s">
        <v>100</v>
      </c>
      <c r="F75" s="182" t="s">
        <v>431</v>
      </c>
      <c r="G75" s="182" t="s">
        <v>432</v>
      </c>
      <c r="H75" s="182" t="s">
        <v>244</v>
      </c>
    </row>
    <row r="76" spans="1:9" ht="18" customHeight="1" x14ac:dyDescent="0.55000000000000004">
      <c r="A76" s="183" t="s">
        <v>278</v>
      </c>
      <c r="B76" s="179" t="s">
        <v>279</v>
      </c>
    </row>
    <row r="77" spans="1:9" ht="18" customHeight="1" x14ac:dyDescent="0.55000000000000004">
      <c r="A77" s="180" t="s">
        <v>280</v>
      </c>
      <c r="B77" s="176" t="s">
        <v>164</v>
      </c>
      <c r="D77" s="184">
        <v>61437.88</v>
      </c>
      <c r="E77" s="230"/>
      <c r="F77" s="220"/>
      <c r="G77" s="184">
        <v>200</v>
      </c>
      <c r="H77" s="217">
        <f>(D77-F77-G77)</f>
        <v>61237.88</v>
      </c>
    </row>
    <row r="78" spans="1:9" ht="18" customHeight="1" x14ac:dyDescent="0.55000000000000004">
      <c r="A78" s="180" t="s">
        <v>281</v>
      </c>
      <c r="B78" s="176" t="s">
        <v>166</v>
      </c>
      <c r="D78" s="184">
        <v>117984.49</v>
      </c>
      <c r="E78" s="230"/>
      <c r="F78" s="220"/>
      <c r="G78" s="184">
        <v>95494.94</v>
      </c>
      <c r="H78" s="217">
        <f>(D78-F78-G78)</f>
        <v>22489.550000000003</v>
      </c>
    </row>
    <row r="79" spans="1:9" ht="18" customHeight="1" x14ac:dyDescent="0.55000000000000004">
      <c r="A79" s="180" t="s">
        <v>282</v>
      </c>
      <c r="B79" s="176" t="s">
        <v>168</v>
      </c>
      <c r="D79" s="184">
        <v>56541</v>
      </c>
      <c r="E79" s="230"/>
      <c r="F79" s="220"/>
      <c r="G79" s="184">
        <v>75</v>
      </c>
      <c r="H79" s="217">
        <f>(D79-F79-G79)</f>
        <v>56466</v>
      </c>
    </row>
    <row r="80" spans="1:9" ht="18" customHeight="1" x14ac:dyDescent="0.55000000000000004">
      <c r="A80" s="180" t="s">
        <v>283</v>
      </c>
      <c r="B80" s="176" t="s">
        <v>170</v>
      </c>
      <c r="D80" s="184"/>
      <c r="E80" s="230"/>
      <c r="F80" s="220"/>
      <c r="G80" s="184"/>
      <c r="H80" s="217">
        <f>(D80-F80-G80)</f>
        <v>0</v>
      </c>
    </row>
    <row r="81" spans="1:9" ht="18" customHeight="1" x14ac:dyDescent="0.55000000000000004">
      <c r="A81" s="180"/>
      <c r="H81" s="196"/>
    </row>
    <row r="82" spans="1:9" ht="18" customHeight="1" x14ac:dyDescent="0.55000000000000004">
      <c r="A82" s="180" t="s">
        <v>171</v>
      </c>
      <c r="B82" s="179" t="s">
        <v>284</v>
      </c>
      <c r="C82" s="179" t="s">
        <v>248</v>
      </c>
      <c r="D82" s="217">
        <f>SUM(D77:D80)</f>
        <v>235963.37</v>
      </c>
      <c r="E82" s="231"/>
      <c r="F82" s="217">
        <f>SUM(F77:F80)</f>
        <v>0</v>
      </c>
      <c r="G82" s="217">
        <f>SUM(G77:G80)</f>
        <v>95769.94</v>
      </c>
      <c r="H82" s="217">
        <f>SUM(H77:H80)</f>
        <v>140193.43</v>
      </c>
    </row>
    <row r="83" spans="1:9" ht="18" customHeight="1" thickBot="1" x14ac:dyDescent="0.6">
      <c r="A83" s="180"/>
      <c r="D83" s="189"/>
      <c r="E83" s="189"/>
      <c r="F83" s="189"/>
      <c r="G83" s="189"/>
      <c r="H83" s="189"/>
    </row>
    <row r="84" spans="1:9" ht="42.75" customHeight="1" x14ac:dyDescent="0.55000000000000004">
      <c r="D84" s="182" t="s">
        <v>99</v>
      </c>
      <c r="E84" s="182" t="s">
        <v>100</v>
      </c>
      <c r="F84" s="182" t="s">
        <v>431</v>
      </c>
      <c r="G84" s="182" t="s">
        <v>432</v>
      </c>
      <c r="H84" s="182" t="s">
        <v>244</v>
      </c>
    </row>
    <row r="85" spans="1:9" ht="18" customHeight="1" x14ac:dyDescent="0.55000000000000004">
      <c r="A85" s="183" t="s">
        <v>285</v>
      </c>
      <c r="B85" s="179" t="s">
        <v>173</v>
      </c>
    </row>
    <row r="86" spans="1:9" ht="18" customHeight="1" x14ac:dyDescent="0.55000000000000004">
      <c r="A86" s="180" t="s">
        <v>191</v>
      </c>
      <c r="B86" s="176" t="s">
        <v>286</v>
      </c>
      <c r="D86" s="184">
        <v>11313</v>
      </c>
      <c r="E86" s="216"/>
      <c r="F86" s="216"/>
      <c r="G86" s="184"/>
      <c r="H86" s="217">
        <f>(D86+E86)-F86-G86</f>
        <v>11313</v>
      </c>
    </row>
    <row r="87" spans="1:9" ht="18" customHeight="1" x14ac:dyDescent="0.55000000000000004">
      <c r="A87" s="180" t="s">
        <v>287</v>
      </c>
      <c r="B87" s="176" t="s">
        <v>177</v>
      </c>
      <c r="D87" s="184"/>
      <c r="E87" s="216"/>
      <c r="F87" s="216"/>
      <c r="G87" s="184"/>
      <c r="H87" s="217">
        <f t="shared" ref="H87:H96" si="3">(D87+E87)-F87-G87</f>
        <v>0</v>
      </c>
    </row>
    <row r="88" spans="1:9" ht="18" customHeight="1" x14ac:dyDescent="0.55000000000000004">
      <c r="A88" s="180" t="s">
        <v>288</v>
      </c>
      <c r="B88" s="176" t="s">
        <v>289</v>
      </c>
      <c r="D88" s="184">
        <v>2319.25</v>
      </c>
      <c r="E88" s="216">
        <v>1545.78</v>
      </c>
      <c r="F88" s="216"/>
      <c r="G88" s="184"/>
      <c r="H88" s="217">
        <f t="shared" si="3"/>
        <v>3865.0299999999997</v>
      </c>
      <c r="I88" s="232"/>
    </row>
    <row r="89" spans="1:9" ht="18" customHeight="1" x14ac:dyDescent="0.55000000000000004">
      <c r="A89" s="180" t="s">
        <v>290</v>
      </c>
      <c r="B89" s="176" t="s">
        <v>181</v>
      </c>
      <c r="D89" s="184"/>
      <c r="E89" s="216"/>
      <c r="F89" s="216"/>
      <c r="G89" s="184"/>
      <c r="H89" s="217">
        <f t="shared" si="3"/>
        <v>0</v>
      </c>
    </row>
    <row r="90" spans="1:9" ht="18" customHeight="1" x14ac:dyDescent="0.55000000000000004">
      <c r="A90" s="180" t="s">
        <v>291</v>
      </c>
      <c r="B90" s="176" t="s">
        <v>183</v>
      </c>
      <c r="D90" s="184">
        <v>9175</v>
      </c>
      <c r="E90" s="216">
        <v>6115.14</v>
      </c>
      <c r="F90" s="216"/>
      <c r="G90" s="184"/>
      <c r="H90" s="217">
        <f t="shared" si="3"/>
        <v>15290.14</v>
      </c>
      <c r="I90" s="232"/>
    </row>
    <row r="91" spans="1:9" ht="18" customHeight="1" x14ac:dyDescent="0.55000000000000004">
      <c r="A91" s="180" t="s">
        <v>292</v>
      </c>
      <c r="B91" s="176" t="s">
        <v>185</v>
      </c>
      <c r="D91" s="184">
        <v>130064</v>
      </c>
      <c r="E91" s="216"/>
      <c r="F91" s="216"/>
      <c r="G91" s="184"/>
      <c r="H91" s="217">
        <f t="shared" si="3"/>
        <v>130064</v>
      </c>
    </row>
    <row r="92" spans="1:9" ht="18" customHeight="1" x14ac:dyDescent="0.55000000000000004">
      <c r="A92" s="180" t="s">
        <v>293</v>
      </c>
      <c r="B92" s="176" t="s">
        <v>294</v>
      </c>
      <c r="D92" s="233"/>
      <c r="E92" s="216"/>
      <c r="F92" s="234"/>
      <c r="G92" s="233"/>
      <c r="H92" s="217">
        <f t="shared" si="3"/>
        <v>0</v>
      </c>
    </row>
    <row r="93" spans="1:9" ht="18" customHeight="1" x14ac:dyDescent="0.55000000000000004">
      <c r="A93" s="180" t="s">
        <v>295</v>
      </c>
      <c r="B93" s="176" t="s">
        <v>296</v>
      </c>
      <c r="D93" s="184"/>
      <c r="E93" s="216"/>
      <c r="F93" s="216"/>
      <c r="G93" s="184"/>
      <c r="H93" s="217">
        <f t="shared" si="3"/>
        <v>0</v>
      </c>
    </row>
    <row r="94" spans="1:9" ht="18" customHeight="1" x14ac:dyDescent="0.55000000000000004">
      <c r="A94" s="180" t="s">
        <v>297</v>
      </c>
      <c r="B94" s="193"/>
      <c r="D94" s="184"/>
      <c r="E94" s="216"/>
      <c r="F94" s="216"/>
      <c r="G94" s="184"/>
      <c r="H94" s="217">
        <f t="shared" si="3"/>
        <v>0</v>
      </c>
    </row>
    <row r="95" spans="1:9" ht="18" customHeight="1" x14ac:dyDescent="0.55000000000000004">
      <c r="A95" s="180" t="s">
        <v>298</v>
      </c>
      <c r="B95" s="193"/>
      <c r="D95" s="184"/>
      <c r="E95" s="216"/>
      <c r="F95" s="216"/>
      <c r="G95" s="184"/>
      <c r="H95" s="217">
        <f t="shared" si="3"/>
        <v>0</v>
      </c>
    </row>
    <row r="96" spans="1:9" ht="18" customHeight="1" x14ac:dyDescent="0.55000000000000004">
      <c r="A96" s="180" t="s">
        <v>299</v>
      </c>
      <c r="B96" s="193"/>
      <c r="D96" s="184"/>
      <c r="E96" s="216"/>
      <c r="F96" s="216"/>
      <c r="G96" s="184"/>
      <c r="H96" s="217">
        <f t="shared" si="3"/>
        <v>0</v>
      </c>
    </row>
    <row r="97" spans="1:8" ht="18" customHeight="1" x14ac:dyDescent="0.55000000000000004">
      <c r="A97" s="180"/>
    </row>
    <row r="98" spans="1:8" ht="18" customHeight="1" x14ac:dyDescent="0.55000000000000004">
      <c r="A98" s="183" t="s">
        <v>193</v>
      </c>
      <c r="B98" s="179" t="s">
        <v>300</v>
      </c>
      <c r="C98" s="179" t="s">
        <v>248</v>
      </c>
      <c r="D98" s="217">
        <f>SUM(D86:D96)</f>
        <v>152871.25</v>
      </c>
      <c r="E98" s="217">
        <f>SUM(E86:E96)</f>
        <v>7660.92</v>
      </c>
      <c r="F98" s="217">
        <f>SUM(F86:F96)</f>
        <v>0</v>
      </c>
      <c r="G98" s="217">
        <f>SUM(G86:G96)</f>
        <v>0</v>
      </c>
      <c r="H98" s="217">
        <f>SUM(H86:H96)</f>
        <v>160532.16999999998</v>
      </c>
    </row>
    <row r="99" spans="1:8" ht="18" customHeight="1" thickBot="1" x14ac:dyDescent="0.6">
      <c r="B99" s="179"/>
      <c r="D99" s="189"/>
      <c r="E99" s="189"/>
      <c r="F99" s="189"/>
      <c r="G99" s="189"/>
      <c r="H99" s="189"/>
    </row>
    <row r="100" spans="1:8" ht="42.75" customHeight="1" x14ac:dyDescent="0.55000000000000004">
      <c r="D100" s="182" t="s">
        <v>99</v>
      </c>
      <c r="E100" s="182" t="s">
        <v>100</v>
      </c>
      <c r="F100" s="182" t="s">
        <v>431</v>
      </c>
      <c r="G100" s="182" t="s">
        <v>432</v>
      </c>
      <c r="H100" s="182" t="s">
        <v>244</v>
      </c>
    </row>
    <row r="101" spans="1:8" ht="18" customHeight="1" x14ac:dyDescent="0.55000000000000004">
      <c r="A101" s="183" t="s">
        <v>301</v>
      </c>
      <c r="B101" s="179" t="s">
        <v>195</v>
      </c>
    </row>
    <row r="102" spans="1:8" ht="18" customHeight="1" x14ac:dyDescent="0.55000000000000004">
      <c r="A102" s="180" t="s">
        <v>302</v>
      </c>
      <c r="B102" s="176" t="s">
        <v>303</v>
      </c>
      <c r="D102" s="184">
        <v>15410</v>
      </c>
      <c r="E102" s="216"/>
      <c r="F102" s="216"/>
      <c r="G102" s="184"/>
      <c r="H102" s="217">
        <f>(D102+E102)-F102-G102</f>
        <v>15410</v>
      </c>
    </row>
    <row r="103" spans="1:8" ht="18" customHeight="1" x14ac:dyDescent="0.55000000000000004">
      <c r="A103" s="180" t="s">
        <v>304</v>
      </c>
      <c r="B103" s="176" t="s">
        <v>199</v>
      </c>
      <c r="D103" s="184">
        <v>127</v>
      </c>
      <c r="E103" s="216"/>
      <c r="F103" s="216"/>
      <c r="G103" s="184"/>
      <c r="H103" s="217">
        <f>(D103+E103)-F103-G103</f>
        <v>127</v>
      </c>
    </row>
    <row r="104" spans="1:8" ht="18" customHeight="1" x14ac:dyDescent="0.55000000000000004">
      <c r="A104" s="180" t="s">
        <v>305</v>
      </c>
      <c r="B104" s="193"/>
      <c r="D104" s="184"/>
      <c r="E104" s="216"/>
      <c r="F104" s="216"/>
      <c r="G104" s="184"/>
      <c r="H104" s="217">
        <f>(D104+E104)-F104-G104</f>
        <v>0</v>
      </c>
    </row>
    <row r="105" spans="1:8" ht="18" customHeight="1" x14ac:dyDescent="0.55000000000000004">
      <c r="A105" s="180" t="s">
        <v>306</v>
      </c>
      <c r="B105" s="193"/>
      <c r="D105" s="184"/>
      <c r="E105" s="216"/>
      <c r="F105" s="216"/>
      <c r="G105" s="184"/>
      <c r="H105" s="217">
        <f>(D105+E105)-F105-G105</f>
        <v>0</v>
      </c>
    </row>
    <row r="106" spans="1:8" ht="18" customHeight="1" x14ac:dyDescent="0.55000000000000004">
      <c r="A106" s="180" t="s">
        <v>307</v>
      </c>
      <c r="B106" s="193"/>
      <c r="D106" s="184"/>
      <c r="E106" s="216"/>
      <c r="F106" s="216"/>
      <c r="G106" s="184"/>
      <c r="H106" s="217">
        <f>(D106+E106)-F106-G106</f>
        <v>0</v>
      </c>
    </row>
    <row r="107" spans="1:8" ht="18" customHeight="1" x14ac:dyDescent="0.55000000000000004">
      <c r="B107" s="179"/>
    </row>
    <row r="108" spans="1:8" ht="18" customHeight="1" x14ac:dyDescent="0.55000000000000004">
      <c r="A108" s="183" t="s">
        <v>204</v>
      </c>
      <c r="B108" s="179" t="s">
        <v>308</v>
      </c>
      <c r="C108" s="179" t="s">
        <v>248</v>
      </c>
      <c r="D108" s="217">
        <f>SUM(D102:D106)</f>
        <v>15537</v>
      </c>
      <c r="E108" s="217">
        <f>SUM(E102:E106)</f>
        <v>0</v>
      </c>
      <c r="F108" s="217">
        <f>SUM(F102:F106)</f>
        <v>0</v>
      </c>
      <c r="G108" s="217">
        <f>SUM(G102:G106)</f>
        <v>0</v>
      </c>
      <c r="H108" s="217">
        <f>SUM(H102:H106)</f>
        <v>15537</v>
      </c>
    </row>
    <row r="109" spans="1:8" ht="18" customHeight="1" thickBot="1" x14ac:dyDescent="0.6">
      <c r="A109" s="197"/>
      <c r="B109" s="198"/>
      <c r="C109" s="199"/>
      <c r="D109" s="189"/>
      <c r="E109" s="189"/>
      <c r="F109" s="189"/>
      <c r="G109" s="189"/>
      <c r="H109" s="189"/>
    </row>
    <row r="110" spans="1:8" ht="25.5" x14ac:dyDescent="0.55000000000000004">
      <c r="A110" s="183" t="s">
        <v>309</v>
      </c>
      <c r="B110" s="179" t="s">
        <v>434</v>
      </c>
      <c r="F110" s="182"/>
      <c r="G110" s="182" t="s">
        <v>435</v>
      </c>
      <c r="H110" s="182" t="s">
        <v>244</v>
      </c>
    </row>
    <row r="111" spans="1:8" ht="18" customHeight="1" x14ac:dyDescent="0.55000000000000004">
      <c r="A111" s="183" t="s">
        <v>310</v>
      </c>
      <c r="B111" s="179" t="s">
        <v>311</v>
      </c>
      <c r="E111" s="179" t="s">
        <v>436</v>
      </c>
      <c r="F111" s="184">
        <v>6062105.1900000004</v>
      </c>
      <c r="G111" s="184"/>
      <c r="H111" s="217">
        <f>F111-G111</f>
        <v>6062105.1900000004</v>
      </c>
    </row>
    <row r="112" spans="1:8" ht="18" customHeight="1" x14ac:dyDescent="0.55000000000000004">
      <c r="B112" s="179"/>
      <c r="D112" s="179"/>
    </row>
    <row r="113" spans="1:7" ht="18" customHeight="1" x14ac:dyDescent="0.55000000000000004">
      <c r="A113" s="183"/>
      <c r="B113" s="179" t="s">
        <v>312</v>
      </c>
    </row>
    <row r="114" spans="1:7" ht="18" customHeight="1" x14ac:dyDescent="0.55000000000000004">
      <c r="A114" s="180" t="s">
        <v>313</v>
      </c>
      <c r="B114" s="176" t="s">
        <v>314</v>
      </c>
      <c r="D114" s="235" t="s">
        <v>428</v>
      </c>
      <c r="E114" s="236">
        <v>0.66649999999999998</v>
      </c>
      <c r="F114" s="235" t="s">
        <v>429</v>
      </c>
      <c r="G114" s="236">
        <v>0.12867471777331541</v>
      </c>
    </row>
    <row r="115" spans="1:7" ht="18" customHeight="1" x14ac:dyDescent="0.55000000000000004">
      <c r="A115" s="180"/>
      <c r="B115" s="179"/>
      <c r="F115" s="212"/>
    </row>
    <row r="116" spans="1:7" ht="18" customHeight="1" x14ac:dyDescent="0.55000000000000004">
      <c r="A116" s="180" t="s">
        <v>315</v>
      </c>
      <c r="B116" s="179" t="s">
        <v>316</v>
      </c>
      <c r="F116" s="212"/>
    </row>
    <row r="117" spans="1:7" ht="18" customHeight="1" x14ac:dyDescent="0.55000000000000004">
      <c r="A117" s="180" t="s">
        <v>317</v>
      </c>
      <c r="B117" s="176" t="s">
        <v>318</v>
      </c>
      <c r="E117" s="184">
        <v>448906507</v>
      </c>
      <c r="F117" s="237"/>
    </row>
    <row r="118" spans="1:7" ht="18" customHeight="1" x14ac:dyDescent="0.55000000000000004">
      <c r="A118" s="180" t="s">
        <v>319</v>
      </c>
      <c r="B118" s="176" t="s">
        <v>320</v>
      </c>
      <c r="E118" s="184">
        <v>18958103</v>
      </c>
      <c r="F118" s="237"/>
    </row>
    <row r="119" spans="1:7" ht="18" customHeight="1" x14ac:dyDescent="0.55000000000000004">
      <c r="A119" s="180" t="s">
        <v>321</v>
      </c>
      <c r="B119" s="179" t="s">
        <v>322</v>
      </c>
      <c r="E119" s="217">
        <f>SUM(E117:E118)</f>
        <v>467864610</v>
      </c>
      <c r="F119" s="238"/>
    </row>
    <row r="120" spans="1:7" ht="18" customHeight="1" x14ac:dyDescent="0.55000000000000004">
      <c r="A120" s="180"/>
      <c r="B120" s="179"/>
      <c r="F120" s="212"/>
    </row>
    <row r="121" spans="1:7" ht="18" customHeight="1" x14ac:dyDescent="0.55000000000000004">
      <c r="A121" s="180" t="s">
        <v>323</v>
      </c>
      <c r="B121" s="179" t="s">
        <v>324</v>
      </c>
      <c r="E121" s="184">
        <v>417623284</v>
      </c>
      <c r="F121" s="237"/>
    </row>
    <row r="122" spans="1:7" ht="18" customHeight="1" x14ac:dyDescent="0.55000000000000004">
      <c r="A122" s="180"/>
      <c r="F122" s="212"/>
    </row>
    <row r="123" spans="1:7" ht="18" customHeight="1" x14ac:dyDescent="0.55000000000000004">
      <c r="A123" s="180" t="s">
        <v>325</v>
      </c>
      <c r="B123" s="179" t="s">
        <v>326</v>
      </c>
      <c r="E123" s="184">
        <v>50241326</v>
      </c>
      <c r="F123" s="237"/>
    </row>
    <row r="124" spans="1:7" ht="18" customHeight="1" x14ac:dyDescent="0.55000000000000004">
      <c r="A124" s="180"/>
      <c r="F124" s="212"/>
    </row>
    <row r="125" spans="1:7" ht="18" customHeight="1" x14ac:dyDescent="0.55000000000000004">
      <c r="A125" s="180" t="s">
        <v>327</v>
      </c>
      <c r="B125" s="179" t="s">
        <v>328</v>
      </c>
      <c r="E125" s="184">
        <v>57865656</v>
      </c>
      <c r="F125" s="237"/>
    </row>
    <row r="126" spans="1:7" ht="18" customHeight="1" x14ac:dyDescent="0.55000000000000004">
      <c r="A126" s="180"/>
      <c r="F126" s="212"/>
    </row>
    <row r="127" spans="1:7" ht="18" customHeight="1" x14ac:dyDescent="0.55000000000000004">
      <c r="A127" s="180" t="s">
        <v>329</v>
      </c>
      <c r="B127" s="179" t="s">
        <v>330</v>
      </c>
      <c r="E127" s="184">
        <v>108106982</v>
      </c>
      <c r="F127" s="237"/>
    </row>
    <row r="128" spans="1:7" ht="18" customHeight="1" x14ac:dyDescent="0.55000000000000004">
      <c r="A128" s="180"/>
    </row>
    <row r="129" spans="1:8" ht="42.75" customHeight="1" x14ac:dyDescent="0.55000000000000004">
      <c r="D129" s="182" t="s">
        <v>99</v>
      </c>
      <c r="E129" s="182" t="s">
        <v>100</v>
      </c>
      <c r="F129" s="182" t="s">
        <v>431</v>
      </c>
      <c r="G129" s="182" t="s">
        <v>432</v>
      </c>
      <c r="H129" s="182" t="s">
        <v>244</v>
      </c>
    </row>
    <row r="130" spans="1:8" ht="18" customHeight="1" x14ac:dyDescent="0.55000000000000004">
      <c r="A130" s="183" t="s">
        <v>331</v>
      </c>
      <c r="B130" s="179" t="s">
        <v>208</v>
      </c>
    </row>
    <row r="131" spans="1:8" ht="18" customHeight="1" x14ac:dyDescent="0.55000000000000004">
      <c r="A131" s="180" t="s">
        <v>332</v>
      </c>
      <c r="B131" s="176" t="s">
        <v>210</v>
      </c>
      <c r="D131" s="184"/>
      <c r="E131" s="216"/>
      <c r="F131" s="216"/>
      <c r="G131" s="184"/>
      <c r="H131" s="217">
        <f>(D131+E131)-F131-G131</f>
        <v>0</v>
      </c>
    </row>
    <row r="132" spans="1:8" ht="18" customHeight="1" x14ac:dyDescent="0.55000000000000004">
      <c r="A132" s="180" t="s">
        <v>333</v>
      </c>
      <c r="B132" s="176" t="s">
        <v>68</v>
      </c>
      <c r="D132" s="184"/>
      <c r="E132" s="216"/>
      <c r="F132" s="216"/>
      <c r="G132" s="184"/>
      <c r="H132" s="217">
        <f>(D132+E132)-F132-G132</f>
        <v>0</v>
      </c>
    </row>
    <row r="133" spans="1:8" ht="18" customHeight="1" x14ac:dyDescent="0.55000000000000004">
      <c r="A133" s="180" t="s">
        <v>334</v>
      </c>
      <c r="B133" s="185"/>
      <c r="D133" s="184"/>
      <c r="E133" s="216"/>
      <c r="F133" s="216"/>
      <c r="G133" s="184"/>
      <c r="H133" s="217">
        <f>(D133+E133)-F133-G133</f>
        <v>0</v>
      </c>
    </row>
    <row r="134" spans="1:8" ht="18" customHeight="1" x14ac:dyDescent="0.55000000000000004">
      <c r="A134" s="180" t="s">
        <v>335</v>
      </c>
      <c r="B134" s="185"/>
      <c r="D134" s="184"/>
      <c r="E134" s="216"/>
      <c r="F134" s="216"/>
      <c r="G134" s="184"/>
      <c r="H134" s="217">
        <f>(D134+E134)-F134-G134</f>
        <v>0</v>
      </c>
    </row>
    <row r="135" spans="1:8" ht="18" customHeight="1" x14ac:dyDescent="0.55000000000000004">
      <c r="A135" s="180" t="s">
        <v>336</v>
      </c>
      <c r="B135" s="185"/>
      <c r="D135" s="184"/>
      <c r="E135" s="216"/>
      <c r="F135" s="216"/>
      <c r="G135" s="184"/>
      <c r="H135" s="217">
        <f>(D135+E135)-F135-G135</f>
        <v>0</v>
      </c>
    </row>
    <row r="136" spans="1:8" ht="18" customHeight="1" x14ac:dyDescent="0.55000000000000004">
      <c r="A136" s="183"/>
    </row>
    <row r="137" spans="1:8" ht="18" customHeight="1" x14ac:dyDescent="0.55000000000000004">
      <c r="A137" s="183" t="s">
        <v>215</v>
      </c>
      <c r="B137" s="179" t="s">
        <v>337</v>
      </c>
      <c r="D137" s="217">
        <f>SUM(D131:D135)</f>
        <v>0</v>
      </c>
      <c r="E137" s="217">
        <f>SUM(E131:E135)</f>
        <v>0</v>
      </c>
      <c r="F137" s="217">
        <f>SUM(F131:F135)</f>
        <v>0</v>
      </c>
      <c r="G137" s="217">
        <f>SUM(G131:G135)</f>
        <v>0</v>
      </c>
      <c r="H137" s="217">
        <f>SUM(H131:H135)</f>
        <v>0</v>
      </c>
    </row>
    <row r="138" spans="1:8" ht="18" customHeight="1" x14ac:dyDescent="0.55000000000000004">
      <c r="A138" s="176"/>
    </row>
    <row r="139" spans="1:8" ht="42.75" customHeight="1" x14ac:dyDescent="0.55000000000000004">
      <c r="D139" s="182" t="s">
        <v>99</v>
      </c>
      <c r="E139" s="182" t="s">
        <v>100</v>
      </c>
      <c r="F139" s="182" t="s">
        <v>431</v>
      </c>
      <c r="G139" s="182" t="s">
        <v>432</v>
      </c>
      <c r="H139" s="182" t="s">
        <v>244</v>
      </c>
    </row>
    <row r="140" spans="1:8" ht="18" customHeight="1" x14ac:dyDescent="0.55000000000000004">
      <c r="A140" s="183" t="s">
        <v>338</v>
      </c>
      <c r="B140" s="179" t="s">
        <v>217</v>
      </c>
    </row>
    <row r="141" spans="1:8" ht="18" customHeight="1" x14ac:dyDescent="0.55000000000000004">
      <c r="A141" s="180" t="s">
        <v>134</v>
      </c>
      <c r="B141" s="179" t="s">
        <v>66</v>
      </c>
      <c r="D141" s="239">
        <f>D36</f>
        <v>1447097.19</v>
      </c>
      <c r="E141" s="239">
        <f>E36</f>
        <v>284970.87</v>
      </c>
      <c r="F141" s="239">
        <f>F36</f>
        <v>0</v>
      </c>
      <c r="G141" s="239">
        <f>G36</f>
        <v>80907.899999999994</v>
      </c>
      <c r="H141" s="239">
        <f>H36</f>
        <v>1651160.1600000001</v>
      </c>
    </row>
    <row r="142" spans="1:8" ht="18" customHeight="1" x14ac:dyDescent="0.55000000000000004">
      <c r="A142" s="180" t="s">
        <v>150</v>
      </c>
      <c r="B142" s="179" t="s">
        <v>220</v>
      </c>
      <c r="D142" s="239">
        <f>D49</f>
        <v>3285180.4</v>
      </c>
      <c r="E142" s="239">
        <f>E49</f>
        <v>2081138.52</v>
      </c>
      <c r="F142" s="239">
        <f>F49</f>
        <v>0</v>
      </c>
      <c r="G142" s="239">
        <f>G49</f>
        <v>254598.23</v>
      </c>
      <c r="H142" s="239">
        <f>H49</f>
        <v>5111720.6899999995</v>
      </c>
    </row>
    <row r="143" spans="1:8" ht="18" customHeight="1" x14ac:dyDescent="0.55000000000000004">
      <c r="A143" s="180" t="s">
        <v>269</v>
      </c>
      <c r="B143" s="179" t="s">
        <v>222</v>
      </c>
      <c r="D143" s="239">
        <f>D64</f>
        <v>70257256.100000009</v>
      </c>
      <c r="E143" s="239">
        <f>E64</f>
        <v>15074119.25</v>
      </c>
      <c r="F143" s="239">
        <f>F64</f>
        <v>0</v>
      </c>
      <c r="G143" s="239">
        <f>G64</f>
        <v>40549050.530000001</v>
      </c>
      <c r="H143" s="239">
        <f>H64</f>
        <v>44782324.820000008</v>
      </c>
    </row>
    <row r="144" spans="1:8" ht="18" customHeight="1" x14ac:dyDescent="0.55000000000000004">
      <c r="A144" s="180" t="s">
        <v>161</v>
      </c>
      <c r="B144" s="179" t="s">
        <v>70</v>
      </c>
      <c r="D144" s="239">
        <f>D74</f>
        <v>0</v>
      </c>
      <c r="E144" s="239">
        <f>E74</f>
        <v>0</v>
      </c>
      <c r="F144" s="239">
        <f>F74</f>
        <v>0</v>
      </c>
      <c r="G144" s="239">
        <f>G74</f>
        <v>0</v>
      </c>
      <c r="H144" s="239">
        <f>H74</f>
        <v>0</v>
      </c>
    </row>
    <row r="145" spans="1:8" ht="18" customHeight="1" x14ac:dyDescent="0.55000000000000004">
      <c r="A145" s="180" t="s">
        <v>171</v>
      </c>
      <c r="B145" s="179" t="s">
        <v>69</v>
      </c>
      <c r="D145" s="239">
        <f>D82</f>
        <v>235963.37</v>
      </c>
      <c r="E145" s="239">
        <f>E82</f>
        <v>0</v>
      </c>
      <c r="F145" s="239">
        <f>F82</f>
        <v>0</v>
      </c>
      <c r="G145" s="239">
        <f>G82</f>
        <v>95769.94</v>
      </c>
      <c r="H145" s="239">
        <f>H82</f>
        <v>140193.43</v>
      </c>
    </row>
    <row r="146" spans="1:8" ht="18" customHeight="1" x14ac:dyDescent="0.55000000000000004">
      <c r="A146" s="180" t="s">
        <v>193</v>
      </c>
      <c r="B146" s="179" t="s">
        <v>226</v>
      </c>
      <c r="D146" s="239">
        <f>D98</f>
        <v>152871.25</v>
      </c>
      <c r="E146" s="239">
        <f>E98</f>
        <v>7660.92</v>
      </c>
      <c r="F146" s="239">
        <f>F98</f>
        <v>0</v>
      </c>
      <c r="G146" s="239">
        <f>G98</f>
        <v>0</v>
      </c>
      <c r="H146" s="239">
        <f>H98</f>
        <v>160532.16999999998</v>
      </c>
    </row>
    <row r="147" spans="1:8" ht="18" customHeight="1" x14ac:dyDescent="0.55000000000000004">
      <c r="A147" s="180" t="s">
        <v>204</v>
      </c>
      <c r="B147" s="179" t="s">
        <v>71</v>
      </c>
      <c r="D147" s="217">
        <f>D108</f>
        <v>15537</v>
      </c>
      <c r="E147" s="217">
        <f>E108</f>
        <v>0</v>
      </c>
      <c r="F147" s="217">
        <f>F108</f>
        <v>0</v>
      </c>
      <c r="G147" s="217">
        <f>G108</f>
        <v>0</v>
      </c>
      <c r="H147" s="217">
        <f>H108</f>
        <v>15537</v>
      </c>
    </row>
    <row r="148" spans="1:8" ht="18" customHeight="1" x14ac:dyDescent="0.55000000000000004">
      <c r="A148" s="180" t="s">
        <v>310</v>
      </c>
      <c r="B148" s="179" t="s">
        <v>58</v>
      </c>
      <c r="D148" s="240" t="s">
        <v>245</v>
      </c>
      <c r="E148" s="240" t="s">
        <v>245</v>
      </c>
      <c r="F148" s="240"/>
      <c r="G148" s="240" t="s">
        <v>245</v>
      </c>
      <c r="H148" s="239">
        <f>H111</f>
        <v>6062105.1900000004</v>
      </c>
    </row>
    <row r="149" spans="1:8" ht="18" customHeight="1" x14ac:dyDescent="0.55000000000000004">
      <c r="A149" s="180" t="s">
        <v>215</v>
      </c>
      <c r="B149" s="179" t="s">
        <v>230</v>
      </c>
      <c r="D149" s="217">
        <f>D137</f>
        <v>0</v>
      </c>
      <c r="E149" s="217">
        <f>E137</f>
        <v>0</v>
      </c>
      <c r="F149" s="217">
        <f>F137</f>
        <v>0</v>
      </c>
      <c r="G149" s="217">
        <f>G137</f>
        <v>0</v>
      </c>
      <c r="H149" s="217">
        <f>H137</f>
        <v>0</v>
      </c>
    </row>
    <row r="150" spans="1:8" ht="18" customHeight="1" x14ac:dyDescent="0.55000000000000004">
      <c r="A150" s="180" t="s">
        <v>103</v>
      </c>
      <c r="B150" s="179" t="s">
        <v>104</v>
      </c>
      <c r="D150" s="217">
        <f>D18</f>
        <v>7089365.7570403013</v>
      </c>
      <c r="E150" s="217">
        <f>E18</f>
        <v>0</v>
      </c>
      <c r="F150" s="217">
        <f>F18</f>
        <v>0</v>
      </c>
      <c r="G150" s="217">
        <f>G18</f>
        <v>5875454.7492992869</v>
      </c>
      <c r="H150" s="217">
        <f>H18</f>
        <v>1213911.0077410145</v>
      </c>
    </row>
    <row r="151" spans="1:8" ht="18" customHeight="1" x14ac:dyDescent="0.55000000000000004">
      <c r="B151" s="179"/>
      <c r="D151" s="190"/>
      <c r="E151" s="190"/>
      <c r="F151" s="190"/>
      <c r="G151" s="190"/>
      <c r="H151" s="190"/>
    </row>
    <row r="152" spans="1:8" ht="18" customHeight="1" x14ac:dyDescent="0.55000000000000004">
      <c r="A152" s="183" t="s">
        <v>231</v>
      </c>
      <c r="B152" s="179" t="s">
        <v>217</v>
      </c>
      <c r="D152" s="241">
        <f>SUM(D141:D150)</f>
        <v>82483271.067040324</v>
      </c>
      <c r="E152" s="241">
        <f>SUM(E141:E150)</f>
        <v>17447889.560000002</v>
      </c>
      <c r="F152" s="241">
        <f>SUM(F141:F150)</f>
        <v>0</v>
      </c>
      <c r="G152" s="241">
        <f>SUM(G141:G150)</f>
        <v>46855781.349299289</v>
      </c>
      <c r="H152" s="241">
        <f>SUM(H141:H150)</f>
        <v>59137484.46774102</v>
      </c>
    </row>
    <row r="154" spans="1:8" ht="18" customHeight="1" x14ac:dyDescent="0.55000000000000004">
      <c r="A154" s="183" t="s">
        <v>339</v>
      </c>
      <c r="B154" s="179" t="s">
        <v>340</v>
      </c>
      <c r="D154" s="242">
        <f>H152/E121</f>
        <v>0.14160485474210538</v>
      </c>
    </row>
    <row r="155" spans="1:8" ht="18" customHeight="1" x14ac:dyDescent="0.55000000000000004">
      <c r="A155" s="183" t="s">
        <v>341</v>
      </c>
      <c r="B155" s="179" t="s">
        <v>342</v>
      </c>
      <c r="D155" s="242">
        <f>H152/E127</f>
        <v>0.54702742943782312</v>
      </c>
    </row>
  </sheetData>
  <mergeCells count="8">
    <mergeCell ref="C10:E10"/>
    <mergeCell ref="C11:E11"/>
    <mergeCell ref="B13:D13"/>
    <mergeCell ref="C2:D2"/>
    <mergeCell ref="C5:E5"/>
    <mergeCell ref="C6:E6"/>
    <mergeCell ref="C7:E7"/>
    <mergeCell ref="C9:E9"/>
  </mergeCells>
  <hyperlinks>
    <hyperlink ref="C11" r:id="rId1" xr:uid="{EC98D585-6D46-44E7-927B-1C45B628A5C5}"/>
  </hyperlinks>
  <printOptions headings="1" gridLines="1"/>
  <pageMargins left="0.17" right="0.16" top="0.35" bottom="0.32" header="0.17" footer="0.17"/>
  <pageSetup scale="59" fitToHeight="3" orientation="landscape" horizontalDpi="4294967294" r:id="rId2"/>
  <headerFooter alignWithMargins="0"/>
  <rowBreaks count="4" manualBreakCount="4">
    <brk id="37" max="16383" man="1"/>
    <brk id="74" max="16383" man="1"/>
    <brk id="109" max="16383" man="1"/>
    <brk id="138"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1510F8A2-DF64-4AEA-8CF6-4C1B4AF97D4F}"/>
</file>

<file path=customXml/itemProps2.xml><?xml version="1.0" encoding="utf-8"?>
<ds:datastoreItem xmlns:ds="http://schemas.openxmlformats.org/officeDocument/2006/customXml" ds:itemID="{F5E2F7BA-D0E2-49DA-889C-39DE6BF1A99E}"/>
</file>

<file path=customXml/itemProps3.xml><?xml version="1.0" encoding="utf-8"?>
<ds:datastoreItem xmlns:ds="http://schemas.openxmlformats.org/officeDocument/2006/customXml" ds:itemID="{6A3AF8AF-820F-46A4-8120-E002413FCE5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59</vt:i4>
      </vt:variant>
      <vt:variant>
        <vt:lpstr>Named Ranges</vt:lpstr>
      </vt:variant>
      <vt:variant>
        <vt:i4>24</vt:i4>
      </vt:variant>
    </vt:vector>
  </HeadingPairs>
  <TitlesOfParts>
    <vt:vector size="83" baseType="lpstr">
      <vt:lpstr>DME_NSPI-all</vt:lpstr>
      <vt:lpstr>Charity in Rates</vt:lpstr>
      <vt:lpstr>Figures</vt:lpstr>
      <vt:lpstr>CB Table 1</vt:lpstr>
      <vt:lpstr>Rate Support-Attachment I</vt:lpstr>
      <vt:lpstr>Attachment II-All Hospitals</vt:lpstr>
      <vt:lpstr>Attachment III-All</vt:lpstr>
      <vt:lpstr>Attachment III-All ReportFormat</vt:lpstr>
      <vt:lpstr>#1-Meritus</vt:lpstr>
      <vt:lpstr>#2-UMMC</vt:lpstr>
      <vt:lpstr>#3-UM Capital</vt:lpstr>
      <vt:lpstr>#4-Holy Cross Hospital</vt:lpstr>
      <vt:lpstr>#5-Frederick Memorial Hospital</vt:lpstr>
      <vt:lpstr>#6-UM Harford Memorial</vt:lpstr>
      <vt:lpstr>#8-Mercy</vt:lpstr>
      <vt:lpstr>#9-Johns Hopkins</vt:lpstr>
      <vt:lpstr>#10-UM Shore Health Dorchester</vt:lpstr>
      <vt:lpstr>#11-St. Agnes Hospital</vt:lpstr>
      <vt:lpstr>#12-Sinai</vt:lpstr>
      <vt:lpstr>#13-Grace Medical</vt:lpstr>
      <vt:lpstr>#15-MedStar Franklin Square</vt:lpstr>
      <vt:lpstr>#16-Adventist White Oak</vt:lpstr>
      <vt:lpstr>#17-Garrett Regional</vt:lpstr>
      <vt:lpstr>#18-MedStar Montgomery General</vt:lpstr>
      <vt:lpstr>#19-Peninsula Regional</vt:lpstr>
      <vt:lpstr>#22-Suburban</vt:lpstr>
      <vt:lpstr>#23-AAMC</vt:lpstr>
      <vt:lpstr>#24-MedStar Union Memorial</vt:lpstr>
      <vt:lpstr>#27-UPMC Western Maryland</vt:lpstr>
      <vt:lpstr>#28-MedStar St. Marys</vt:lpstr>
      <vt:lpstr>#29-JH Bayview</vt:lpstr>
      <vt:lpstr>#30-UM Shore Chester</vt:lpstr>
      <vt:lpstr>#32-ChristianaCare Union</vt:lpstr>
      <vt:lpstr>#33-Carroll Hospital Center</vt:lpstr>
      <vt:lpstr>#34-MedStar Harbor Hospital</vt:lpstr>
      <vt:lpstr>#35-UM Charles Regional</vt:lpstr>
      <vt:lpstr>#37-UM Shore Health Easton</vt:lpstr>
      <vt:lpstr>#38-UM Midtown</vt:lpstr>
      <vt:lpstr>#39-CalvertHealth</vt:lpstr>
      <vt:lpstr>#40-Lifebridge Northwest</vt:lpstr>
      <vt:lpstr>#43-UM BWMC</vt:lpstr>
      <vt:lpstr>#44-GBMC</vt:lpstr>
      <vt:lpstr>#45-McCready</vt:lpstr>
      <vt:lpstr>#48-Howard County</vt:lpstr>
      <vt:lpstr>#49-UM Upper Chesapeake Medical</vt:lpstr>
      <vt:lpstr>#51-Doctors Community Hospital</vt:lpstr>
      <vt:lpstr>#57-Adventist Shady Grove</vt:lpstr>
      <vt:lpstr>#58-UM ROI</vt:lpstr>
      <vt:lpstr>#60-Adventist Fort Washington</vt:lpstr>
      <vt:lpstr>#61-Atlantic General</vt:lpstr>
      <vt:lpstr>#62-MedStar Southern Maryland</vt:lpstr>
      <vt:lpstr>#63-UM St Joseph</vt:lpstr>
      <vt:lpstr>#64-Levindale</vt:lpstr>
      <vt:lpstr>#65-Holy Cross Germantown</vt:lpstr>
      <vt:lpstr>#2004-MedStar Good Samaritan</vt:lpstr>
      <vt:lpstr>#3029-Adventist Rehab</vt:lpstr>
      <vt:lpstr>#4000-Sheppard Pratt</vt:lpstr>
      <vt:lpstr>#4020-McNew Family Medical</vt:lpstr>
      <vt:lpstr>#5034-Mt Washington Pediatric</vt:lpstr>
      <vt:lpstr>'#10-UM Shore Health Dorchester'!Print_Area</vt:lpstr>
      <vt:lpstr>'#11-St. Agnes Hospital'!Print_Area</vt:lpstr>
      <vt:lpstr>'#12-Sinai'!Print_Area</vt:lpstr>
      <vt:lpstr>'#13-Grace Medical'!Print_Area</vt:lpstr>
      <vt:lpstr>'#15-MedStar Franklin Square'!Print_Area</vt:lpstr>
      <vt:lpstr>'#16-Adventist White Oak'!Print_Area</vt:lpstr>
      <vt:lpstr>'#17-Garrett Regional'!Print_Area</vt:lpstr>
      <vt:lpstr>'#18-MedStar Montgomery General'!Print_Area</vt:lpstr>
      <vt:lpstr>'#19-Peninsula Regional'!Print_Area</vt:lpstr>
      <vt:lpstr>'#1-Meritus'!Print_Area</vt:lpstr>
      <vt:lpstr>'#22-Suburban'!Print_Area</vt:lpstr>
      <vt:lpstr>'#2-UMMC'!Print_Area</vt:lpstr>
      <vt:lpstr>'#3-UM Capital'!Print_Area</vt:lpstr>
      <vt:lpstr>'#4-Holy Cross Hospital'!Print_Area</vt:lpstr>
      <vt:lpstr>'#5-Frederick Memorial Hospital'!Print_Area</vt:lpstr>
      <vt:lpstr>'#6-UM Harford Memorial'!Print_Area</vt:lpstr>
      <vt:lpstr>'#8-Mercy'!Print_Area</vt:lpstr>
      <vt:lpstr>'#9-Johns Hopkins'!Print_Area</vt:lpstr>
      <vt:lpstr>'Attachment II-All Hospitals'!Print_Area</vt:lpstr>
      <vt:lpstr>'CB Table 1'!Print_Area</vt:lpstr>
      <vt:lpstr>'DME_NSPI-all'!Print_Area</vt:lpstr>
      <vt:lpstr>Figures!Print_Area</vt:lpstr>
      <vt:lpstr>'Rate Support-Attachment I'!Print_Area</vt:lpstr>
      <vt:lpstr>'Attachment III-All'!Print_Titles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2022-12-15T18:46:34Z</dcterms:created>
  <dcterms:modified xsi:type="dcterms:W3CDTF">2023-08-21T20:42:08Z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ies>
</file>