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M:\methodology\CPBM\Quality\SCALING\RY2024\"/>
    </mc:Choice>
  </mc:AlternateContent>
  <xr:revisionPtr revIDLastSave="0" documentId="8_{34EADCCC-49EB-4B8A-AED2-B4CE39EAE562}" xr6:coauthVersionLast="47" xr6:coauthVersionMax="47" xr10:uidLastSave="{00000000-0000-0000-0000-000000000000}"/>
  <bookViews>
    <workbookView xWindow="-28920" yWindow="15" windowWidth="29040" windowHeight="15840" xr2:uid="{7B3B4736-90FB-4673-8683-3DD846122CE3}"/>
  </bookViews>
  <sheets>
    <sheet name="RRIP &amp; PAI " sheetId="10" r:id="rId1"/>
    <sheet name="RRIP Modeling Results" sheetId="11" r:id="rId2"/>
    <sheet name="PAI revenue adjustments" sheetId="8" r:id="rId3"/>
    <sheet name="4.CY2022 Improve All Payers" sheetId="5" r:id="rId4"/>
    <sheet name="8.  CY22 Readmit Attainment" sheetId="6" r:id="rId5"/>
    <sheet name="2.Disparity Gap" sheetId="7" r:id="rId6"/>
    <sheet name="5. PAI Scale"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5" hidden="1">'2.Disparity Gap'!$A$8:$T$52</definedName>
    <definedName name="_xlnm._FilterDatabase" localSheetId="3" hidden="1">'4.CY2022 Improve All Payers'!$A$6:$O$56</definedName>
    <definedName name="_xlnm._FilterDatabase" localSheetId="2" hidden="1">'PAI revenue adjustments'!$A$2:$G$2</definedName>
    <definedName name="_xlnm._FilterDatabase" localSheetId="0" hidden="1">'RRIP &amp; PAI '!$A$2:$K$2</definedName>
    <definedName name="_xlnm._FilterDatabase" localSheetId="1" hidden="1">'RRIP Modeling Results'!$A$3:$P$3</definedName>
    <definedName name="Att_MaxPenalty">'[1]8. RY21 Revenue Scales'!$F$40</definedName>
    <definedName name="Att_MaxPenaltyRate">'[1]8. RY21 Revenue Scales'!$E$40</definedName>
    <definedName name="Att_MaxReward">'[1]8. RY21 Revenue Scales'!$F$9</definedName>
    <definedName name="Att_MaxRewardRate">'[1]8. RY21 Revenue Scales'!$E$10</definedName>
    <definedName name="AttMaxPenaltyScore" localSheetId="6">'[2]RRIP Prelim Rev Adj M1'!$C$66</definedName>
    <definedName name="AttMaxPenaltyScore" localSheetId="2">'[2]RRIP Prelim Rev Adj M1'!$C$66</definedName>
    <definedName name="AttMaxPenaltyScore" localSheetId="0">'[2]RRIP Prelim Rev Adj M1'!$C$66</definedName>
    <definedName name="AttMaxPenaltyScore" localSheetId="1">'RRIP Modeling Results'!$C$66</definedName>
    <definedName name="AttMaxPenaltyScore">#REF!</definedName>
    <definedName name="AttMaxPenaltyScore2">'[3]3. RRIP Revenue Adjustments'!$C$63</definedName>
    <definedName name="AttMaxRewardScore" localSheetId="6">'[2]RRIP Prelim Rev Adj M1'!$C$65</definedName>
    <definedName name="AttMaxRewardScore" localSheetId="2">'[2]RRIP Prelim Rev Adj M1'!$C$65</definedName>
    <definedName name="AttMaxRewardScore" localSheetId="0">'[2]RRIP Prelim Rev Adj M1'!$C$65</definedName>
    <definedName name="AttMaxRewardScore" localSheetId="1">'RRIP Modeling Results'!$C$65</definedName>
    <definedName name="AttMaxRewardScore">#REF!</definedName>
    <definedName name="AttMaxRewardScore2">'[3]3. RRIP Revenue Adjustments'!$C$62</definedName>
    <definedName name="AttTarget" localSheetId="6">'[2]RRIP Prelim Rev Adj M1'!$C$64</definedName>
    <definedName name="AttTarget" localSheetId="2">'[2]RRIP Prelim Rev Adj M1'!$C$64</definedName>
    <definedName name="AttTarget" localSheetId="0">'[2]RRIP Prelim Rev Adj M1'!$C$64</definedName>
    <definedName name="AttTarget" localSheetId="1">'RRIP Modeling Results'!$C$64</definedName>
    <definedName name="AttTarget">#REF!</definedName>
    <definedName name="AttTarget2">'[3]3. RRIP Revenue Adjustments'!$C$61</definedName>
    <definedName name="finally">[4]finally!$A$1:$AN$76</definedName>
    <definedName name="HSCRC" localSheetId="6">#REF!</definedName>
    <definedName name="HSCRC">#REF!</definedName>
    <definedName name="Imp_MaxPenalty">'[1]8. RY21 Revenue Scales'!$B$40</definedName>
    <definedName name="Imp_MaxPenaltyRate">'[1]8. RY21 Revenue Scales'!$A$40</definedName>
    <definedName name="Imp_MaxReward">'[1]8. RY21 Revenue Scales'!$B$9</definedName>
    <definedName name="Imp_MaxRewardRate">'[1]8. RY21 Revenue Scales'!$A$10</definedName>
    <definedName name="ImpMaxPenaltyScore" localSheetId="6">'[2]RRIP Prelim Rev Adj M1'!$C$63</definedName>
    <definedName name="ImpMaxPenaltyScore" localSheetId="2">'[2]RRIP Prelim Rev Adj M1'!$C$63</definedName>
    <definedName name="ImpMaxPenaltyScore" localSheetId="0">'[2]RRIP Prelim Rev Adj M1'!$C$63</definedName>
    <definedName name="ImpMaxPenaltyScore" localSheetId="1">'RRIP Modeling Results'!$C$63</definedName>
    <definedName name="ImpMaxPenaltyScore">#REF!</definedName>
    <definedName name="ImpMaxPenaltyScore2">'[3]3. RRIP Revenue Adjustments'!$C$60</definedName>
    <definedName name="ImpMaxRewardScore" localSheetId="6">'[2]RRIP Prelim Rev Adj M1'!$C$62</definedName>
    <definedName name="ImpMaxRewardScore" localSheetId="2">'[2]RRIP Prelim Rev Adj M1'!$C$62</definedName>
    <definedName name="ImpMaxRewardScore" localSheetId="0">'[2]RRIP Prelim Rev Adj M1'!$C$62</definedName>
    <definedName name="ImpMaxRewardScore" localSheetId="1">'RRIP Modeling Results'!$C$62</definedName>
    <definedName name="ImpMaxRewardScore">#REF!</definedName>
    <definedName name="ImpMaxRewardScore2">'[3]3. RRIP Revenue Adjustments'!$C$59</definedName>
    <definedName name="imptab17fr2">[4]imptab17fr2!$A$1:$AN$76</definedName>
    <definedName name="ImpTarget" localSheetId="6">'[2]RRIP Prelim Rev Adj M1'!$C$61</definedName>
    <definedName name="ImpTarget" localSheetId="2">'[2]RRIP Prelim Rev Adj M1'!$C$61</definedName>
    <definedName name="ImpTarget" localSheetId="0">'[2]RRIP Prelim Rev Adj M1'!$C$61</definedName>
    <definedName name="ImpTarget" localSheetId="1">'RRIP Modeling Results'!$C$61</definedName>
    <definedName name="ImpTarget">#REF!</definedName>
    <definedName name="ImpTarget2">'[3]3. RRIP Revenue Adjustments'!$C$58</definedName>
    <definedName name="low">'[5]5.QBR Scaling '!$B$4</definedName>
    <definedName name="MaxPenalty" localSheetId="6">'[2]RRIP Prelim Rev Adj M1'!$C$59</definedName>
    <definedName name="MaxPenalty" localSheetId="2">'[2]RRIP Prelim Rev Adj M1'!$C$59</definedName>
    <definedName name="MaxPenalty" localSheetId="0">'[2]RRIP Prelim Rev Adj M1'!$C$59</definedName>
    <definedName name="MaxPenalty" localSheetId="1">'RRIP Modeling Results'!$C$59</definedName>
    <definedName name="MaxPenalty">#REF!</definedName>
    <definedName name="MaxPenalty2">'[3]3. RRIP Revenue Adjustments'!$C$56</definedName>
    <definedName name="MaxReward" localSheetId="6">'[2]RRIP Prelim Rev Adj M1'!$C$58</definedName>
    <definedName name="MaxReward" localSheetId="2">'[2]RRIP Prelim Rev Adj M1'!$C$58</definedName>
    <definedName name="MaxReward" localSheetId="0">'[2]RRIP Prelim Rev Adj M1'!$C$58</definedName>
    <definedName name="MaxReward" localSheetId="1">'RRIP Modeling Results'!$C$58</definedName>
    <definedName name="MaxReward">#REF!</definedName>
    <definedName name="MaxReward2">'[3]3. RRIP Revenue Adjustments'!$C$55</definedName>
    <definedName name="MHAC_Highest_Score" localSheetId="6">'[2] MHAC Prelim Rev Adj M1'!$B$56</definedName>
    <definedName name="MHAC_Highest_Score" localSheetId="2">'[2] MHAC Prelim Rev Adj M1'!$B$56</definedName>
    <definedName name="MHAC_Highest_Score" localSheetId="0">'[2] MHAC Prelim Rev Adj M1'!$B$56</definedName>
    <definedName name="MHAC_Highest_Score">'[6]1.MHAC Scaling'!$G$6</definedName>
    <definedName name="MHAC_Highest_Score2">'[2]MHAC Prelim Rev Adj M2'!$B$55</definedName>
    <definedName name="MHAC_Lowest_Score" localSheetId="6">'[2] MHAC Prelim Rev Adj M1'!$B$54</definedName>
    <definedName name="MHAC_Lowest_Score" localSheetId="2">'[2] MHAC Prelim Rev Adj M1'!$B$54</definedName>
    <definedName name="MHAC_Lowest_Score" localSheetId="0">'[2] MHAC Prelim Rev Adj M1'!$B$54</definedName>
    <definedName name="MHAC_Lowest_Score">'[6]1.MHAC Scaling'!$G$4</definedName>
    <definedName name="MHAC_Lowest_Score2">'[2]MHAC Prelim Rev Adj M2'!$B$53</definedName>
    <definedName name="MHAC_Max_Penalty" localSheetId="6">'[2] MHAC Prelim Rev Adj M1'!$B$55</definedName>
    <definedName name="MHAC_Max_Penalty" localSheetId="2">'[2] MHAC Prelim Rev Adj M1'!$B$55</definedName>
    <definedName name="MHAC_Max_Penalty" localSheetId="0">'[2] MHAC Prelim Rev Adj M1'!$B$55</definedName>
    <definedName name="MHAC_Max_Penalty">'[6]1.MHAC Scaling'!$G$5</definedName>
    <definedName name="MHAC_Max_Penalty2">'[2]MHAC Prelim Rev Adj M2'!$B$54</definedName>
    <definedName name="MHAC_Max_Reward" localSheetId="6">'[2] MHAC Prelim Rev Adj M1'!$B$57</definedName>
    <definedName name="MHAC_Max_Reward" localSheetId="2">'[2] MHAC Prelim Rev Adj M1'!$B$57</definedName>
    <definedName name="MHAC_Max_Reward" localSheetId="0">'[2] MHAC Prelim Rev Adj M1'!$B$57</definedName>
    <definedName name="MHAC_Max_Reward">'[6]1.MHAC Scaling'!$G$7</definedName>
    <definedName name="MHAC_Max_Reward2">'[2]MHAC Prelim Rev Adj M2'!$B$56</definedName>
    <definedName name="MHAC_Penalty_Threshold" localSheetId="6">'[2] MHAC Prelim Rev Adj M1'!$B$58</definedName>
    <definedName name="MHAC_Penalty_Threshold" localSheetId="2">'[2] MHAC Prelim Rev Adj M1'!$B$58</definedName>
    <definedName name="MHAC_Penalty_Threshold" localSheetId="0">'[2] MHAC Prelim Rev Adj M1'!$B$58</definedName>
    <definedName name="MHAC_Penalty_Threshold">'[6]1.MHAC Scaling'!$G$8</definedName>
    <definedName name="MHAC_Penalty_Threshold2">'[2]MHAC Prelim Rev Adj M2'!$B$57</definedName>
    <definedName name="MHAC_Reward_Threshold" localSheetId="6">'[2] MHAC Prelim Rev Adj M1'!$B$59</definedName>
    <definedName name="MHAC_Reward_Threshold" localSheetId="2">'[2] MHAC Prelim Rev Adj M1'!$B$59</definedName>
    <definedName name="MHAC_Reward_Threshold" localSheetId="0">'[2] MHAC Prelim Rev Adj M1'!$B$59</definedName>
    <definedName name="MHAC_Reward_Threshold">'[6]1.MHAC Scaling'!$G$9</definedName>
    <definedName name="MHAC_Reward_Threshold2">'[2]MHAC Prelim Rev Adj M2'!$B$58</definedName>
    <definedName name="_xlnm.Print_Area" localSheetId="6">#REF!</definedName>
    <definedName name="_xlnm.Print_Area">#REF!</definedName>
    <definedName name="_xlnm.Print_Titles" localSheetId="5">'2.Disparity Gap'!$1:$1</definedName>
    <definedName name="_xlnm.Print_Titles" localSheetId="3">'4.CY2022 Improve All Payers'!$1:$1</definedName>
    <definedName name="QBR__Threshold">'[2]QBR Prelim CURRENT Scale'!$C$54</definedName>
    <definedName name="QBR__Threshold2">'[2]QBR Prelim ADJUSTED Scale'!$C$54</definedName>
    <definedName name="QBR_Highest_Score" localSheetId="6">'[2]QBR Prelim CURRENT Scale'!$C$52</definedName>
    <definedName name="QBR_Highest_Score" localSheetId="2">'[2]QBR Prelim CURRENT Scale'!$C$52</definedName>
    <definedName name="QBR_Highest_Score" localSheetId="0">'[2]QBR Prelim CURRENT Scale'!$C$52</definedName>
    <definedName name="QBR_Highest_Score">[6]QBR!$J$4</definedName>
    <definedName name="QBR_Highest_Score2">'[2]QBR Prelim ADJUSTED Scale'!$C$52</definedName>
    <definedName name="QBR_Lowest_Score" localSheetId="6">'[2]QBR Prelim CURRENT Scale'!$C$50</definedName>
    <definedName name="QBR_Lowest_Score" localSheetId="2">'[2]QBR Prelim CURRENT Scale'!$C$50</definedName>
    <definedName name="QBR_Lowest_Score" localSheetId="0">'[2]QBR Prelim CURRENT Scale'!$C$50</definedName>
    <definedName name="QBR_Lowest_Score">[6]QBR!$J$2</definedName>
    <definedName name="QBR_Lowest_Score2">'[2]QBR Prelim ADJUSTED Scale'!$C$50</definedName>
    <definedName name="QBR_Max_Penalty" localSheetId="6">'[2]QBR Prelim CURRENT Scale'!$C$51</definedName>
    <definedName name="QBR_Max_Penalty" localSheetId="2">'[2]QBR Prelim CURRENT Scale'!$C$51</definedName>
    <definedName name="QBR_Max_Penalty" localSheetId="0">'[2]QBR Prelim CURRENT Scale'!$C$51</definedName>
    <definedName name="QBR_Max_Penalty">[6]QBR!$J$3</definedName>
    <definedName name="QBR_Max_Penalty2">'[2]QBR Prelim ADJUSTED Scale'!$C$51</definedName>
    <definedName name="QBR_Max_Reward" localSheetId="6">'[2]QBR Prelim CURRENT Scale'!$C$53</definedName>
    <definedName name="QBR_Max_Reward" localSheetId="2">'[2]QBR Prelim CURRENT Scale'!$C$53</definedName>
    <definedName name="QBR_Max_Reward" localSheetId="0">'[2]QBR Prelim CURRENT Scale'!$C$53</definedName>
    <definedName name="QBR_Max_Reward">[6]QBR!$J$5</definedName>
    <definedName name="QBR_Max_Reward2">'[2]QBR Prelim ADJUSTED Scale'!$C$53</definedName>
    <definedName name="QBR_Penalty_Threshold">[6]QBR!$J$6</definedName>
    <definedName name="rfbn_table">[4]rfbn_table!$A$1:$H$53</definedName>
    <definedName name="rfbnout">[4]rfbnout!$A$1:$K$53</definedName>
    <definedName name="RRIP_Att_MaxPenalty" localSheetId="6">'[6]3.Readmission Scaling'!$G$46</definedName>
    <definedName name="RRIP_Att_MaxPenalty" localSheetId="2">'[6]3.Readmission Scaling'!$G$46</definedName>
    <definedName name="RRIP_Att_MaxPenalty" localSheetId="0">'[6]3.Readmission Scaling'!$G$46</definedName>
    <definedName name="RRIP_Att_MaxPenalty">#REF!</definedName>
    <definedName name="RRIP_Att_MaxPenaltyRate" localSheetId="6">'[6]3.Readmission Scaling'!$E$46</definedName>
    <definedName name="RRIP_Att_MaxPenaltyRate" localSheetId="2">'[6]3.Readmission Scaling'!$E$46</definedName>
    <definedName name="RRIP_Att_MaxPenaltyRate" localSheetId="0">'[6]3.Readmission Scaling'!$E$46</definedName>
    <definedName name="RRIP_Att_MaxPenaltyRate">#REF!</definedName>
    <definedName name="RRIP_Att_MaxRewardRate" localSheetId="6">'[6]3.Readmission Scaling'!$E$16</definedName>
    <definedName name="RRIP_Att_MaxRewardRate" localSheetId="2">'[6]3.Readmission Scaling'!$E$16</definedName>
    <definedName name="RRIP_Att_MaxRewardRate" localSheetId="0">'[6]3.Readmission Scaling'!$E$16</definedName>
    <definedName name="RRIP_Att_MaxRewardRate">#REF!</definedName>
    <definedName name="RRIP_Att_Reward" localSheetId="6">'[6]3.Readmission Scaling'!$G$16</definedName>
    <definedName name="RRIP_Att_Reward" localSheetId="2">'[6]3.Readmission Scaling'!$G$16</definedName>
    <definedName name="RRIP_Att_Reward" localSheetId="0">'[6]3.Readmission Scaling'!$G$16</definedName>
    <definedName name="RRIP_Att_Reward">#REF!</definedName>
    <definedName name="RRIP_AttPenaltyOverUnder" localSheetId="6">#REF!</definedName>
    <definedName name="RRIP_AttPenaltyOverUnder" localSheetId="2">#REF!</definedName>
    <definedName name="RRIP_AttPenaltyOverUnder" localSheetId="0">#REF!</definedName>
    <definedName name="RRIP_AttPenaltyOverUnder">#REF!</definedName>
    <definedName name="RRIP_AttRewardOverUnder" localSheetId="6">#REF!</definedName>
    <definedName name="RRIP_AttRewardOverUnder" localSheetId="2">#REF!</definedName>
    <definedName name="RRIP_AttRewardOverUnder" localSheetId="0">#REF!</definedName>
    <definedName name="RRIP_AttRewardOverUnder">#REF!</definedName>
    <definedName name="RRIP_Imp_MaxPenalty" localSheetId="6">'[6]3.Readmission Scaling'!$C$46</definedName>
    <definedName name="RRIP_Imp_MaxPenalty" localSheetId="2">'[6]3.Readmission Scaling'!$C$46</definedName>
    <definedName name="RRIP_Imp_MaxPenalty" localSheetId="0">'[6]3.Readmission Scaling'!$C$46</definedName>
    <definedName name="RRIP_Imp_MaxPenalty">#REF!</definedName>
    <definedName name="RRIP_Imp_MaxPenaltyOverUnder" localSheetId="6">#REF!</definedName>
    <definedName name="RRIP_Imp_MaxPenaltyOverUnder" localSheetId="2">#REF!</definedName>
    <definedName name="RRIP_Imp_MaxPenaltyOverUnder" localSheetId="0">#REF!</definedName>
    <definedName name="RRIP_Imp_MaxPenaltyOverUnder">#REF!</definedName>
    <definedName name="RRIP_Imp_MaxPenaltyRate" localSheetId="6">'[6]3.Readmission Scaling'!$A$46</definedName>
    <definedName name="RRIP_Imp_MaxPenaltyRate" localSheetId="2">'[6]3.Readmission Scaling'!$A$46</definedName>
    <definedName name="RRIP_Imp_MaxPenaltyRate" localSheetId="0">'[6]3.Readmission Scaling'!$A$46</definedName>
    <definedName name="RRIP_Imp_MaxPenaltyRate">#REF!</definedName>
    <definedName name="RRIP_Imp_MaxReward" localSheetId="6">'[6]3.Readmission Scaling'!$C$16</definedName>
    <definedName name="RRIP_Imp_MaxReward" localSheetId="2">'[6]3.Readmission Scaling'!$C$16</definedName>
    <definedName name="RRIP_Imp_MaxReward" localSheetId="0">'[6]3.Readmission Scaling'!$C$16</definedName>
    <definedName name="RRIP_Imp_MaxReward">#REF!</definedName>
    <definedName name="RRIP_Imp_MaxRewardOverUnder" localSheetId="6">#REF!</definedName>
    <definedName name="RRIP_Imp_MaxRewardOverUnder" localSheetId="2">#REF!</definedName>
    <definedName name="RRIP_Imp_MaxRewardOverUnder" localSheetId="0">#REF!</definedName>
    <definedName name="RRIP_Imp_MaxRewardOverUnder">#REF!</definedName>
    <definedName name="RRIP_Imp_MaxRewardRate" localSheetId="6">'[6]3.Readmission Scaling'!$A$16</definedName>
    <definedName name="RRIP_Imp_MaxRewardRate" localSheetId="2">'[6]3.Readmission Scaling'!$A$16</definedName>
    <definedName name="RRIP_Imp_MaxRewardRate" localSheetId="0">'[6]3.Readmission Scaling'!$A$16</definedName>
    <definedName name="RRIP_Imp_MaxRewardRate">#REF!</definedName>
    <definedName name="tableii">[4]tableii!$A$1:$E$76</definedName>
    <definedName name="test" localSheetId="6">#REF!</definedName>
    <definedName name="test">#REF!</definedName>
    <definedName name="Top_80_percent" localSheetId="6">#REF!</definedName>
    <definedName name="Top_80_percent">#REF!</definedName>
    <definedName name="totpay17">[4]totpay17!$A$1:$HM$5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1" l="1"/>
  <c r="C57" i="8"/>
  <c r="C56" i="8"/>
  <c r="C21" i="12"/>
  <c r="C22" i="12" s="1"/>
  <c r="C23" i="12" s="1"/>
  <c r="C24" i="12" s="1"/>
  <c r="C25" i="12" s="1"/>
  <c r="C26" i="12" s="1"/>
  <c r="C27" i="12" s="1"/>
  <c r="C28" i="12" s="1"/>
  <c r="C29" i="12" s="1"/>
  <c r="C30" i="12" s="1"/>
  <c r="C31" i="12" s="1"/>
  <c r="C32" i="12" s="1"/>
  <c r="C33" i="12" s="1"/>
  <c r="C34" i="12" s="1"/>
  <c r="C35" i="12" s="1"/>
  <c r="C36" i="12" s="1"/>
  <c r="C37" i="12" s="1"/>
  <c r="C38" i="12" s="1"/>
  <c r="C39" i="12" s="1"/>
  <c r="C40" i="12" s="1"/>
  <c r="C41" i="12" s="1"/>
  <c r="C42" i="12" s="1"/>
  <c r="C43" i="12" s="1"/>
  <c r="C44" i="12" s="1"/>
  <c r="C20" i="12"/>
  <c r="B19" i="12"/>
  <c r="B7" i="12"/>
  <c r="B8"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C4" i="10" l="1"/>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3" i="10"/>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 i="1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3" i="8"/>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3" i="10"/>
  <c r="D4" i="8"/>
  <c r="F4" i="8" s="1"/>
  <c r="H4" i="10" s="1"/>
  <c r="D5" i="8"/>
  <c r="D6" i="8"/>
  <c r="D7" i="8"/>
  <c r="D8" i="8"/>
  <c r="D9" i="8"/>
  <c r="D10" i="8"/>
  <c r="D11" i="8"/>
  <c r="D12" i="8"/>
  <c r="F12" i="8" s="1"/>
  <c r="H12" i="10" s="1"/>
  <c r="D13" i="8"/>
  <c r="D14" i="8"/>
  <c r="D15" i="8"/>
  <c r="D16" i="8"/>
  <c r="D17" i="8"/>
  <c r="D18" i="8"/>
  <c r="D19" i="8"/>
  <c r="D20" i="8"/>
  <c r="F20" i="8" s="1"/>
  <c r="H20" i="10" s="1"/>
  <c r="D21" i="8"/>
  <c r="D22" i="8"/>
  <c r="D23" i="8"/>
  <c r="D24" i="8"/>
  <c r="F24" i="8" s="1"/>
  <c r="H24" i="10" s="1"/>
  <c r="D25" i="8"/>
  <c r="D26" i="8"/>
  <c r="D27" i="8"/>
  <c r="D28" i="8"/>
  <c r="D29" i="8"/>
  <c r="D30" i="8"/>
  <c r="D31" i="8"/>
  <c r="D32" i="8"/>
  <c r="F32" i="8" s="1"/>
  <c r="H32" i="10" s="1"/>
  <c r="D33" i="8"/>
  <c r="D34" i="8"/>
  <c r="D35" i="8"/>
  <c r="D36" i="8"/>
  <c r="D37" i="8"/>
  <c r="D38" i="8"/>
  <c r="D39" i="8"/>
  <c r="D40" i="8"/>
  <c r="F40" i="8" s="1"/>
  <c r="H40" i="10" s="1"/>
  <c r="D41" i="8"/>
  <c r="D42" i="8"/>
  <c r="D43" i="8"/>
  <c r="D44" i="8"/>
  <c r="D45" i="8"/>
  <c r="D46" i="8"/>
  <c r="D3" i="8"/>
  <c r="K47" i="11"/>
  <c r="H47" i="11"/>
  <c r="G47" i="11"/>
  <c r="F47" i="11"/>
  <c r="E47" i="11"/>
  <c r="D47" i="11"/>
  <c r="K46" i="11"/>
  <c r="G46" i="11"/>
  <c r="F46" i="11"/>
  <c r="H46" i="11" s="1"/>
  <c r="I46" i="11" s="1"/>
  <c r="E46" i="11"/>
  <c r="D46" i="11"/>
  <c r="K45" i="11"/>
  <c r="G45" i="11"/>
  <c r="F45" i="11"/>
  <c r="H45" i="11" s="1"/>
  <c r="E45" i="11"/>
  <c r="D45" i="11"/>
  <c r="K44" i="11"/>
  <c r="G44" i="11"/>
  <c r="F44" i="11"/>
  <c r="H44" i="11" s="1"/>
  <c r="E44" i="11"/>
  <c r="D44" i="11"/>
  <c r="K43" i="11"/>
  <c r="G43" i="11"/>
  <c r="F43" i="11"/>
  <c r="H43" i="11" s="1"/>
  <c r="E43" i="11"/>
  <c r="D43" i="11"/>
  <c r="K42" i="11"/>
  <c r="H42" i="11"/>
  <c r="G42" i="11"/>
  <c r="F42" i="11"/>
  <c r="E42" i="11"/>
  <c r="D42" i="11"/>
  <c r="K41" i="11"/>
  <c r="G41" i="11"/>
  <c r="F41" i="11"/>
  <c r="H41" i="11" s="1"/>
  <c r="E41" i="11"/>
  <c r="D41" i="11"/>
  <c r="K40" i="11"/>
  <c r="G40" i="11"/>
  <c r="F40" i="11"/>
  <c r="H40" i="11" s="1"/>
  <c r="E40" i="11"/>
  <c r="D40" i="11"/>
  <c r="K39" i="11"/>
  <c r="G39" i="11"/>
  <c r="F39" i="11"/>
  <c r="H39" i="11" s="1"/>
  <c r="E39" i="11"/>
  <c r="D39" i="11"/>
  <c r="K38" i="11"/>
  <c r="H38" i="11"/>
  <c r="G38" i="11"/>
  <c r="F38" i="11"/>
  <c r="E38" i="11"/>
  <c r="D38" i="11"/>
  <c r="K37" i="11"/>
  <c r="H37" i="11"/>
  <c r="G37" i="11"/>
  <c r="F37" i="11"/>
  <c r="E37" i="11"/>
  <c r="D37" i="11"/>
  <c r="K36" i="11"/>
  <c r="G36" i="11"/>
  <c r="F36" i="11"/>
  <c r="H36" i="11" s="1"/>
  <c r="E36" i="11"/>
  <c r="D36" i="11"/>
  <c r="K35" i="11"/>
  <c r="G35" i="11"/>
  <c r="F35" i="11"/>
  <c r="H35" i="11" s="1"/>
  <c r="E35" i="11"/>
  <c r="D35" i="11"/>
  <c r="K34" i="11"/>
  <c r="G34" i="11"/>
  <c r="F34" i="11"/>
  <c r="H34" i="11" s="1"/>
  <c r="E34" i="11"/>
  <c r="D34" i="11"/>
  <c r="K33" i="11"/>
  <c r="G33" i="11"/>
  <c r="F33" i="11"/>
  <c r="H33" i="11" s="1"/>
  <c r="E33" i="11"/>
  <c r="D33" i="11"/>
  <c r="K32" i="11"/>
  <c r="H32" i="11"/>
  <c r="G32" i="11"/>
  <c r="F32" i="11"/>
  <c r="E32" i="11"/>
  <c r="D32" i="11"/>
  <c r="K31" i="11"/>
  <c r="G31" i="11"/>
  <c r="F31" i="11"/>
  <c r="H31" i="11" s="1"/>
  <c r="E31" i="11"/>
  <c r="D31" i="11"/>
  <c r="K30" i="11"/>
  <c r="G30" i="11"/>
  <c r="F30" i="11"/>
  <c r="H30" i="11" s="1"/>
  <c r="E30" i="11"/>
  <c r="D30" i="11"/>
  <c r="K29" i="11"/>
  <c r="G29" i="11"/>
  <c r="F29" i="11"/>
  <c r="H29" i="11" s="1"/>
  <c r="E29" i="11"/>
  <c r="D29" i="11"/>
  <c r="K28" i="11"/>
  <c r="G28" i="11"/>
  <c r="F28" i="11"/>
  <c r="H28" i="11" s="1"/>
  <c r="E28" i="11"/>
  <c r="D28" i="11"/>
  <c r="K27" i="11"/>
  <c r="H27" i="11"/>
  <c r="G27" i="11"/>
  <c r="F27" i="11"/>
  <c r="E27" i="11"/>
  <c r="D27" i="11"/>
  <c r="K26" i="11"/>
  <c r="G26" i="11"/>
  <c r="F26" i="11"/>
  <c r="H26" i="11" s="1"/>
  <c r="E26" i="11"/>
  <c r="D26" i="11"/>
  <c r="K25" i="11"/>
  <c r="G25" i="11"/>
  <c r="F25" i="11"/>
  <c r="H25" i="11" s="1"/>
  <c r="E25" i="11"/>
  <c r="D25" i="11"/>
  <c r="K24" i="11"/>
  <c r="G24" i="11"/>
  <c r="F24" i="11"/>
  <c r="H24" i="11" s="1"/>
  <c r="E24" i="11"/>
  <c r="D24" i="11"/>
  <c r="K23" i="11"/>
  <c r="G23" i="11"/>
  <c r="F23" i="11"/>
  <c r="H23" i="11" s="1"/>
  <c r="E23" i="11"/>
  <c r="D23" i="11"/>
  <c r="K22" i="11"/>
  <c r="H22" i="11"/>
  <c r="G22" i="11"/>
  <c r="F22" i="11"/>
  <c r="E22" i="11"/>
  <c r="D22" i="11"/>
  <c r="K21" i="11"/>
  <c r="G21" i="11"/>
  <c r="F21" i="11"/>
  <c r="H21" i="11" s="1"/>
  <c r="E21" i="11"/>
  <c r="D21" i="11"/>
  <c r="K20" i="11"/>
  <c r="H20" i="11"/>
  <c r="G20" i="11"/>
  <c r="F20" i="11"/>
  <c r="E20" i="11"/>
  <c r="D20" i="11"/>
  <c r="K19" i="11"/>
  <c r="G19" i="11"/>
  <c r="F19" i="11"/>
  <c r="H19" i="11" s="1"/>
  <c r="E19" i="11"/>
  <c r="D19" i="11"/>
  <c r="K18" i="11"/>
  <c r="G18" i="11"/>
  <c r="F18" i="11"/>
  <c r="H18" i="11" s="1"/>
  <c r="E18" i="11"/>
  <c r="D18" i="11"/>
  <c r="K17" i="11"/>
  <c r="H17" i="11"/>
  <c r="G17" i="11"/>
  <c r="F17" i="11"/>
  <c r="E17" i="11"/>
  <c r="D17" i="11"/>
  <c r="K16" i="11"/>
  <c r="G16" i="11"/>
  <c r="F16" i="11"/>
  <c r="H16" i="11" s="1"/>
  <c r="E16" i="11"/>
  <c r="D16" i="11"/>
  <c r="K15" i="11"/>
  <c r="G15" i="11"/>
  <c r="F15" i="11"/>
  <c r="H15" i="11" s="1"/>
  <c r="E15" i="11"/>
  <c r="D15" i="11"/>
  <c r="K14" i="11"/>
  <c r="G14" i="11"/>
  <c r="F14" i="11"/>
  <c r="H14" i="11" s="1"/>
  <c r="E14" i="11"/>
  <c r="D14" i="11"/>
  <c r="K13" i="11"/>
  <c r="G13" i="11"/>
  <c r="F13" i="11"/>
  <c r="H13" i="11" s="1"/>
  <c r="E13" i="11"/>
  <c r="D13" i="11"/>
  <c r="K12" i="11"/>
  <c r="H12" i="11"/>
  <c r="G12" i="11"/>
  <c r="F12" i="11"/>
  <c r="E12" i="11"/>
  <c r="D12" i="11"/>
  <c r="K11" i="11"/>
  <c r="G11" i="11"/>
  <c r="F11" i="11"/>
  <c r="H11" i="11" s="1"/>
  <c r="E11" i="11"/>
  <c r="D11" i="11"/>
  <c r="K10" i="11"/>
  <c r="G10" i="11"/>
  <c r="F10" i="11"/>
  <c r="H10" i="11" s="1"/>
  <c r="E10" i="11"/>
  <c r="D10" i="11"/>
  <c r="K9" i="11"/>
  <c r="G9" i="11"/>
  <c r="F9" i="11"/>
  <c r="H9" i="11" s="1"/>
  <c r="E9" i="11"/>
  <c r="D9" i="11"/>
  <c r="K8" i="11"/>
  <c r="G8" i="11"/>
  <c r="F8" i="11"/>
  <c r="H8" i="11" s="1"/>
  <c r="E8" i="11"/>
  <c r="D8" i="11"/>
  <c r="K7" i="11"/>
  <c r="H7" i="11"/>
  <c r="G7" i="11"/>
  <c r="F7" i="11"/>
  <c r="E7" i="11"/>
  <c r="D7" i="11"/>
  <c r="K6" i="11"/>
  <c r="G6" i="11"/>
  <c r="F6" i="11"/>
  <c r="H6" i="11" s="1"/>
  <c r="E6" i="11"/>
  <c r="D6" i="11"/>
  <c r="K5" i="11"/>
  <c r="G5" i="11"/>
  <c r="F5" i="11"/>
  <c r="H5" i="11" s="1"/>
  <c r="E5" i="11"/>
  <c r="D5" i="11"/>
  <c r="K4" i="11"/>
  <c r="G4" i="11"/>
  <c r="F4" i="11"/>
  <c r="H4" i="11" s="1"/>
  <c r="E4" i="11"/>
  <c r="D4" i="11"/>
  <c r="E55" i="8"/>
  <c r="C55" i="8"/>
  <c r="E54" i="8"/>
  <c r="C54" i="8"/>
  <c r="E46" i="8"/>
  <c r="E45" i="8"/>
  <c r="E44" i="8"/>
  <c r="F44" i="8"/>
  <c r="H44" i="10" s="1"/>
  <c r="E43" i="8"/>
  <c r="E42" i="8"/>
  <c r="E41" i="8"/>
  <c r="E40" i="8"/>
  <c r="E39" i="8"/>
  <c r="E38" i="8"/>
  <c r="E37" i="8"/>
  <c r="E36" i="8"/>
  <c r="F36" i="8"/>
  <c r="H36" i="10" s="1"/>
  <c r="E35" i="8"/>
  <c r="E34" i="8"/>
  <c r="E33" i="8"/>
  <c r="E32" i="8"/>
  <c r="E31" i="8"/>
  <c r="E30" i="8"/>
  <c r="E29" i="8"/>
  <c r="E28" i="8"/>
  <c r="F28" i="8"/>
  <c r="H28" i="10" s="1"/>
  <c r="E27" i="8"/>
  <c r="E26" i="8"/>
  <c r="E25" i="8"/>
  <c r="E24" i="8"/>
  <c r="E23" i="8"/>
  <c r="E22" i="8"/>
  <c r="E21" i="8"/>
  <c r="E20" i="8"/>
  <c r="E19" i="8"/>
  <c r="E18" i="8"/>
  <c r="E17" i="8"/>
  <c r="E16" i="8"/>
  <c r="E15" i="8"/>
  <c r="E14" i="8"/>
  <c r="E13" i="8"/>
  <c r="E12" i="8"/>
  <c r="E11" i="8"/>
  <c r="E10" i="8"/>
  <c r="E9" i="8"/>
  <c r="E8" i="8"/>
  <c r="F8" i="8"/>
  <c r="H8" i="10" s="1"/>
  <c r="E7" i="8"/>
  <c r="E6" i="8"/>
  <c r="E5" i="8"/>
  <c r="E4" i="8"/>
  <c r="E3" i="8"/>
  <c r="D47" i="6"/>
  <c r="E47" i="6" s="1"/>
  <c r="J47" i="11" s="1"/>
  <c r="L47" i="11" s="1"/>
  <c r="B47" i="6"/>
  <c r="D46" i="6"/>
  <c r="E46" i="6" s="1"/>
  <c r="J46" i="11" s="1"/>
  <c r="L46" i="11" s="1"/>
  <c r="B46" i="6"/>
  <c r="D45" i="6"/>
  <c r="E45" i="6" s="1"/>
  <c r="B45" i="6"/>
  <c r="D44" i="6"/>
  <c r="E44" i="6" s="1"/>
  <c r="B44" i="6"/>
  <c r="D43" i="6"/>
  <c r="E43" i="6" s="1"/>
  <c r="B43" i="6"/>
  <c r="D42" i="6"/>
  <c r="E42" i="6" s="1"/>
  <c r="B42" i="6"/>
  <c r="D41" i="6"/>
  <c r="E41" i="6" s="1"/>
  <c r="J41" i="11" s="1"/>
  <c r="L41" i="11" s="1"/>
  <c r="B41" i="6"/>
  <c r="D40" i="6"/>
  <c r="E40" i="6" s="1"/>
  <c r="J40" i="11" s="1"/>
  <c r="L40" i="11" s="1"/>
  <c r="B40" i="6"/>
  <c r="D39" i="6"/>
  <c r="E39" i="6" s="1"/>
  <c r="J39" i="11" s="1"/>
  <c r="L39" i="11" s="1"/>
  <c r="B39" i="6"/>
  <c r="D38" i="6"/>
  <c r="E38" i="6" s="1"/>
  <c r="B38" i="6"/>
  <c r="D37" i="6"/>
  <c r="E37" i="6" s="1"/>
  <c r="J37" i="11" s="1"/>
  <c r="L37" i="11" s="1"/>
  <c r="B37" i="6"/>
  <c r="D36" i="6"/>
  <c r="E36" i="6" s="1"/>
  <c r="J36" i="11" s="1"/>
  <c r="L36" i="11" s="1"/>
  <c r="B36" i="6"/>
  <c r="D35" i="6"/>
  <c r="E35" i="6" s="1"/>
  <c r="B35" i="6"/>
  <c r="D34" i="6"/>
  <c r="E34" i="6" s="1"/>
  <c r="B34" i="6"/>
  <c r="D33" i="6"/>
  <c r="E33" i="6" s="1"/>
  <c r="J33" i="11" s="1"/>
  <c r="L33" i="11" s="1"/>
  <c r="B33" i="6"/>
  <c r="D32" i="6"/>
  <c r="E32" i="6" s="1"/>
  <c r="B32" i="6"/>
  <c r="D31" i="6"/>
  <c r="E31" i="6" s="1"/>
  <c r="J31" i="11" s="1"/>
  <c r="L31" i="11" s="1"/>
  <c r="B31" i="6"/>
  <c r="D30" i="6"/>
  <c r="E30" i="6" s="1"/>
  <c r="J30" i="11" s="1"/>
  <c r="L30" i="11" s="1"/>
  <c r="B30" i="6"/>
  <c r="D29" i="6"/>
  <c r="E29" i="6" s="1"/>
  <c r="B29" i="6"/>
  <c r="D28" i="6"/>
  <c r="E28" i="6" s="1"/>
  <c r="J28" i="11" s="1"/>
  <c r="L28" i="11" s="1"/>
  <c r="B28" i="6"/>
  <c r="D27" i="6"/>
  <c r="E27" i="6" s="1"/>
  <c r="J27" i="11" s="1"/>
  <c r="L27" i="11" s="1"/>
  <c r="B27" i="6"/>
  <c r="D26" i="6"/>
  <c r="E26" i="6" s="1"/>
  <c r="J26" i="11" s="1"/>
  <c r="L26" i="11" s="1"/>
  <c r="B26" i="6"/>
  <c r="D25" i="6"/>
  <c r="E25" i="6" s="1"/>
  <c r="B25" i="6"/>
  <c r="D24" i="6"/>
  <c r="E24" i="6" s="1"/>
  <c r="J24" i="11" s="1"/>
  <c r="L24" i="11" s="1"/>
  <c r="B24" i="6"/>
  <c r="D23" i="6"/>
  <c r="E23" i="6" s="1"/>
  <c r="B23" i="6"/>
  <c r="D22" i="6"/>
  <c r="E22" i="6" s="1"/>
  <c r="B22" i="6"/>
  <c r="D21" i="6"/>
  <c r="E21" i="6" s="1"/>
  <c r="J21" i="11" s="1"/>
  <c r="L21" i="11" s="1"/>
  <c r="B21" i="6"/>
  <c r="D20" i="6"/>
  <c r="E20" i="6" s="1"/>
  <c r="J20" i="11" s="1"/>
  <c r="L20" i="11" s="1"/>
  <c r="B20" i="6"/>
  <c r="D19" i="6"/>
  <c r="E19" i="6" s="1"/>
  <c r="J19" i="11" s="1"/>
  <c r="L19" i="11" s="1"/>
  <c r="B19" i="6"/>
  <c r="D18" i="6"/>
  <c r="E18" i="6" s="1"/>
  <c r="J18" i="11" s="1"/>
  <c r="L18" i="11" s="1"/>
  <c r="B18" i="6"/>
  <c r="D17" i="6"/>
  <c r="E17" i="6" s="1"/>
  <c r="B17" i="6"/>
  <c r="D16" i="6"/>
  <c r="E16" i="6" s="1"/>
  <c r="B16" i="6"/>
  <c r="D15" i="6"/>
  <c r="E15" i="6" s="1"/>
  <c r="J15" i="11" s="1"/>
  <c r="L15" i="11" s="1"/>
  <c r="B15" i="6"/>
  <c r="D14" i="6"/>
  <c r="E14" i="6" s="1"/>
  <c r="B14" i="6"/>
  <c r="D13" i="6"/>
  <c r="E13" i="6" s="1"/>
  <c r="B13" i="6"/>
  <c r="D12" i="6"/>
  <c r="E12" i="6" s="1"/>
  <c r="B12" i="6"/>
  <c r="D11" i="6"/>
  <c r="E11" i="6" s="1"/>
  <c r="J11" i="11" s="1"/>
  <c r="L11" i="11" s="1"/>
  <c r="B11" i="6"/>
  <c r="D10" i="6"/>
  <c r="E10" i="6" s="1"/>
  <c r="J10" i="11" s="1"/>
  <c r="L10" i="11" s="1"/>
  <c r="B10" i="6"/>
  <c r="D9" i="6"/>
  <c r="E9" i="6" s="1"/>
  <c r="J9" i="11" s="1"/>
  <c r="L9" i="11" s="1"/>
  <c r="B9" i="6"/>
  <c r="D8" i="6"/>
  <c r="E8" i="6" s="1"/>
  <c r="J8" i="11" s="1"/>
  <c r="L8" i="11" s="1"/>
  <c r="B8" i="6"/>
  <c r="D7" i="6"/>
  <c r="E7" i="6" s="1"/>
  <c r="J7" i="11" s="1"/>
  <c r="L7" i="11" s="1"/>
  <c r="B7" i="6"/>
  <c r="D6" i="6"/>
  <c r="E6" i="6" s="1"/>
  <c r="J6" i="11" s="1"/>
  <c r="L6" i="11" s="1"/>
  <c r="B6" i="6"/>
  <c r="D5" i="6"/>
  <c r="E5" i="6" s="1"/>
  <c r="B5" i="6"/>
  <c r="D4" i="6"/>
  <c r="E4" i="6" s="1"/>
  <c r="B4" i="6"/>
  <c r="I16" i="11" l="1"/>
  <c r="I36" i="11"/>
  <c r="I34" i="11"/>
  <c r="I11" i="11"/>
  <c r="I4" i="11"/>
  <c r="I39" i="11"/>
  <c r="I19" i="11"/>
  <c r="I27" i="11"/>
  <c r="M8" i="11"/>
  <c r="M28" i="11"/>
  <c r="I32" i="11"/>
  <c r="M9" i="11"/>
  <c r="I12" i="11"/>
  <c r="M31" i="11"/>
  <c r="I28" i="11"/>
  <c r="M11" i="11"/>
  <c r="N11" i="11" s="1"/>
  <c r="M6" i="11"/>
  <c r="I26" i="11"/>
  <c r="I5" i="11"/>
  <c r="I9" i="11"/>
  <c r="I47" i="11"/>
  <c r="I41" i="11"/>
  <c r="I21" i="11"/>
  <c r="M37" i="11"/>
  <c r="J12" i="11"/>
  <c r="L12" i="11" s="1"/>
  <c r="M12" i="11" s="1"/>
  <c r="J43" i="11"/>
  <c r="L43" i="11" s="1"/>
  <c r="M43" i="11" s="1"/>
  <c r="J16" i="11"/>
  <c r="L16" i="11" s="1"/>
  <c r="M16" i="11" s="1"/>
  <c r="N16" i="11" s="1"/>
  <c r="F15" i="10" s="1"/>
  <c r="J13" i="11"/>
  <c r="L13" i="11" s="1"/>
  <c r="M13" i="11" s="1"/>
  <c r="F16" i="8"/>
  <c r="J44" i="11"/>
  <c r="L44" i="11" s="1"/>
  <c r="M44" i="11" s="1"/>
  <c r="M30" i="11"/>
  <c r="J32" i="11"/>
  <c r="L32" i="11" s="1"/>
  <c r="M32" i="11" s="1"/>
  <c r="J42" i="11"/>
  <c r="L42" i="11" s="1"/>
  <c r="M42" i="11" s="1"/>
  <c r="M18" i="11"/>
  <c r="J25" i="11"/>
  <c r="L25" i="11" s="1"/>
  <c r="M25" i="11" s="1"/>
  <c r="J34" i="11"/>
  <c r="L34" i="11" s="1"/>
  <c r="M34" i="11" s="1"/>
  <c r="J22" i="11"/>
  <c r="L22" i="11" s="1"/>
  <c r="M22" i="11" s="1"/>
  <c r="J4" i="11"/>
  <c r="L4" i="11" s="1"/>
  <c r="M4" i="11" s="1"/>
  <c r="N4" i="11" s="1"/>
  <c r="F3" i="10" s="1"/>
  <c r="J35" i="11"/>
  <c r="L35" i="11" s="1"/>
  <c r="M35" i="11" s="1"/>
  <c r="M10" i="11"/>
  <c r="J23" i="11"/>
  <c r="L23" i="11" s="1"/>
  <c r="M23" i="11" s="1"/>
  <c r="J29" i="11"/>
  <c r="L29" i="11" s="1"/>
  <c r="M29" i="11" s="1"/>
  <c r="J38" i="11"/>
  <c r="L38" i="11" s="1"/>
  <c r="M38" i="11" s="1"/>
  <c r="J14" i="11"/>
  <c r="L14" i="11" s="1"/>
  <c r="M14" i="11" s="1"/>
  <c r="J17" i="11"/>
  <c r="L17" i="11" s="1"/>
  <c r="M17" i="11" s="1"/>
  <c r="J5" i="11"/>
  <c r="L5" i="11" s="1"/>
  <c r="M5" i="11" s="1"/>
  <c r="J45" i="11"/>
  <c r="L45" i="11" s="1"/>
  <c r="M45" i="11" s="1"/>
  <c r="I40" i="11"/>
  <c r="I22" i="11"/>
  <c r="I35" i="11"/>
  <c r="I8" i="11"/>
  <c r="I15" i="11"/>
  <c r="I30" i="11"/>
  <c r="I45" i="11"/>
  <c r="I25" i="11"/>
  <c r="M36" i="11"/>
  <c r="N36" i="11" s="1"/>
  <c r="I42" i="11"/>
  <c r="I20" i="11"/>
  <c r="I18" i="11"/>
  <c r="M15" i="11"/>
  <c r="I38" i="11"/>
  <c r="I10" i="11"/>
  <c r="M24" i="11"/>
  <c r="I24" i="11"/>
  <c r="I44" i="11"/>
  <c r="I17" i="11"/>
  <c r="I23" i="11"/>
  <c r="M7" i="11"/>
  <c r="M26" i="11"/>
  <c r="M46" i="11"/>
  <c r="N46" i="11" s="1"/>
  <c r="F45" i="10" s="1"/>
  <c r="I43" i="11"/>
  <c r="I37" i="11"/>
  <c r="I14" i="11"/>
  <c r="M19" i="11"/>
  <c r="N19" i="11" s="1"/>
  <c r="F18" i="10" s="1"/>
  <c r="M21" i="11"/>
  <c r="M27" i="11"/>
  <c r="M47" i="11"/>
  <c r="C49" i="11"/>
  <c r="I7" i="11"/>
  <c r="M20" i="11"/>
  <c r="M39" i="11"/>
  <c r="I13" i="11"/>
  <c r="I29" i="11"/>
  <c r="I6" i="11"/>
  <c r="I31" i="11"/>
  <c r="M40" i="11"/>
  <c r="M33" i="11"/>
  <c r="I33" i="11"/>
  <c r="F18" i="8"/>
  <c r="C50" i="10"/>
  <c r="F41" i="8"/>
  <c r="F3" i="8"/>
  <c r="F9" i="8"/>
  <c r="F45" i="8"/>
  <c r="F27" i="8"/>
  <c r="F46" i="8"/>
  <c r="F15" i="8"/>
  <c r="F42" i="8"/>
  <c r="F33" i="8"/>
  <c r="F43" i="8"/>
  <c r="F7" i="8"/>
  <c r="F25" i="8"/>
  <c r="F34" i="8"/>
  <c r="F6" i="8"/>
  <c r="F10" i="8"/>
  <c r="F19" i="8"/>
  <c r="F37" i="8"/>
  <c r="F11" i="8"/>
  <c r="F29" i="8"/>
  <c r="F38" i="8"/>
  <c r="F21" i="8"/>
  <c r="F30" i="8"/>
  <c r="F39" i="8"/>
  <c r="F13" i="8"/>
  <c r="F22" i="8"/>
  <c r="F31" i="8"/>
  <c r="F5" i="8"/>
  <c r="F14" i="8"/>
  <c r="F23" i="8"/>
  <c r="F17" i="8"/>
  <c r="F26" i="8"/>
  <c r="F35" i="8"/>
  <c r="G8" i="8"/>
  <c r="I8" i="10" s="1"/>
  <c r="G28" i="8"/>
  <c r="I28" i="10" s="1"/>
  <c r="G36" i="8"/>
  <c r="I36" i="10" s="1"/>
  <c r="G24" i="8"/>
  <c r="I24" i="10" s="1"/>
  <c r="G44" i="8"/>
  <c r="I44" i="10" s="1"/>
  <c r="G20" i="8"/>
  <c r="I20" i="10" s="1"/>
  <c r="G12" i="8"/>
  <c r="I12" i="10" s="1"/>
  <c r="G4" i="8"/>
  <c r="I4" i="10" s="1"/>
  <c r="G40" i="8"/>
  <c r="I40" i="10" s="1"/>
  <c r="C48" i="8"/>
  <c r="G32" i="8"/>
  <c r="I32" i="10" s="1"/>
  <c r="N39" i="11" l="1"/>
  <c r="F38" i="10" s="1"/>
  <c r="N28" i="11"/>
  <c r="N32" i="11"/>
  <c r="N34" i="11"/>
  <c r="F33" i="10" s="1"/>
  <c r="N5" i="11"/>
  <c r="O5" i="11" s="1"/>
  <c r="E4" i="10" s="1"/>
  <c r="N9" i="11"/>
  <c r="N40" i="11"/>
  <c r="F39" i="10" s="1"/>
  <c r="N8" i="11"/>
  <c r="F7" i="10" s="1"/>
  <c r="N6" i="11"/>
  <c r="F5" i="10" s="1"/>
  <c r="N12" i="11"/>
  <c r="F11" i="10" s="1"/>
  <c r="N31" i="11"/>
  <c r="F30" i="10" s="1"/>
  <c r="N27" i="11"/>
  <c r="F26" i="10" s="1"/>
  <c r="N33" i="11"/>
  <c r="F32" i="10" s="1"/>
  <c r="N26" i="11"/>
  <c r="F25" i="10" s="1"/>
  <c r="G18" i="8"/>
  <c r="I18" i="10" s="1"/>
  <c r="H18" i="10"/>
  <c r="G37" i="8"/>
  <c r="I37" i="10" s="1"/>
  <c r="H37" i="10"/>
  <c r="P32" i="11"/>
  <c r="D31" i="10" s="1"/>
  <c r="F31" i="10"/>
  <c r="O36" i="11"/>
  <c r="E35" i="10" s="1"/>
  <c r="F35" i="10"/>
  <c r="G19" i="8"/>
  <c r="I19" i="10" s="1"/>
  <c r="H19" i="10"/>
  <c r="G6" i="8"/>
  <c r="I6" i="10" s="1"/>
  <c r="H6" i="10"/>
  <c r="G25" i="8"/>
  <c r="I25" i="10" s="1"/>
  <c r="H25" i="10"/>
  <c r="P28" i="11"/>
  <c r="D27" i="10" s="1"/>
  <c r="F27" i="10"/>
  <c r="G38" i="8"/>
  <c r="I38" i="10" s="1"/>
  <c r="H38" i="10"/>
  <c r="G11" i="8"/>
  <c r="I11" i="10" s="1"/>
  <c r="H11" i="10"/>
  <c r="G35" i="8"/>
  <c r="I35" i="10" s="1"/>
  <c r="H35" i="10"/>
  <c r="G26" i="8"/>
  <c r="I26" i="10" s="1"/>
  <c r="H26" i="10"/>
  <c r="G7" i="8"/>
  <c r="I7" i="10" s="1"/>
  <c r="H7" i="10"/>
  <c r="N13" i="11"/>
  <c r="F12" i="10" s="1"/>
  <c r="G42" i="8"/>
  <c r="I42" i="10" s="1"/>
  <c r="H42" i="10"/>
  <c r="G29" i="8"/>
  <c r="I29" i="10" s="1"/>
  <c r="H29" i="10"/>
  <c r="G34" i="8"/>
  <c r="I34" i="10" s="1"/>
  <c r="H34" i="10"/>
  <c r="O8" i="11"/>
  <c r="E7" i="10" s="1"/>
  <c r="G17" i="8"/>
  <c r="I17" i="10" s="1"/>
  <c r="H17" i="10"/>
  <c r="G43" i="8"/>
  <c r="I43" i="10" s="1"/>
  <c r="H43" i="10"/>
  <c r="G16" i="8"/>
  <c r="I16" i="10" s="1"/>
  <c r="H16" i="10"/>
  <c r="G10" i="8"/>
  <c r="I10" i="10" s="1"/>
  <c r="H10" i="10"/>
  <c r="G23" i="8"/>
  <c r="I23" i="10" s="1"/>
  <c r="H23" i="10"/>
  <c r="G33" i="8"/>
  <c r="I33" i="10" s="1"/>
  <c r="H33" i="10"/>
  <c r="G15" i="8"/>
  <c r="I15" i="10" s="1"/>
  <c r="H15" i="10"/>
  <c r="G46" i="8"/>
  <c r="I46" i="10" s="1"/>
  <c r="H46" i="10"/>
  <c r="G27" i="8"/>
  <c r="I27" i="10" s="1"/>
  <c r="H27" i="10"/>
  <c r="N15" i="11"/>
  <c r="F14" i="10" s="1"/>
  <c r="G45" i="8"/>
  <c r="I45" i="10" s="1"/>
  <c r="H45" i="10"/>
  <c r="P9" i="11"/>
  <c r="D8" i="10" s="1"/>
  <c r="F8" i="10"/>
  <c r="G39" i="8"/>
  <c r="I39" i="10" s="1"/>
  <c r="H39" i="10"/>
  <c r="G9" i="8"/>
  <c r="I9" i="10" s="1"/>
  <c r="H9" i="10"/>
  <c r="G30" i="8"/>
  <c r="I30" i="10" s="1"/>
  <c r="H30" i="10"/>
  <c r="G3" i="8"/>
  <c r="I3" i="10" s="1"/>
  <c r="H3" i="10"/>
  <c r="N20" i="11"/>
  <c r="F19" i="10" s="1"/>
  <c r="G14" i="8"/>
  <c r="I14" i="10" s="1"/>
  <c r="H14" i="10"/>
  <c r="G5" i="8"/>
  <c r="I5" i="10" s="1"/>
  <c r="H5" i="10"/>
  <c r="G31" i="8"/>
  <c r="I31" i="10" s="1"/>
  <c r="H31" i="10"/>
  <c r="G22" i="8"/>
  <c r="I22" i="10" s="1"/>
  <c r="H22" i="10"/>
  <c r="G13" i="8"/>
  <c r="I13" i="10" s="1"/>
  <c r="H13" i="10"/>
  <c r="G21" i="8"/>
  <c r="I21" i="10" s="1"/>
  <c r="H21" i="10"/>
  <c r="G41" i="8"/>
  <c r="I41" i="10" s="1"/>
  <c r="H41" i="10"/>
  <c r="O11" i="11"/>
  <c r="E10" i="10" s="1"/>
  <c r="F10" i="10"/>
  <c r="O9" i="11"/>
  <c r="E8" i="10" s="1"/>
  <c r="P36" i="11"/>
  <c r="D35" i="10" s="1"/>
  <c r="N47" i="11"/>
  <c r="N30" i="11"/>
  <c r="N21" i="11"/>
  <c r="N25" i="11"/>
  <c r="F24" i="10" s="1"/>
  <c r="N42" i="11"/>
  <c r="F41" i="10" s="1"/>
  <c r="N37" i="11"/>
  <c r="F36" i="10" s="1"/>
  <c r="N10" i="11"/>
  <c r="P10" i="11" s="1"/>
  <c r="D9" i="10" s="1"/>
  <c r="N41" i="11"/>
  <c r="P41" i="11" s="1"/>
  <c r="D40" i="10" s="1"/>
  <c r="N17" i="11"/>
  <c r="F16" i="10" s="1"/>
  <c r="N44" i="11"/>
  <c r="N18" i="11"/>
  <c r="N14" i="11"/>
  <c r="O14" i="11" s="1"/>
  <c r="E13" i="10" s="1"/>
  <c r="P11" i="11"/>
  <c r="D10" i="10" s="1"/>
  <c r="N35" i="11"/>
  <c r="F34" i="10" s="1"/>
  <c r="N23" i="11"/>
  <c r="O32" i="11"/>
  <c r="E31" i="10" s="1"/>
  <c r="N29" i="11"/>
  <c r="N22" i="11"/>
  <c r="F21" i="10" s="1"/>
  <c r="M51" i="11"/>
  <c r="P8" i="11"/>
  <c r="D7" i="10" s="1"/>
  <c r="O28" i="11"/>
  <c r="E27" i="10" s="1"/>
  <c r="N38" i="11"/>
  <c r="F37" i="10" s="1"/>
  <c r="M49" i="11"/>
  <c r="M50" i="11"/>
  <c r="N45" i="11"/>
  <c r="F44" i="10" s="1"/>
  <c r="P16" i="11"/>
  <c r="D15" i="10" s="1"/>
  <c r="O16" i="11"/>
  <c r="E15" i="10" s="1"/>
  <c r="P46" i="11"/>
  <c r="D45" i="10" s="1"/>
  <c r="O46" i="11"/>
  <c r="E45" i="10" s="1"/>
  <c r="P19" i="11"/>
  <c r="D18" i="10" s="1"/>
  <c r="O19" i="11"/>
  <c r="E18" i="10" s="1"/>
  <c r="N24" i="11"/>
  <c r="F23" i="10" s="1"/>
  <c r="I49" i="11"/>
  <c r="N7" i="11"/>
  <c r="F6" i="10" s="1"/>
  <c r="I51" i="11"/>
  <c r="I50" i="11"/>
  <c r="P4" i="11"/>
  <c r="D3" i="10" s="1"/>
  <c r="O4" i="11"/>
  <c r="E3" i="10" s="1"/>
  <c r="P34" i="11"/>
  <c r="D33" i="10" s="1"/>
  <c r="O34" i="11"/>
  <c r="E33" i="10" s="1"/>
  <c r="P39" i="11"/>
  <c r="D38" i="10" s="1"/>
  <c r="O39" i="11"/>
  <c r="E38" i="10" s="1"/>
  <c r="N43" i="11"/>
  <c r="F42" i="10" s="1"/>
  <c r="P12" i="11" l="1"/>
  <c r="D11" i="10" s="1"/>
  <c r="P40" i="11"/>
  <c r="D39" i="10" s="1"/>
  <c r="O40" i="11"/>
  <c r="E39" i="10" s="1"/>
  <c r="F4" i="10"/>
  <c r="P5" i="11"/>
  <c r="D4" i="10" s="1"/>
  <c r="P26" i="11"/>
  <c r="D25" i="10" s="1"/>
  <c r="O12" i="11"/>
  <c r="E11" i="10" s="1"/>
  <c r="O6" i="11"/>
  <c r="E5" i="10" s="1"/>
  <c r="P6" i="11"/>
  <c r="D5" i="10" s="1"/>
  <c r="O33" i="11"/>
  <c r="E32" i="10" s="1"/>
  <c r="O27" i="11"/>
  <c r="E26" i="10" s="1"/>
  <c r="P33" i="11"/>
  <c r="D32" i="10" s="1"/>
  <c r="P31" i="11"/>
  <c r="D30" i="10" s="1"/>
  <c r="O31" i="11"/>
  <c r="E30" i="10" s="1"/>
  <c r="O26" i="11"/>
  <c r="E25" i="10" s="1"/>
  <c r="P27" i="11"/>
  <c r="D26" i="10" s="1"/>
  <c r="O37" i="11"/>
  <c r="E36" i="10" s="1"/>
  <c r="P37" i="11"/>
  <c r="D36" i="10" s="1"/>
  <c r="O13" i="11"/>
  <c r="E12" i="10" s="1"/>
  <c r="P13" i="11"/>
  <c r="D12" i="10" s="1"/>
  <c r="O20" i="11"/>
  <c r="E19" i="10" s="1"/>
  <c r="P20" i="11"/>
  <c r="D19" i="10" s="1"/>
  <c r="O42" i="11"/>
  <c r="E41" i="10" s="1"/>
  <c r="P42" i="11"/>
  <c r="D41" i="10" s="1"/>
  <c r="P18" i="11"/>
  <c r="D17" i="10" s="1"/>
  <c r="F17" i="10"/>
  <c r="O17" i="11"/>
  <c r="E16" i="10" s="1"/>
  <c r="P44" i="11"/>
  <c r="D43" i="10" s="1"/>
  <c r="F43" i="10"/>
  <c r="O44" i="11"/>
  <c r="E43" i="10" s="1"/>
  <c r="P17" i="11"/>
  <c r="D16" i="10" s="1"/>
  <c r="O10" i="11"/>
  <c r="E9" i="10" s="1"/>
  <c r="F9" i="10"/>
  <c r="O15" i="11"/>
  <c r="E14" i="10" s="1"/>
  <c r="O41" i="11"/>
  <c r="E40" i="10" s="1"/>
  <c r="F40" i="10"/>
  <c r="P15" i="11"/>
  <c r="D14" i="10" s="1"/>
  <c r="P21" i="11"/>
  <c r="D20" i="10" s="1"/>
  <c r="F20" i="10"/>
  <c r="O30" i="11"/>
  <c r="E29" i="10" s="1"/>
  <c r="F29" i="10"/>
  <c r="P29" i="11"/>
  <c r="D28" i="10" s="1"/>
  <c r="F28" i="10"/>
  <c r="P23" i="11"/>
  <c r="D22" i="10" s="1"/>
  <c r="F22" i="10"/>
  <c r="P47" i="11"/>
  <c r="D46" i="10" s="1"/>
  <c r="F46" i="10"/>
  <c r="G48" i="8"/>
  <c r="P14" i="11"/>
  <c r="D13" i="10" s="1"/>
  <c r="F13" i="10"/>
  <c r="O21" i="11"/>
  <c r="E20" i="10" s="1"/>
  <c r="O18" i="11"/>
  <c r="E17" i="10" s="1"/>
  <c r="P30" i="11"/>
  <c r="D29" i="10" s="1"/>
  <c r="P25" i="11"/>
  <c r="D24" i="10" s="1"/>
  <c r="O25" i="11"/>
  <c r="E24" i="10" s="1"/>
  <c r="O47" i="11"/>
  <c r="E46" i="10" s="1"/>
  <c r="N49" i="11"/>
  <c r="O29" i="11"/>
  <c r="E28" i="10" s="1"/>
  <c r="N50" i="11"/>
  <c r="O23" i="11"/>
  <c r="E22" i="10" s="1"/>
  <c r="P22" i="11"/>
  <c r="D21" i="10" s="1"/>
  <c r="O22" i="11"/>
  <c r="E21" i="10" s="1"/>
  <c r="P35" i="11"/>
  <c r="D34" i="10" s="1"/>
  <c r="O35" i="11"/>
  <c r="E34" i="10" s="1"/>
  <c r="O45" i="11"/>
  <c r="E44" i="10" s="1"/>
  <c r="P45" i="11"/>
  <c r="D44" i="10" s="1"/>
  <c r="O38" i="11"/>
  <c r="E37" i="10" s="1"/>
  <c r="P38" i="11"/>
  <c r="D37" i="10" s="1"/>
  <c r="P24" i="11"/>
  <c r="D23" i="10" s="1"/>
  <c r="O24" i="11"/>
  <c r="E23" i="10" s="1"/>
  <c r="P7" i="11"/>
  <c r="D6" i="10" s="1"/>
  <c r="O7" i="11"/>
  <c r="E6" i="10" s="1"/>
  <c r="O43" i="11"/>
  <c r="E42" i="10" s="1"/>
  <c r="P43" i="11"/>
  <c r="D42" i="10" s="1"/>
  <c r="N51" i="11"/>
  <c r="I50" i="10" l="1"/>
  <c r="H52" i="10" s="1"/>
  <c r="I52" i="10"/>
  <c r="J37" i="10" l="1"/>
  <c r="J7" i="10"/>
  <c r="J34" i="10"/>
  <c r="J5" i="10"/>
  <c r="J15" i="10"/>
  <c r="J31" i="10"/>
  <c r="J23" i="10"/>
  <c r="J12" i="10"/>
  <c r="J33" i="10"/>
  <c r="J45" i="10"/>
  <c r="J29" i="10"/>
  <c r="J41" i="10"/>
  <c r="J10" i="10"/>
  <c r="K29" i="10"/>
  <c r="K15" i="10"/>
  <c r="K5" i="10"/>
  <c r="K34" i="10"/>
  <c r="K31" i="10"/>
  <c r="K10" i="10"/>
  <c r="K7" i="10"/>
  <c r="K45" i="10"/>
  <c r="K23" i="10"/>
  <c r="K12" i="10"/>
  <c r="K41" i="10"/>
  <c r="K33" i="10"/>
  <c r="K37" i="10" l="1"/>
  <c r="J32" i="10"/>
  <c r="J40" i="10"/>
  <c r="J19" i="10"/>
  <c r="J28" i="10"/>
  <c r="J6" i="10"/>
  <c r="J16" i="10"/>
  <c r="J39" i="10"/>
  <c r="J38" i="10"/>
  <c r="J11" i="10"/>
  <c r="J35" i="10"/>
  <c r="J26" i="10"/>
  <c r="J4" i="10"/>
  <c r="J36" i="10"/>
  <c r="J43" i="10"/>
  <c r="J22" i="10"/>
  <c r="J8" i="10"/>
  <c r="J25" i="10"/>
  <c r="J42" i="10"/>
  <c r="J44" i="10"/>
  <c r="J13" i="10"/>
  <c r="J46" i="10"/>
  <c r="J14" i="10"/>
  <c r="J9" i="10"/>
  <c r="J18" i="10"/>
  <c r="J21" i="10"/>
  <c r="J27" i="10"/>
  <c r="J24" i="10"/>
  <c r="J17" i="10"/>
  <c r="J20" i="10"/>
  <c r="J30" i="10"/>
  <c r="K44" i="10"/>
  <c r="K9" i="10"/>
  <c r="K42" i="10"/>
  <c r="K27" i="10"/>
  <c r="K30" i="10"/>
  <c r="K19" i="10"/>
  <c r="K28" i="10"/>
  <c r="K6" i="10"/>
  <c r="K32" i="10"/>
  <c r="K39" i="10"/>
  <c r="K4" i="10"/>
  <c r="K8" i="10"/>
  <c r="K25" i="10"/>
  <c r="K11" i="10"/>
  <c r="K22" i="10"/>
  <c r="K40" i="10"/>
  <c r="K17" i="10"/>
  <c r="K46" i="10"/>
  <c r="K21" i="10"/>
  <c r="K38" i="10"/>
  <c r="K16" i="10"/>
  <c r="K35" i="10"/>
  <c r="K14" i="10"/>
  <c r="K18" i="10"/>
  <c r="K24" i="10"/>
  <c r="K26" i="10"/>
  <c r="K43" i="10"/>
  <c r="K13" i="10"/>
  <c r="K3" i="10"/>
  <c r="K36" i="10"/>
  <c r="K20" i="10"/>
  <c r="J3" i="10" l="1"/>
  <c r="F52" i="10"/>
  <c r="G52" i="10" s="1"/>
  <c r="F51" i="10"/>
  <c r="G51" i="10" s="1"/>
  <c r="F50" i="10"/>
  <c r="G50" i="10" s="1"/>
  <c r="J52" i="10" l="1"/>
  <c r="J51" i="10"/>
  <c r="J50" i="10"/>
</calcChain>
</file>

<file path=xl/sharedStrings.xml><?xml version="1.0" encoding="utf-8"?>
<sst xmlns="http://schemas.openxmlformats.org/spreadsheetml/2006/main" count="426" uniqueCount="230">
  <si>
    <t>Improvement Scaling</t>
  </si>
  <si>
    <t>Attainment Scaling</t>
  </si>
  <si>
    <t>Final Adjustment</t>
  </si>
  <si>
    <t>Results Used from:</t>
  </si>
  <si>
    <t>HOSPITAL ID</t>
  </si>
  <si>
    <t>HOSPITAL NAME</t>
  </si>
  <si>
    <t>CY 2018 Case Mix Adjusted Readmission Rate (RY 2024 Base)</t>
  </si>
  <si>
    <t>CY 2022 Case Mix Adjusted Readmission Rate (RY 2024 Performance)*</t>
  </si>
  <si>
    <t>CY18-CY22% Change in Case Mix Adjusted Rate*</t>
  </si>
  <si>
    <t>Target</t>
  </si>
  <si>
    <t>% Revenue Adjustment</t>
  </si>
  <si>
    <t>$ Revenue Adjustment</t>
  </si>
  <si>
    <t>Target (top 25th %)</t>
  </si>
  <si>
    <t xml:space="preserve">$ Better of Attainment or Improvement </t>
  </si>
  <si>
    <t>RY 21 Final % Revenue Adjustment</t>
  </si>
  <si>
    <t>Revenue Adjustment Based on Improvement or Attainment</t>
  </si>
  <si>
    <t>Date Updated:</t>
  </si>
  <si>
    <t>MERITUS</t>
  </si>
  <si>
    <t>Scaling:</t>
  </si>
  <si>
    <t>UNIVERSITY OF MARYLAND</t>
  </si>
  <si>
    <t>PRINCE GEORGE</t>
  </si>
  <si>
    <t>HOLY CROSS</t>
  </si>
  <si>
    <t>FREDERICK MEMORIAL</t>
  </si>
  <si>
    <t>HARFORD</t>
  </si>
  <si>
    <t>MERCY</t>
  </si>
  <si>
    <t>JOHNS HOPKINS</t>
  </si>
  <si>
    <t>ST. AGNES</t>
  </si>
  <si>
    <t>SINAI</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</si>
  <si>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</si>
  <si>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</si>
  <si>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</si>
  <si>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</si>
  <si>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</si>
  <si>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</si>
  <si>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</si>
  <si>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</si>
  <si>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</si>
  <si>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</si>
  <si>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</si>
  <si>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</si>
  <si>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</si>
  <si>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</si>
  <si>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</si>
  <si>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</si>
  <si>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</si>
  <si>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</si>
  <si>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</si>
  <si>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</si>
  <si>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BWMC</t>
  </si>
  <si>
    <t>G.B.M.C.</t>
  </si>
  <si>
    <t>HOWARD COUNTY</t>
  </si>
  <si>
    <t>UPPER CHESAPEAKE HEALTH</t>
  </si>
  <si>
    <t>DOCTORS COMMUNITY</t>
  </si>
  <si>
    <t>GOOD SAMARITAN</t>
  </si>
  <si>
    <t>SHADY GROVE</t>
  </si>
  <si>
    <t>REHAB &amp; ORTHO</t>
  </si>
  <si>
    <t>FT. WASHINGTON</t>
  </si>
  <si>
    <t>ATLANTIC GENERAL</t>
  </si>
  <si>
    <t>SOUTHERN MARYLAND</t>
  </si>
  <si>
    <t>UM ST. JOSEPH</t>
  </si>
  <si>
    <t>LEVINDALE</t>
  </si>
  <si>
    <t>HOLY CROSS GERMANTOWN</t>
  </si>
  <si>
    <t>STATEWIDE</t>
  </si>
  <si>
    <t>Penalty</t>
  </si>
  <si>
    <t>Reward</t>
  </si>
  <si>
    <t>Percentages have been rounded for display. Final scaling values are rounded to two decimal places.</t>
  </si>
  <si>
    <t>MaxReward</t>
  </si>
  <si>
    <t>MaxPenalty</t>
  </si>
  <si>
    <t>ImpTarget</t>
  </si>
  <si>
    <t>ImpMaxRewardScore</t>
  </si>
  <si>
    <t>ImpMaxPenaltyScore</t>
  </si>
  <si>
    <t>AttTarget</t>
  </si>
  <si>
    <t>AttMaxRewardScore</t>
  </si>
  <si>
    <t>AttMaxPenaltyScore</t>
  </si>
  <si>
    <t>RY 23 Permanent Inpatient Revenue**</t>
  </si>
  <si>
    <t xml:space="preserve">RY 2024 RRIP Readmission Reduction Incentive Program* </t>
  </si>
  <si>
    <t>*Jan-Dec Prelim data</t>
  </si>
  <si>
    <t>CY 2022 Case Mix Adjusted Rate with Out-of-State Adjustment*</t>
  </si>
  <si>
    <t>RY24</t>
  </si>
  <si>
    <t>Hospital ID</t>
  </si>
  <si>
    <t>Hospital Name</t>
  </si>
  <si>
    <t>Meritus</t>
  </si>
  <si>
    <t>UMMC</t>
  </si>
  <si>
    <t>Holy Cross</t>
  </si>
  <si>
    <t>Frederick</t>
  </si>
  <si>
    <t>UM-Harford</t>
  </si>
  <si>
    <t>Mercy</t>
  </si>
  <si>
    <t>Johns Hopkins</t>
  </si>
  <si>
    <t>Sinai</t>
  </si>
  <si>
    <t>Adventist White Oak</t>
  </si>
  <si>
    <t>Garrett</t>
  </si>
  <si>
    <t>MedStar Montgomery</t>
  </si>
  <si>
    <t>Peninsula</t>
  </si>
  <si>
    <t>Suburban</t>
  </si>
  <si>
    <t>Anne Arundel</t>
  </si>
  <si>
    <t>UM-Chestertown</t>
  </si>
  <si>
    <t>ChristianaCare, Union</t>
  </si>
  <si>
    <t>Carroll</t>
  </si>
  <si>
    <t>MedStar Harbor</t>
  </si>
  <si>
    <t>UM-Charles Regional</t>
  </si>
  <si>
    <t>UM-Easton</t>
  </si>
  <si>
    <t>Calvert</t>
  </si>
  <si>
    <t>Northwest</t>
  </si>
  <si>
    <t>UM-BWMC</t>
  </si>
  <si>
    <t>GBMC</t>
  </si>
  <si>
    <t>Howard County</t>
  </si>
  <si>
    <t>UM-Upper Chesapeake</t>
  </si>
  <si>
    <t>Doctors</t>
  </si>
  <si>
    <t>MedStar Good Sam</t>
  </si>
  <si>
    <t>Shady Grove</t>
  </si>
  <si>
    <t>UMROI</t>
  </si>
  <si>
    <t>Atlantic General</t>
  </si>
  <si>
    <t>MedStar Southern MD</t>
  </si>
  <si>
    <t>Levindale</t>
  </si>
  <si>
    <t>% Adjustment</t>
  </si>
  <si>
    <t>$ Adjustment</t>
  </si>
  <si>
    <t>BALTIMORE WASHINGTON MEDICAL CENTER</t>
  </si>
  <si>
    <t>HC-Germantown</t>
  </si>
  <si>
    <t>State Total</t>
  </si>
  <si>
    <t>Total Rewards</t>
  </si>
  <si>
    <t>Improvement</t>
  </si>
  <si>
    <t>IP Revenue</t>
  </si>
  <si>
    <t>Min Imp</t>
  </si>
  <si>
    <t>Max Imp</t>
  </si>
  <si>
    <t>Diff</t>
  </si>
  <si>
    <t>Incremental change</t>
  </si>
  <si>
    <t xml:space="preserve">RY24 Permanent Inpatient Revenue* </t>
  </si>
  <si>
    <t>RY 24 Readmission Improvement</t>
  </si>
  <si>
    <t>RY 24 Disparity Gap Improvement</t>
  </si>
  <si>
    <t xml:space="preserve">Data used: </t>
  </si>
  <si>
    <t xml:space="preserve">Total RRIP &amp; PAI Revenue Adjustment </t>
  </si>
  <si>
    <t>PENINSULA &amp; McCready</t>
  </si>
  <si>
    <t>RY24 RRIP  % Revenue Adjustment</t>
  </si>
  <si>
    <t>RY24 $ RRIP Revenue Adjustment</t>
  </si>
  <si>
    <t>RY24 PAI Improvement</t>
  </si>
  <si>
    <t>RY24 PAI % Adjustment</t>
  </si>
  <si>
    <t>RY24 PAI $ Adjustment</t>
  </si>
  <si>
    <t>PAI CY22 Final Data</t>
  </si>
  <si>
    <t>CY22 Final Data</t>
  </si>
  <si>
    <t>PAI Revenue Adjustment ($)</t>
  </si>
  <si>
    <t>PAI Revenue Adjustment (%)</t>
  </si>
  <si>
    <t>RRIP Revenue Adj ($)</t>
  </si>
  <si>
    <t>RRIP Revenue Adj (%)</t>
  </si>
  <si>
    <t>Total Revenue Adj ($)</t>
  </si>
  <si>
    <t>N/A</t>
  </si>
  <si>
    <t>CY2018 Base Year YTD Rates and CY2022 YTD Performance Period by Hospital, All Payers(Excluded AMA cases)(Excluded ACS/POD cases)</t>
  </si>
  <si>
    <t>(January-December Readmissions + January discharge data to determine December Readmissions)</t>
  </si>
  <si>
    <t>Hospitals</t>
  </si>
  <si>
    <t>CY2018 Base Period (YTD, Jan-Dec 2018)</t>
  </si>
  <si>
    <t>CY2022 Performance Period (YTD, Jan-Dec 2022)</t>
  </si>
  <si>
    <t>A</t>
  </si>
  <si>
    <t>B</t>
  </si>
  <si>
    <t>C</t>
  </si>
  <si>
    <t>D</t>
  </si>
  <si>
    <t>E = D/C</t>
  </si>
  <si>
    <t>F</t>
  </si>
  <si>
    <t>G = D/F</t>
  </si>
  <si>
    <t>H = D/F * 11.38%</t>
  </si>
  <si>
    <t>I</t>
  </si>
  <si>
    <t>J</t>
  </si>
  <si>
    <t>K = J/I</t>
  </si>
  <si>
    <t>L</t>
  </si>
  <si>
    <t>M = J/L</t>
  </si>
  <si>
    <t>N = J/L * 11.38%</t>
  </si>
  <si>
    <t>O = N/H - 1</t>
  </si>
  <si>
    <t>Total Number of Inpatient Discharges</t>
  </si>
  <si>
    <t>Total Number of Readmissions</t>
  </si>
  <si>
    <t>Percent Readmissions</t>
  </si>
  <si>
    <t>Total Number of Expected Readmissions</t>
  </si>
  <si>
    <t>Readmission Ratio</t>
  </si>
  <si>
    <t>Case-Mix Adjusted Readmission Rate</t>
  </si>
  <si>
    <t>Change in Case-mix Adjusted Rate from CY2018</t>
  </si>
  <si>
    <t>UM-Capital Region Medical Center</t>
  </si>
  <si>
    <t>Ascension Saint Agnes Hospital</t>
  </si>
  <si>
    <t>MedStar Fr Square</t>
  </si>
  <si>
    <t>MedStar Union Mem</t>
  </si>
  <si>
    <t>Western Maryland</t>
  </si>
  <si>
    <t>MedStar St. Mary's</t>
  </si>
  <si>
    <t>JH Bayview</t>
  </si>
  <si>
    <t>UMMC Midtown</t>
  </si>
  <si>
    <t>Ft. Washington</t>
  </si>
  <si>
    <t>UM-St. Joe</t>
  </si>
  <si>
    <t>Adventist Rehab</t>
  </si>
  <si>
    <t xml:space="preserve"> </t>
  </si>
  <si>
    <t>Mt. Washington Peds</t>
  </si>
  <si>
    <t>Sheppard Pratt</t>
  </si>
  <si>
    <t>Brook Lane</t>
  </si>
  <si>
    <t>McNew Family Medical Center</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</si>
  <si>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</si>
  <si>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</si>
  <si>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Users who manually calculate percentage calculations in Excel may find slight discrepancies due to rounding differences.</t>
  </si>
  <si>
    <t>Risk Adjusted Readmission Rate is calculated by multiplying the observed-to-expected Readmission Ratio (columns H &amp; N) by 11.38% , the statewide unadjusted rate for all 12 months of CY2021 , the norm period for RY2024.</t>
  </si>
  <si>
    <t>See Tab 7 'CY2021 Readmit Rates' for inputs used to calculate the final CY2021 statewide unadjusted rate of 11.38% (Percent Readmissions Grand Total, column E).</t>
  </si>
  <si>
    <t>For this YTD comparison, the same number of months are included for both Base Period and Performance Period, for instance Jan-Dec CY2018 (Base Period YTD) and Jan-Dec CY2022 (Performance Period YTD).</t>
  </si>
  <si>
    <t>The APR-DRG variable for cases with a daily type of service of rehabilitation are recoded to APR-DRG 860 Rehabilitation or type of Daily Service = 08 (Rehab).</t>
  </si>
  <si>
    <t>Holy Cross Germantown will be measured on attainment and 1-year improvement only.</t>
  </si>
  <si>
    <t>Data for rehabilitation hospitals (213028 and 213029) are not presented because rehabilitation admission cannot be a readmission and are not eligible for readmission, but that the data from   the rehabilitation hospitals is used when calculating</t>
  </si>
  <si>
    <t>eligible admissions and readmissions for acute care hospitals.</t>
  </si>
  <si>
    <t>Out-of-State Readmission Ratios for RRIP Attainment</t>
  </si>
  <si>
    <t>Based on CMMI Data FY 2022</t>
  </si>
  <si>
    <t>HospName</t>
  </si>
  <si>
    <t>Out-of-State (OOS) Ratio</t>
  </si>
  <si>
    <t>Case-Mix Adjusted Rate with OOS Adjustment</t>
  </si>
  <si>
    <t>Notes</t>
  </si>
  <si>
    <t>RRIP assesses hospitals on the better of improvement or attainment.  For improvement, the case-mix adjusted readmission rate is used (column D).  For attainment, the case-mix adjusted readmission rate is adjusted to account for out of state readmissions to ensure fairness to non-border hospitals.  Medicare data from CMMI is used to calculate an out of state ratio (column C).  This ratio is multiplied by the case-mix-adjusted rate to get the case-mix adjusted rate with out of state adjustment (column E).  This report provides on-going preliminary Medicare readmission numbers for attainment.</t>
  </si>
  <si>
    <t>Disparity Gap by Hospital</t>
  </si>
  <si>
    <t>Average PAI:  Average of patient PAI values at each hospital (positive values indicate higher risk of readmission).  Patient PAI measure is   continuous score of readmission risk based on Medicaid status, race, and Area Deprivation Index.</t>
  </si>
  <si>
    <t>Disparity Gap (slope):  This is the performance metric that will be used to determine disparity rewards (requires improvement in disparity    gap and improvement in case-mix adjusted readmissions from RRIP readmission report).  The disparity gap is the difference</t>
  </si>
  <si>
    <t>Risk-Adjusted Readmission Rates:  These are the readmission rates at PAI=0 (lower adversity) and PAI=1 (higher adversity)    adjusting for APR-DRG-SOI readmission risk, age, gender and hospital mean PAI.</t>
  </si>
  <si>
    <t>Performance Metric</t>
  </si>
  <si>
    <t>CY2022 (Rolling 12 month Performance Period</t>
  </si>
  <si>
    <t>CY2021</t>
  </si>
  <si>
    <t>CY2020</t>
  </si>
  <si>
    <t>CY2019</t>
  </si>
  <si>
    <t>CY2018</t>
  </si>
  <si>
    <t>Percent Change in Disparity Gap from 2018 - 2022 YTD</t>
  </si>
  <si>
    <t>Average PAI</t>
  </si>
  <si>
    <t>Disparity Gap (slope)</t>
  </si>
  <si>
    <t>Risk-Adjusted Readmission Rate at hospital centered PAI = 0</t>
  </si>
  <si>
    <t>Risk-Adjusted Readmission Rate at hospital centered PAI = 1</t>
  </si>
  <si>
    <t>.</t>
  </si>
  <si>
    <t>Updated 5/19/2023 using final revenue</t>
  </si>
  <si>
    <t>5/19/2023 with final revenue</t>
  </si>
  <si>
    <t>PAI Scaling RY 2023</t>
  </si>
  <si>
    <t>Disparity Gap Rate Change CY18-CY21</t>
  </si>
  <si>
    <t>% Inpatient Revenue Payment Adjustment</t>
  </si>
  <si>
    <t>Maximum Disparity Gap Improvement</t>
  </si>
  <si>
    <t xml:space="preserve">Minimum Disparity Gap Improvement </t>
  </si>
  <si>
    <r>
      <t xml:space="preserve">FY23 </t>
    </r>
    <r>
      <rPr>
        <b/>
        <sz val="11"/>
        <color rgb="FF000000"/>
        <rFont val="Arial"/>
        <family val="2"/>
      </rPr>
      <t>Preliminary</t>
    </r>
    <r>
      <rPr>
        <b/>
        <sz val="11"/>
        <color indexed="8"/>
        <rFont val="Arial"/>
        <family val="2"/>
      </rPr>
      <t xml:space="preserve"> Permanent Inpatient Revenue</t>
    </r>
  </si>
  <si>
    <t>RRIP Revenue Adjustments 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</si>
</sst>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quot;$&quot;#,##0"/>
    <numFmt numFmtId="165" formatCode="0.000000000000000%"/>
    <numFmt numFmtId="166" formatCode="_(* #,##0_);_(* \(#,##0\);_(* &quot;-&quot;??_);_(@_)"/>
    <numFmt numFmtId="167" formatCode="0.0%"/>
    <numFmt numFmtId="168" formatCode="0.0000%"/>
    <numFmt numFmtId="169" formatCode="_(&quot;$&quot;* #,##0_);_(&quot;$&quot;* \(#,##0\);_(&quot;$&quot;* &quot;-&quot;??_);_(@_)"/>
    <numFmt numFmtId="170" formatCode="\ ###,###,###,##0"/>
    <numFmt numFmtId="171" formatCode="\ ##0.00%"/>
    <numFmt numFmtId="172" formatCode="\ #,##0.000"/>
    <numFmt numFmtId="173" formatCode="[$-10409]0.00%"/>
    <numFmt numFmtId="174" formatCode="\ #,##0.0000"/>
    <numFmt numFmtId="175" formatCode="\ #,##0.00%;"/>
    <numFmt numFmtId="176" formatCode="0.000%"/>
    <numFmt numFmtId="177" formatCode="0.00000%"/>
  </numFmts>
  <fonts count="34">
    <font>
      <sz val="11"/>
      <color theme="1"/>
      <name val="Calibri"/>
      <family val="2"/>
      <scheme val="minor"/>
    </font>
    <font>
      <sz val="11"/>
      <color theme="1"/>
      <name val="Calibri"/>
      <family val="2"/>
      <scheme val="minor"/>
    </font>
    <font>
      <b/>
      <sz val="12"/>
      <name val="Arial"/>
      <family val="2"/>
    </font>
    <font>
      <sz val="12"/>
      <color theme="1"/>
      <name val="Arial"/>
      <family val="2"/>
    </font>
    <font>
      <b/>
      <sz val="12"/>
      <color rgb="FFFF0000"/>
      <name val="Arial"/>
      <family val="2"/>
    </font>
    <font>
      <b/>
      <sz val="12"/>
      <color theme="1"/>
      <name val="Arial"/>
      <family val="2"/>
    </font>
    <font>
      <b/>
      <i/>
      <sz val="11"/>
      <color rgb="FFFF0000"/>
      <name val="Arial"/>
      <family val="2"/>
    </font>
    <font>
      <b/>
      <sz val="9"/>
      <color indexed="8"/>
      <name val="Arial"/>
      <family val="2"/>
    </font>
    <font>
      <b/>
      <sz val="11"/>
      <color indexed="8"/>
      <name val="Arial"/>
      <family val="2"/>
    </font>
    <font>
      <sz val="11"/>
      <color theme="1"/>
      <name val="Arial"/>
      <family val="2"/>
    </font>
    <font>
      <sz val="12"/>
      <color indexed="8"/>
      <name val="Arial"/>
      <family val="2"/>
    </font>
    <font>
      <sz val="12"/>
      <name val="Arial"/>
      <family val="2"/>
    </font>
    <font>
      <sz val="12"/>
      <color indexed="8"/>
      <name val="Arial, Helvetica, sans-serif"/>
    </font>
    <font>
      <sz val="11"/>
      <color indexed="8"/>
      <name val="Calibri"/>
      <family val="2"/>
    </font>
    <font>
      <b/>
      <sz val="12"/>
      <color indexed="8"/>
      <name val="Arial"/>
      <family val="2"/>
    </font>
    <font>
      <sz val="12"/>
      <color rgb="FFFF0000"/>
      <name val="Arial"/>
      <family val="2"/>
    </font>
    <font>
      <sz val="12"/>
      <color rgb="FF000000"/>
      <name val="Arial"/>
      <family val="2"/>
    </font>
    <font>
      <b/>
      <sz val="11"/>
      <color rgb="FF000000"/>
      <name val="Calibri"/>
      <family val="2"/>
    </font>
    <font>
      <b/>
      <sz val="11"/>
      <color theme="1"/>
      <name val="Calibri"/>
      <family val="2"/>
      <scheme val="minor"/>
    </font>
    <font>
      <b/>
      <sz val="11"/>
      <color theme="1"/>
      <name val="Arial"/>
      <family val="2"/>
    </font>
    <font>
      <b/>
      <sz val="12"/>
      <color rgb="FF000000"/>
      <name val="Arial"/>
      <family val="2"/>
    </font>
    <font>
      <b/>
      <sz val="11"/>
      <color rgb="FF000000"/>
      <name val="Arial"/>
      <family val="2"/>
    </font>
    <font>
      <b/>
      <sz val="11"/>
      <name val="Arial"/>
      <family val="2"/>
    </font>
    <font>
      <b/>
      <sz val="12"/>
      <name val="Arial"/>
    </font>
    <font>
      <sz val="12"/>
      <name val="Arial"/>
    </font>
    <font>
      <sz val="10"/>
      <name val="Arial"/>
    </font>
    <font>
      <sz val="8"/>
      <color indexed="8"/>
      <name val="Arial, Albany AMT, Helvetica"/>
    </font>
    <font>
      <b/>
      <sz val="10"/>
      <name val="Arial"/>
    </font>
    <font>
      <sz val="11"/>
      <color indexed="8"/>
      <name val="Calibri"/>
    </font>
    <font>
      <b/>
      <sz val="16"/>
      <color indexed="8"/>
      <name val="Calibri"/>
    </font>
    <font>
      <sz val="12"/>
      <color indexed="8"/>
      <name val="Calibri"/>
      <family val="2"/>
    </font>
    <font>
      <b/>
      <sz val="11"/>
      <color indexed="8"/>
      <name val="Calibri"/>
    </font>
    <font>
      <b/>
      <sz val="11"/>
      <color indexed="8"/>
      <name val="Calibri"/>
      <family val="2"/>
    </font>
    <font>
      <b/>
      <sz val="14"/>
      <color theme="1"/>
      <name val="Arial"/>
      <family val="2"/>
    </font>
  </fonts>
  <fills count="30">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C5D9F1"/>
        <bgColor indexed="64"/>
      </patternFill>
    </fill>
    <fill>
      <patternFill patternType="solid">
        <fgColor theme="4" tint="0.59999389629810485"/>
        <bgColor indexed="64"/>
      </patternFill>
    </fill>
    <fill>
      <patternFill patternType="solid">
        <fgColor rgb="FFD9D9D9"/>
        <bgColor rgb="FF000000"/>
      </patternFill>
    </fill>
    <fill>
      <patternFill patternType="solid">
        <fgColor rgb="FFFFFF00"/>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7"/>
        <bgColor indexed="64"/>
      </patternFill>
    </fill>
    <fill>
      <patternFill patternType="solid">
        <fgColor indexed="65"/>
        <bgColor indexed="64"/>
      </patternFill>
    </fill>
    <fill>
      <patternFill patternType="solid">
        <fgColor rgb="FFCCFFFF"/>
        <bgColor indexed="64"/>
      </patternFill>
    </fill>
    <fill>
      <patternFill patternType="solid">
        <fgColor rgb="FFFF9900"/>
        <bgColor indexed="64"/>
      </patternFill>
    </fill>
    <fill>
      <patternFill patternType="solid">
        <fgColor rgb="FF99CC00"/>
        <bgColor indexed="64"/>
      </patternFill>
    </fill>
    <fill>
      <patternFill patternType="solid">
        <fgColor rgb="FFCCCCFF"/>
        <bgColor indexed="64"/>
      </patternFill>
    </fill>
    <fill>
      <patternFill patternType="solid">
        <fgColor rgb="FFD9D9D9"/>
        <bgColor indexed="64"/>
      </patternFill>
    </fill>
    <fill>
      <patternFill patternType="solid">
        <fgColor rgb="FF899499"/>
        <bgColor indexed="64"/>
      </patternFill>
    </fill>
    <fill>
      <patternFill patternType="solid">
        <fgColor rgb="FF0047AB"/>
        <bgColor indexed="64"/>
      </patternFill>
    </fill>
    <fill>
      <patternFill patternType="solid">
        <fgColor rgb="FF93C572"/>
        <bgColor indexed="64"/>
      </patternFill>
    </fill>
    <fill>
      <patternFill patternType="solid">
        <fgColor rgb="FFA7C7E7"/>
        <bgColor indexed="64"/>
      </patternFill>
    </fill>
    <fill>
      <patternFill patternType="solid">
        <fgColor rgb="FFD3D3D3"/>
        <bgColor indexed="64"/>
      </patternFill>
    </fill>
    <fill>
      <patternFill patternType="solid">
        <fgColor rgb="FFDDEBF7"/>
        <bgColor rgb="FF000000"/>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rgb="FFCCD6BE"/>
      </right>
      <top/>
      <bottom style="thin">
        <color rgb="FFCCD6BE"/>
      </bottom>
      <diagonal/>
    </border>
    <border>
      <left/>
      <right/>
      <top/>
      <bottom style="thin">
        <color rgb="FFCCD6BE"/>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28" fillId="0" borderId="0"/>
    <xf numFmtId="0" fontId="28" fillId="0" borderId="0"/>
    <xf numFmtId="9" fontId="28" fillId="0" borderId="0"/>
    <xf numFmtId="0" fontId="13" fillId="0" borderId="0"/>
  </cellStyleXfs>
  <cellXfs count="183">
    <xf numFmtId="0" fontId="0" fillId="0" borderId="0" xfId="0"/>
    <xf numFmtId="0" fontId="2" fillId="2" borderId="1" xfId="0" applyFont="1" applyFill="1" applyBorder="1" applyAlignment="1">
      <alignment horizontal="left"/>
    </xf>
    <xf numFmtId="0" fontId="3" fillId="2" borderId="0" xfId="0" applyFont="1" applyFill="1" applyAlignment="1">
      <alignment wrapText="1"/>
    </xf>
    <xf numFmtId="0" fontId="3" fillId="2" borderId="0" xfId="0" applyFont="1" applyFill="1"/>
    <xf numFmtId="0" fontId="3" fillId="2" borderId="2" xfId="0" applyFont="1" applyFill="1" applyBorder="1"/>
    <xf numFmtId="0" fontId="6" fillId="0" borderId="0" xfId="0" applyFont="1"/>
    <xf numFmtId="0" fontId="7" fillId="6"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10" fontId="8" fillId="6" borderId="8" xfId="0" applyNumberFormat="1"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9" fillId="2" borderId="0" xfId="0" applyFont="1" applyFill="1" applyAlignment="1">
      <alignment wrapText="1"/>
    </xf>
    <xf numFmtId="0" fontId="9" fillId="0" borderId="0" xfId="0" applyFont="1"/>
    <xf numFmtId="14" fontId="9" fillId="2" borderId="0" xfId="0" applyNumberFormat="1" applyFont="1" applyFill="1" applyAlignment="1">
      <alignment wrapText="1"/>
    </xf>
    <xf numFmtId="0" fontId="10" fillId="0" borderId="8" xfId="0" applyFont="1" applyBorder="1" applyAlignment="1">
      <alignment horizontal="right"/>
    </xf>
    <xf numFmtId="0" fontId="10" fillId="0" borderId="8" xfId="0" applyFont="1" applyBorder="1" applyAlignment="1">
      <alignment horizontal="left" wrapText="1"/>
    </xf>
    <xf numFmtId="164" fontId="11" fillId="0" borderId="8" xfId="0" applyNumberFormat="1" applyFont="1" applyBorder="1" applyAlignment="1">
      <alignment horizontal="right"/>
    </xf>
    <xf numFmtId="10" fontId="11" fillId="0" borderId="8" xfId="3" applyNumberFormat="1" applyFont="1" applyFill="1" applyBorder="1" applyAlignment="1" applyProtection="1"/>
    <xf numFmtId="10" fontId="3" fillId="0" borderId="8" xfId="3" applyNumberFormat="1" applyFont="1" applyFill="1" applyBorder="1" applyAlignment="1" applyProtection="1"/>
    <xf numFmtId="10" fontId="10" fillId="2" borderId="8" xfId="3" applyNumberFormat="1" applyFont="1" applyFill="1" applyBorder="1" applyAlignment="1" applyProtection="1"/>
    <xf numFmtId="10" fontId="3" fillId="2" borderId="8" xfId="3" applyNumberFormat="1" applyFont="1" applyFill="1" applyBorder="1" applyAlignment="1" applyProtection="1"/>
    <xf numFmtId="164" fontId="10" fillId="0" borderId="1" xfId="2" applyNumberFormat="1" applyFont="1" applyFill="1" applyBorder="1" applyAlignment="1" applyProtection="1"/>
    <xf numFmtId="10" fontId="10" fillId="0" borderId="8" xfId="3" applyNumberFormat="1" applyFont="1" applyFill="1" applyBorder="1" applyAlignment="1" applyProtection="1"/>
    <xf numFmtId="164" fontId="10" fillId="0" borderId="8" xfId="2" applyNumberFormat="1" applyFont="1" applyFill="1" applyBorder="1" applyAlignment="1" applyProtection="1"/>
    <xf numFmtId="0" fontId="10" fillId="0" borderId="8" xfId="0" applyFont="1" applyBorder="1" applyAlignment="1">
      <alignment horizontal="left"/>
    </xf>
    <xf numFmtId="10" fontId="3" fillId="2" borderId="0" xfId="3" applyNumberFormat="1" applyFont="1" applyFill="1" applyBorder="1" applyAlignment="1" applyProtection="1"/>
    <xf numFmtId="165" fontId="3" fillId="2" borderId="0" xfId="0" applyNumberFormat="1" applyFont="1" applyFill="1"/>
    <xf numFmtId="14" fontId="3" fillId="2" borderId="0" xfId="0" applyNumberFormat="1" applyFont="1" applyFill="1"/>
    <xf numFmtId="0" fontId="3" fillId="0" borderId="0" xfId="0" applyFont="1"/>
    <xf numFmtId="3" fontId="3" fillId="2" borderId="0" xfId="0" applyNumberFormat="1" applyFont="1" applyFill="1"/>
    <xf numFmtId="0" fontId="12" fillId="0" borderId="8" xfId="0" applyFont="1" applyBorder="1" applyAlignment="1">
      <alignment horizontal="left" wrapText="1"/>
    </xf>
    <xf numFmtId="166" fontId="3" fillId="2" borderId="0" xfId="1" applyNumberFormat="1" applyFont="1" applyFill="1" applyBorder="1" applyAlignment="1" applyProtection="1">
      <alignment horizontal="right"/>
    </xf>
    <xf numFmtId="166" fontId="3" fillId="2" borderId="0" xfId="1" applyNumberFormat="1" applyFont="1" applyFill="1" applyBorder="1" applyAlignment="1" applyProtection="1"/>
    <xf numFmtId="166" fontId="3" fillId="2" borderId="0" xfId="0" applyNumberFormat="1" applyFont="1" applyFill="1"/>
    <xf numFmtId="10" fontId="3" fillId="0" borderId="0" xfId="3" applyNumberFormat="1" applyFont="1" applyFill="1" applyBorder="1" applyAlignment="1" applyProtection="1"/>
    <xf numFmtId="164" fontId="3" fillId="0" borderId="0" xfId="0" applyNumberFormat="1" applyFont="1"/>
    <xf numFmtId="10" fontId="3" fillId="0" borderId="8" xfId="4" applyNumberFormat="1" applyFont="1" applyFill="1" applyBorder="1" applyAlignment="1" applyProtection="1"/>
    <xf numFmtId="167" fontId="10" fillId="2" borderId="8" xfId="3" applyNumberFormat="1" applyFont="1" applyFill="1" applyBorder="1" applyAlignment="1" applyProtection="1"/>
    <xf numFmtId="10" fontId="10" fillId="0" borderId="1" xfId="3" applyNumberFormat="1" applyFont="1" applyFill="1" applyBorder="1" applyAlignment="1" applyProtection="1"/>
    <xf numFmtId="0" fontId="14" fillId="0" borderId="8" xfId="0" applyFont="1" applyBorder="1"/>
    <xf numFmtId="0" fontId="14" fillId="0" borderId="8" xfId="0" applyFont="1" applyBorder="1" applyAlignment="1">
      <alignment wrapText="1"/>
    </xf>
    <xf numFmtId="164" fontId="2" fillId="0" borderId="8" xfId="0" applyNumberFormat="1" applyFont="1" applyBorder="1" applyAlignment="1">
      <alignment horizontal="right"/>
    </xf>
    <xf numFmtId="168" fontId="3" fillId="0" borderId="8" xfId="3" applyNumberFormat="1" applyFont="1" applyFill="1" applyBorder="1" applyAlignment="1" applyProtection="1"/>
    <xf numFmtId="167" fontId="14" fillId="2" borderId="8" xfId="3" applyNumberFormat="1" applyFont="1" applyFill="1" applyBorder="1" applyAlignment="1" applyProtection="1"/>
    <xf numFmtId="169" fontId="5" fillId="2" borderId="1" xfId="0" applyNumberFormat="1" applyFont="1" applyFill="1" applyBorder="1"/>
    <xf numFmtId="164" fontId="14" fillId="0" borderId="1" xfId="2" applyNumberFormat="1" applyFont="1" applyFill="1" applyBorder="1" applyAlignment="1" applyProtection="1"/>
    <xf numFmtId="0" fontId="3" fillId="2" borderId="8" xfId="0" applyFont="1" applyFill="1" applyBorder="1"/>
    <xf numFmtId="0" fontId="3" fillId="2" borderId="1" xfId="0" applyFont="1" applyFill="1" applyBorder="1"/>
    <xf numFmtId="0" fontId="5" fillId="2" borderId="0" xfId="0" applyFont="1" applyFill="1"/>
    <xf numFmtId="0" fontId="3" fillId="0" borderId="8" xfId="0" applyFont="1" applyBorder="1"/>
    <xf numFmtId="0" fontId="3" fillId="2" borderId="8" xfId="0" applyFont="1" applyFill="1" applyBorder="1" applyAlignment="1">
      <alignment wrapText="1"/>
    </xf>
    <xf numFmtId="0" fontId="14" fillId="0" borderId="8" xfId="0" applyFont="1" applyBorder="1" applyAlignment="1">
      <alignment horizontal="right"/>
    </xf>
    <xf numFmtId="0" fontId="14" fillId="0" borderId="8" xfId="0" applyFont="1" applyBorder="1" applyAlignment="1">
      <alignment horizontal="left" wrapText="1"/>
    </xf>
    <xf numFmtId="10" fontId="15" fillId="0" borderId="8" xfId="4" applyNumberFormat="1" applyFont="1" applyFill="1" applyBorder="1" applyAlignment="1" applyProtection="1"/>
    <xf numFmtId="167" fontId="10" fillId="0" borderId="8" xfId="3" applyNumberFormat="1" applyFont="1" applyFill="1" applyBorder="1" applyAlignment="1" applyProtection="1"/>
    <xf numFmtId="0" fontId="14" fillId="0" borderId="8" xfId="0" applyFont="1" applyBorder="1" applyAlignment="1">
      <alignment horizontal="left"/>
    </xf>
    <xf numFmtId="0" fontId="14" fillId="0" borderId="0" xfId="0" applyFont="1" applyAlignment="1">
      <alignment horizontal="left"/>
    </xf>
    <xf numFmtId="0" fontId="14" fillId="0" borderId="0" xfId="0" applyFont="1" applyAlignment="1">
      <alignment horizontal="left" wrapText="1"/>
    </xf>
    <xf numFmtId="164" fontId="11" fillId="0" borderId="0" xfId="0" applyNumberFormat="1" applyFont="1" applyAlignment="1">
      <alignment horizontal="right"/>
    </xf>
    <xf numFmtId="10" fontId="15" fillId="2" borderId="0" xfId="4" applyNumberFormat="1" applyFont="1" applyFill="1" applyBorder="1" applyAlignment="1" applyProtection="1"/>
    <xf numFmtId="167" fontId="10" fillId="2" borderId="0" xfId="3" applyNumberFormat="1" applyFont="1" applyFill="1" applyBorder="1" applyAlignment="1" applyProtection="1"/>
    <xf numFmtId="167" fontId="3" fillId="2" borderId="0" xfId="3" applyNumberFormat="1" applyFont="1" applyFill="1" applyBorder="1" applyAlignment="1" applyProtection="1"/>
    <xf numFmtId="10" fontId="3" fillId="2" borderId="2" xfId="3" applyNumberFormat="1" applyFont="1" applyFill="1" applyBorder="1" applyAlignment="1" applyProtection="1"/>
    <xf numFmtId="0" fontId="17" fillId="8" borderId="1" xfId="0" applyFont="1" applyFill="1" applyBorder="1" applyAlignment="1">
      <alignment wrapText="1"/>
    </xf>
    <xf numFmtId="10" fontId="17" fillId="8" borderId="8" xfId="3" applyNumberFormat="1" applyFont="1" applyFill="1" applyBorder="1" applyAlignment="1" applyProtection="1">
      <alignment horizontal="center" wrapText="1"/>
    </xf>
    <xf numFmtId="10" fontId="17" fillId="9" borderId="8" xfId="3" applyNumberFormat="1" applyFont="1" applyFill="1" applyBorder="1" applyAlignment="1" applyProtection="1">
      <alignment horizontal="center" wrapText="1"/>
    </xf>
    <xf numFmtId="164" fontId="0" fillId="0" borderId="0" xfId="0" applyNumberFormat="1"/>
    <xf numFmtId="0" fontId="19" fillId="10" borderId="8" xfId="0" applyFont="1" applyFill="1" applyBorder="1" applyAlignment="1">
      <alignment horizontal="center" vertical="center" wrapText="1"/>
    </xf>
    <xf numFmtId="164" fontId="16" fillId="11" borderId="8" xfId="2" applyNumberFormat="1" applyFont="1" applyFill="1" applyBorder="1" applyAlignment="1" applyProtection="1">
      <alignment horizontal="right" wrapText="1"/>
    </xf>
    <xf numFmtId="10" fontId="16" fillId="11" borderId="8" xfId="3" applyNumberFormat="1" applyFont="1" applyFill="1" applyBorder="1" applyAlignment="1" applyProtection="1">
      <alignment horizontal="right" wrapText="1"/>
    </xf>
    <xf numFmtId="10" fontId="0" fillId="0" borderId="8" xfId="3" applyNumberFormat="1" applyFont="1" applyBorder="1" applyAlignment="1">
      <alignment horizontal="right"/>
    </xf>
    <xf numFmtId="168" fontId="0" fillId="0" borderId="8" xfId="3" applyNumberFormat="1" applyFont="1" applyBorder="1" applyAlignment="1">
      <alignment horizontal="right"/>
    </xf>
    <xf numFmtId="164" fontId="0" fillId="0" borderId="8" xfId="0" applyNumberFormat="1" applyBorder="1" applyAlignment="1">
      <alignment horizontal="right"/>
    </xf>
    <xf numFmtId="0" fontId="0" fillId="0" borderId="0" xfId="0" quotePrefix="1"/>
    <xf numFmtId="0" fontId="10" fillId="0" borderId="0" xfId="0" applyFont="1" applyAlignment="1">
      <alignment horizontal="left" wrapText="1"/>
    </xf>
    <xf numFmtId="164" fontId="16" fillId="11" borderId="0" xfId="2" applyNumberFormat="1" applyFont="1" applyFill="1" applyBorder="1" applyAlignment="1" applyProtection="1">
      <alignment horizontal="center" wrapText="1"/>
    </xf>
    <xf numFmtId="0" fontId="14" fillId="12" borderId="8" xfId="0" applyFont="1" applyFill="1" applyBorder="1" applyAlignment="1">
      <alignment horizontal="left"/>
    </xf>
    <xf numFmtId="164" fontId="20" fillId="13" borderId="8" xfId="2" applyNumberFormat="1" applyFont="1" applyFill="1" applyBorder="1" applyAlignment="1" applyProtection="1">
      <alignment horizontal="center" wrapText="1"/>
    </xf>
    <xf numFmtId="164" fontId="20" fillId="13" borderId="0" xfId="2" applyNumberFormat="1" applyFont="1" applyFill="1" applyBorder="1" applyAlignment="1" applyProtection="1">
      <alignment horizontal="center" wrapText="1"/>
    </xf>
    <xf numFmtId="0" fontId="0" fillId="0" borderId="8" xfId="0" applyBorder="1"/>
    <xf numFmtId="10" fontId="0" fillId="0" borderId="8" xfId="0" applyNumberFormat="1" applyBorder="1"/>
    <xf numFmtId="0" fontId="22" fillId="5" borderId="8" xfId="0" applyFont="1" applyFill="1" applyBorder="1" applyAlignment="1">
      <alignment horizontal="center" vertical="center" wrapText="1"/>
    </xf>
    <xf numFmtId="0" fontId="11" fillId="0" borderId="8" xfId="0" applyFont="1" applyBorder="1" applyAlignment="1">
      <alignment horizontal="right"/>
    </xf>
    <xf numFmtId="0" fontId="11" fillId="0" borderId="8" xfId="0" applyFont="1" applyBorder="1" applyAlignment="1">
      <alignment horizontal="left" wrapText="1"/>
    </xf>
    <xf numFmtId="0" fontId="11" fillId="0" borderId="8" xfId="0" applyFont="1" applyBorder="1" applyAlignment="1">
      <alignment horizontal="left"/>
    </xf>
    <xf numFmtId="164" fontId="11" fillId="0" borderId="8" xfId="2" applyNumberFormat="1" applyFont="1" applyFill="1" applyBorder="1" applyAlignment="1" applyProtection="1"/>
    <xf numFmtId="10" fontId="3" fillId="0" borderId="8" xfId="3" applyNumberFormat="1" applyFont="1" applyBorder="1" applyAlignment="1">
      <alignment horizontal="right"/>
    </xf>
    <xf numFmtId="164" fontId="3" fillId="0" borderId="8" xfId="0" applyNumberFormat="1" applyFont="1" applyBorder="1" applyAlignment="1">
      <alignment horizontal="right"/>
    </xf>
    <xf numFmtId="164" fontId="3" fillId="0" borderId="8" xfId="0" applyNumberFormat="1" applyFont="1" applyBorder="1"/>
    <xf numFmtId="44" fontId="3" fillId="0" borderId="0" xfId="2" applyFont="1"/>
    <xf numFmtId="164" fontId="3" fillId="0" borderId="0" xfId="2" applyNumberFormat="1" applyFont="1"/>
    <xf numFmtId="10" fontId="0" fillId="0" borderId="0" xfId="3" applyNumberFormat="1" applyFont="1"/>
    <xf numFmtId="10" fontId="3" fillId="0" borderId="0" xfId="3" applyNumberFormat="1" applyFont="1"/>
    <xf numFmtId="164" fontId="16" fillId="0" borderId="0" xfId="0" applyNumberFormat="1" applyFont="1"/>
    <xf numFmtId="44" fontId="16" fillId="0" borderId="0" xfId="2" applyFont="1" applyFill="1" applyBorder="1"/>
    <xf numFmtId="0" fontId="18" fillId="0" borderId="0" xfId="0" applyFont="1" applyAlignment="1">
      <alignment horizontal="center" wrapText="1"/>
    </xf>
    <xf numFmtId="0" fontId="18" fillId="0" borderId="0" xfId="0" applyFont="1" applyAlignment="1">
      <alignment wrapText="1"/>
    </xf>
    <xf numFmtId="0" fontId="0" fillId="15" borderId="0" xfId="0" applyFill="1"/>
    <xf numFmtId="0" fontId="25" fillId="16" borderId="10" xfId="0" applyFont="1" applyFill="1" applyBorder="1" applyAlignment="1">
      <alignment horizontal="center" vertical="center" wrapText="1"/>
    </xf>
    <xf numFmtId="0" fontId="25" fillId="17" borderId="10"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26" fillId="2" borderId="10" xfId="0" applyFont="1" applyFill="1" applyBorder="1" applyAlignment="1">
      <alignment horizontal="right" wrapText="1"/>
    </xf>
    <xf numFmtId="0" fontId="26" fillId="2" borderId="10" xfId="0" applyFont="1" applyFill="1" applyBorder="1" applyAlignment="1">
      <alignment horizontal="left" wrapText="1"/>
    </xf>
    <xf numFmtId="170" fontId="26" fillId="2" borderId="10" xfId="0" applyNumberFormat="1" applyFont="1" applyFill="1" applyBorder="1" applyAlignment="1">
      <alignment horizontal="right" wrapText="1"/>
    </xf>
    <xf numFmtId="171" fontId="26" fillId="2" borderId="10" xfId="0" applyNumberFormat="1" applyFont="1" applyFill="1" applyBorder="1" applyAlignment="1">
      <alignment horizontal="right" wrapText="1"/>
    </xf>
    <xf numFmtId="172" fontId="26" fillId="2" borderId="10" xfId="0" applyNumberFormat="1" applyFont="1" applyFill="1" applyBorder="1" applyAlignment="1">
      <alignment horizontal="right" wrapText="1"/>
    </xf>
    <xf numFmtId="0" fontId="27" fillId="19" borderId="10" xfId="0" applyFont="1" applyFill="1" applyBorder="1" applyAlignment="1">
      <alignment horizontal="right" wrapText="1"/>
    </xf>
    <xf numFmtId="0" fontId="27" fillId="19" borderId="10" xfId="0" applyFont="1" applyFill="1" applyBorder="1" applyAlignment="1">
      <alignment horizontal="left" wrapText="1"/>
    </xf>
    <xf numFmtId="170" fontId="27" fillId="19" borderId="10" xfId="0" applyNumberFormat="1" applyFont="1" applyFill="1" applyBorder="1" applyAlignment="1">
      <alignment horizontal="right" wrapText="1"/>
    </xf>
    <xf numFmtId="171" fontId="27" fillId="19" borderId="10" xfId="0" applyNumberFormat="1" applyFont="1" applyFill="1" applyBorder="1" applyAlignment="1">
      <alignment horizontal="right" wrapText="1"/>
    </xf>
    <xf numFmtId="172" fontId="27" fillId="19" borderId="10" xfId="0" applyNumberFormat="1" applyFont="1" applyFill="1" applyBorder="1" applyAlignment="1">
      <alignment horizontal="right" wrapText="1"/>
    </xf>
    <xf numFmtId="0" fontId="1" fillId="0" borderId="0" xfId="0" applyFont="1"/>
    <xf numFmtId="0" fontId="25" fillId="2" borderId="0" xfId="0" applyFont="1" applyFill="1" applyAlignment="1">
      <alignment horizontal="left"/>
    </xf>
    <xf numFmtId="0" fontId="29" fillId="0" borderId="0" xfId="5" applyFont="1"/>
    <xf numFmtId="0" fontId="28" fillId="0" borderId="0" xfId="5"/>
    <xf numFmtId="0" fontId="30" fillId="0" borderId="0" xfId="5" applyFont="1"/>
    <xf numFmtId="0" fontId="28" fillId="20" borderId="8" xfId="5" applyFill="1" applyBorder="1" applyAlignment="1">
      <alignment horizontal="center" vertical="center" wrapText="1"/>
    </xf>
    <xf numFmtId="10" fontId="28" fillId="20" borderId="8" xfId="5" applyNumberFormat="1" applyFill="1" applyBorder="1" applyAlignment="1">
      <alignment horizontal="center" vertical="center" wrapText="1"/>
    </xf>
    <xf numFmtId="0" fontId="31" fillId="20" borderId="8" xfId="5" applyFont="1" applyFill="1" applyBorder="1" applyAlignment="1">
      <alignment horizontal="center" vertical="center" wrapText="1"/>
    </xf>
    <xf numFmtId="0" fontId="31" fillId="0" borderId="8" xfId="5" applyFont="1" applyBorder="1"/>
    <xf numFmtId="2" fontId="0" fillId="0" borderId="8" xfId="0" applyNumberFormat="1" applyBorder="1"/>
    <xf numFmtId="173" fontId="28" fillId="0" borderId="12" xfId="6" applyNumberFormat="1" applyBorder="1" applyAlignment="1">
      <alignment vertical="top" wrapText="1" readingOrder="1"/>
    </xf>
    <xf numFmtId="10" fontId="28" fillId="0" borderId="8" xfId="7" applyNumberFormat="1" applyBorder="1"/>
    <xf numFmtId="0" fontId="23" fillId="2" borderId="0" xfId="0" applyFont="1" applyFill="1" applyAlignment="1">
      <alignment horizontal="left" wrapText="1"/>
    </xf>
    <xf numFmtId="0" fontId="25" fillId="21" borderId="10" xfId="0" applyFont="1" applyFill="1" applyBorder="1" applyAlignment="1">
      <alignment horizontal="center" vertical="center" wrapText="1"/>
    </xf>
    <xf numFmtId="0" fontId="25" fillId="22" borderId="10" xfId="0" applyFont="1" applyFill="1" applyBorder="1" applyAlignment="1">
      <alignment horizontal="center" vertical="center" wrapText="1"/>
    </xf>
    <xf numFmtId="0" fontId="25" fillId="23" borderId="10"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5" fillId="25" borderId="10" xfId="0" applyFont="1" applyFill="1" applyBorder="1" applyAlignment="1">
      <alignment horizontal="center" vertical="center" wrapText="1"/>
    </xf>
    <xf numFmtId="174" fontId="26" fillId="2" borderId="10" xfId="0" applyNumberFormat="1" applyFont="1" applyFill="1" applyBorder="1" applyAlignment="1">
      <alignment horizontal="right" wrapText="1"/>
    </xf>
    <xf numFmtId="175" fontId="26" fillId="2" borderId="10" xfId="0" applyNumberFormat="1" applyFont="1" applyFill="1" applyBorder="1" applyAlignment="1">
      <alignment horizontal="right" wrapText="1"/>
    </xf>
    <xf numFmtId="0" fontId="19" fillId="14" borderId="8" xfId="0" applyFont="1" applyFill="1" applyBorder="1" applyAlignment="1">
      <alignment horizontal="center" vertical="center" wrapText="1"/>
    </xf>
    <xf numFmtId="10" fontId="3" fillId="0" borderId="8" xfId="3" applyNumberFormat="1" applyFont="1" applyBorder="1"/>
    <xf numFmtId="0" fontId="18" fillId="0" borderId="0" xfId="0" applyFont="1"/>
    <xf numFmtId="10" fontId="0" fillId="0" borderId="0" xfId="0" applyNumberFormat="1"/>
    <xf numFmtId="176" fontId="0" fillId="0" borderId="0" xfId="3" applyNumberFormat="1" applyFont="1"/>
    <xf numFmtId="176" fontId="0" fillId="0" borderId="0" xfId="0" applyNumberFormat="1"/>
    <xf numFmtId="167" fontId="17" fillId="0" borderId="8" xfId="8" applyNumberFormat="1" applyFont="1" applyBorder="1" applyAlignment="1">
      <alignment horizontal="center"/>
    </xf>
    <xf numFmtId="10" fontId="32" fillId="0" borderId="8" xfId="3" applyNumberFormat="1" applyFont="1" applyBorder="1" applyAlignment="1">
      <alignment horizontal="center"/>
    </xf>
    <xf numFmtId="0" fontId="17" fillId="28" borderId="8" xfId="8" applyFont="1" applyFill="1" applyBorder="1"/>
    <xf numFmtId="167" fontId="32" fillId="28" borderId="8" xfId="3" applyNumberFormat="1" applyFont="1" applyFill="1" applyBorder="1" applyAlignment="1">
      <alignment horizontal="center"/>
    </xf>
    <xf numFmtId="10" fontId="32" fillId="29" borderId="8" xfId="8" applyNumberFormat="1" applyFont="1" applyFill="1" applyBorder="1"/>
    <xf numFmtId="177" fontId="32" fillId="29" borderId="8" xfId="3" applyNumberFormat="1" applyFont="1" applyFill="1" applyBorder="1"/>
    <xf numFmtId="177" fontId="0" fillId="0" borderId="8" xfId="0" applyNumberFormat="1" applyBorder="1"/>
    <xf numFmtId="10" fontId="18" fillId="0" borderId="8" xfId="0" applyNumberFormat="1" applyFont="1" applyBorder="1"/>
    <xf numFmtId="177" fontId="18" fillId="0" borderId="8" xfId="0" applyNumberFormat="1" applyFont="1" applyBorder="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xf>
    <xf numFmtId="0" fontId="5" fillId="5" borderId="2" xfId="0" applyFont="1" applyFill="1" applyBorder="1" applyAlignment="1">
      <alignment horizontal="center"/>
    </xf>
    <xf numFmtId="0" fontId="5" fillId="5" borderId="0" xfId="0" applyFont="1" applyFill="1" applyAlignment="1">
      <alignment horizontal="center"/>
    </xf>
    <xf numFmtId="0" fontId="16" fillId="0" borderId="0" xfId="0" applyFont="1" applyAlignment="1">
      <alignment horizontal="left"/>
    </xf>
    <xf numFmtId="0" fontId="23" fillId="2" borderId="0" xfId="0" applyFont="1" applyFill="1" applyAlignment="1">
      <alignment horizontal="center" wrapText="1"/>
    </xf>
    <xf numFmtId="0" fontId="0" fillId="15" borderId="0" xfId="0" applyFill="1"/>
    <xf numFmtId="0" fontId="24" fillId="2" borderId="0" xfId="0" applyFont="1" applyFill="1" applyAlignment="1">
      <alignment horizontal="center" wrapText="1"/>
    </xf>
    <xf numFmtId="0" fontId="25" fillId="16" borderId="10" xfId="0" applyFont="1" applyFill="1" applyBorder="1" applyAlignment="1">
      <alignment horizontal="center" vertical="center" wrapText="1"/>
    </xf>
    <xf numFmtId="0" fontId="0" fillId="0" borderId="10" xfId="0" applyBorder="1"/>
    <xf numFmtId="0" fontId="25" fillId="17" borderId="10" xfId="0" applyFont="1" applyFill="1" applyBorder="1" applyAlignment="1">
      <alignment horizontal="center" vertical="center" wrapText="1"/>
    </xf>
    <xf numFmtId="0" fontId="0" fillId="0" borderId="11" xfId="0" applyBorder="1"/>
    <xf numFmtId="0" fontId="25" fillId="18" borderId="10" xfId="0" applyFont="1" applyFill="1" applyBorder="1" applyAlignment="1">
      <alignment horizontal="center" vertical="center" wrapText="1"/>
    </xf>
    <xf numFmtId="0" fontId="0" fillId="0" borderId="8" xfId="5" applyFont="1" applyBorder="1" applyAlignment="1">
      <alignment horizontal="left" vertical="top" wrapText="1"/>
    </xf>
    <xf numFmtId="0" fontId="0" fillId="0" borderId="9" xfId="0" applyBorder="1"/>
    <xf numFmtId="0" fontId="0" fillId="0" borderId="13" xfId="0" applyBorder="1"/>
    <xf numFmtId="0" fontId="25" fillId="16" borderId="11" xfId="0" applyFont="1" applyFill="1" applyBorder="1" applyAlignment="1">
      <alignment horizontal="center" vertical="center" wrapText="1"/>
    </xf>
    <xf numFmtId="0" fontId="25" fillId="17" borderId="11" xfId="0" applyFont="1" applyFill="1" applyBorder="1" applyAlignment="1">
      <alignment horizontal="center" vertical="center" wrapText="1"/>
    </xf>
    <xf numFmtId="0" fontId="25" fillId="22" borderId="11" xfId="0" applyFont="1" applyFill="1" applyBorder="1" applyAlignment="1">
      <alignment horizontal="center" vertical="center" wrapText="1"/>
    </xf>
    <xf numFmtId="0" fontId="25" fillId="22" borderId="10" xfId="0" applyFont="1" applyFill="1" applyBorder="1" applyAlignment="1">
      <alignment horizontal="center" vertical="center" wrapText="1"/>
    </xf>
    <xf numFmtId="0" fontId="25" fillId="23" borderId="11" xfId="0" applyFont="1" applyFill="1" applyBorder="1" applyAlignment="1">
      <alignment horizontal="center" vertical="center" wrapText="1"/>
    </xf>
    <xf numFmtId="0" fontId="25" fillId="23" borderId="10"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5" fillId="25" borderId="11" xfId="0"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17" fillId="26" borderId="8" xfId="8" applyFont="1" applyFill="1" applyBorder="1" applyAlignment="1">
      <alignment horizontal="center" vertical="center" wrapText="1"/>
    </xf>
    <xf numFmtId="0" fontId="32" fillId="27" borderId="8" xfId="8" applyFont="1" applyFill="1" applyBorder="1" applyAlignment="1">
      <alignment horizontal="center" vertical="center" wrapText="1"/>
    </xf>
    <xf numFmtId="0" fontId="33" fillId="0" borderId="0" xfId="0" applyFont="1"/>
  </cellXfs>
  <cellStyles count="9">
    <cellStyle name="Comma" xfId="1" builtinId="3"/>
    <cellStyle name="Currency" xfId="2" builtinId="4"/>
    <cellStyle name="Normal" xfId="0" builtinId="0"/>
    <cellStyle name="Normal 2 2 2" xfId="6" xr:uid="{4E1650D5-6F1D-42FF-9713-0BC5EAC4B411}"/>
    <cellStyle name="Normal 2 2 2 2" xfId="8" xr:uid="{FB1E4E63-F050-436F-8B95-9901FA376693}"/>
    <cellStyle name="Normal 2 3" xfId="5" xr:uid="{79A05B5F-45B9-4265-B15F-3E5C2D41E833}"/>
    <cellStyle name="Percent" xfId="3" builtinId="5"/>
    <cellStyle name="Percent 2 3" xfId="4" xr:uid="{05D977CA-CD7F-4A1B-A2EA-6A624A431C03}"/>
    <cellStyle name="Percent 2 3 2" xfId="7" xr:uid="{D7F67440-36B3-4725-B2FC-28F1CCD87A46}"/>
  </cellStyles>
  <dxfs count="4">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50673962364877E-2"/>
          <c:y val="5.876951331496786E-2"/>
          <c:w val="0.88069113394723963"/>
          <c:h val="0.87438652813026474"/>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1"/>
            <c:trendlineLbl>
              <c:layout>
                <c:manualLayout>
                  <c:x val="0.14947212954312913"/>
                  <c:y val="0.14749701741827725"/>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cat>
            <c:numRef>
              <c:f>'5. PAI Scale'!$C$5:$C$6</c:f>
              <c:numCache>
                <c:formatCode>0.00%</c:formatCode>
                <c:ptCount val="2"/>
                <c:pt idx="0">
                  <c:v>2.5000000000000001E-3</c:v>
                </c:pt>
                <c:pt idx="1">
                  <c:v>5.0000000000000001E-3</c:v>
                </c:pt>
              </c:numCache>
            </c:numRef>
          </c:cat>
          <c:val>
            <c:numRef>
              <c:f>'5. PAI Scale'!$B$5:$B$6</c:f>
              <c:numCache>
                <c:formatCode>0.00%</c:formatCode>
                <c:ptCount val="2"/>
                <c:pt idx="0">
                  <c:v>-0.22889458729602963</c:v>
                </c:pt>
                <c:pt idx="1">
                  <c:v>-0.40539644249863949</c:v>
                </c:pt>
              </c:numCache>
            </c:numRef>
          </c:val>
          <c:smooth val="0"/>
          <c:extLst>
            <c:ext xmlns:c16="http://schemas.microsoft.com/office/drawing/2014/chart" uri="{C3380CC4-5D6E-409C-BE32-E72D297353CC}">
              <c16:uniqueId val="{00000001-39CF-4B35-9C70-ACC7EDB4C59B}"/>
            </c:ext>
          </c:extLst>
        </c:ser>
        <c:dLbls>
          <c:showLegendKey val="0"/>
          <c:showVal val="0"/>
          <c:showCatName val="0"/>
          <c:showSerName val="0"/>
          <c:showPercent val="0"/>
          <c:showBubbleSize val="0"/>
        </c:dLbls>
        <c:smooth val="0"/>
        <c:axId val="1282994415"/>
        <c:axId val="1283015631"/>
      </c:lineChart>
      <c:catAx>
        <c:axId val="1282994415"/>
        <c:scaling>
          <c:orientation val="minMax"/>
        </c:scaling>
        <c:delete val="0"/>
        <c:axPos val="b"/>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3015631"/>
        <c:crosses val="autoZero"/>
        <c:auto val="1"/>
        <c:lblAlgn val="ctr"/>
        <c:lblOffset val="100"/>
        <c:noMultiLvlLbl val="0"/>
      </c:catAx>
      <c:valAx>
        <c:axId val="128301563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2994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161925</xdr:colOff>
      <xdr:row>9</xdr:row>
      <xdr:rowOff>76200</xdr:rowOff>
    </xdr:from>
    <xdr:to>
      <xdr:col>18</xdr:col>
      <xdr:colOff>295275</xdr:colOff>
      <xdr:row>19</xdr:row>
      <xdr:rowOff>104775</xdr:rowOff>
    </xdr:to>
    <xdr:graphicFrame macro="">
      <xdr:nvGraphicFramePr>
        <xdr:cNvPr id="2" name="Chart 1">
          <a:extLst>
            <a:ext uri="{FF2B5EF4-FFF2-40B4-BE49-F238E27FC236}">
              <a16:creationId xmlns:a16="http://schemas.microsoft.com/office/drawing/2014/main" id="{6E6068B1-079C-49D5-A0B4-76CDE4330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data\CRISP\casemix\SSIS\d201905a\PortalReports\All%20Hospital%20Reports\Readmissions%20Monthly%20Summary\RY21_IP_PSYCH_Readmissions_CY19-01%20to%20CY19-04%20created%202019-07-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ollins\Downloads\Quality%20Program%20Modeling%20COVID%200421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methodology\CPBM\Quality\SCALING\RY2023\RY%202023%20RRIP%20and%20Disparity%20Gap%20Revenue%20Adjustments%20w%20combo.xlsx" TargetMode="External"/><Relationship Id="rId1" Type="http://schemas.openxmlformats.org/officeDocument/2006/relationships/externalLinkPath" Target="/methodology/CPBM/Quality/SCALING/RY2023/RY%202023%20RRIP%20and%20Disparity%20Gap%20Revenue%20Adjustments%20w%20comb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PBM/Quality/SCALING/RY%202019/RY%202019%20Estimated%20Aggregate%20Revenue%20at%20Risk%20Scaling%20Workbook%208.14.17.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M:\methodology\CPBM\Quality\SCALING\RY2024\FY23%20Revenue%20using%20april%20final.xlsx" TargetMode="External"/><Relationship Id="rId1" Type="http://schemas.openxmlformats.org/officeDocument/2006/relationships/externalLinkPath" Target="FY23%20Revenue%20using%20april%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M:\methodology\CPBM\Quality\SCALING\RY2024\RY%202024%20Disparity%20Gap%20Scaling%2010052022.xlsx" TargetMode="External"/><Relationship Id="rId1" Type="http://schemas.openxmlformats.org/officeDocument/2006/relationships/externalLinkPath" Target="RY%202024%20Disparity%20Gap%20Scaling%2010052022.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pcollins\Downloads\RY24_IP_PSYCH_Readmissions%20CY22-01%20to%20CY22-12%20created%202023-03-28%20(6).xlsx" TargetMode="External"/><Relationship Id="rId1" Type="http://schemas.openxmlformats.org/officeDocument/2006/relationships/externalLinkPath" Target="file:///C:\Users\pcollins\Downloads\RY24_IP_PSYCH_Readmissions%20CY22-01%20to%20CY22-12%20created%202023-03-28%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ver Sheet"/>
      <sheetName val="2.CY2016 Readmit Norms"/>
      <sheetName val="3.CY2016 Readmit Rates"/>
      <sheetName val="4.CY2019 Improve All Payers"/>
      <sheetName val="4a.CY2019 Improve Medicare FFS"/>
      <sheetName val="4b.CY2019 Improve Medicaid"/>
      <sheetName val="5.CY17 Readmit Rates"/>
      <sheetName val="6.CY18 Readmit Rates"/>
      <sheetName val="7. CY19 Readmit Attainment"/>
      <sheetName val="8. RY21 Revenue Scales"/>
      <sheetName val="9. RRIP Calcul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
          <cell r="B9">
            <v>0.01</v>
          </cell>
          <cell r="F9">
            <v>0.01</v>
          </cell>
        </row>
        <row r="10">
          <cell r="A10">
            <v>-0.14399999999999999</v>
          </cell>
          <cell r="E10">
            <v>8.9370407909332691E-2</v>
          </cell>
        </row>
        <row r="40">
          <cell r="A40">
            <v>0.17099999999999999</v>
          </cell>
          <cell r="B40">
            <v>-1.9999994281900323E-2</v>
          </cell>
          <cell r="E40">
            <v>0.1547495862711612</v>
          </cell>
          <cell r="F40">
            <v>-2.0000000000000011E-2</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el Summaries"/>
      <sheetName val="FY 2021 RRIP"/>
      <sheetName val="Sheet2"/>
      <sheetName val="RRIP Model 1"/>
      <sheetName val="RRIP Model 1 OOS"/>
      <sheetName val="RRIP Prelim Rev Adj M1"/>
      <sheetName val="Sheet1"/>
      <sheetName val="RRIP Model 2"/>
      <sheetName val="RRIP Model 2 OOS"/>
      <sheetName val="RRIP Prelim Rev Adj M2"/>
      <sheetName val="MHAC ---&gt;"/>
      <sheetName val="MHAC Model 1"/>
      <sheetName val=" MHAC Prelim Rev Adj M1"/>
      <sheetName val="MHAC Model 2"/>
      <sheetName val="MHAC Prelim Rev Adj M2"/>
      <sheetName val="QBR ----&gt;"/>
      <sheetName val="QBR Prelim CURRENT Scale"/>
      <sheetName val="QBR Prelim ADJUSTED Scale"/>
    </sheetNames>
    <sheetDataSet>
      <sheetData sheetId="0"/>
      <sheetData sheetId="1"/>
      <sheetData sheetId="2"/>
      <sheetData sheetId="3"/>
      <sheetData sheetId="4"/>
      <sheetData sheetId="5"/>
      <sheetData sheetId="6">
        <row r="58">
          <cell r="C58">
            <v>0.02</v>
          </cell>
        </row>
        <row r="59">
          <cell r="C59">
            <v>-0.02</v>
          </cell>
        </row>
        <row r="61">
          <cell r="C61">
            <v>-4.5699999999999998E-2</v>
          </cell>
        </row>
        <row r="62">
          <cell r="C62">
            <v>-0.25569999999999998</v>
          </cell>
        </row>
        <row r="63">
          <cell r="C63">
            <v>0.1643</v>
          </cell>
        </row>
        <row r="64">
          <cell r="C64">
            <v>0.11269999999999999</v>
          </cell>
        </row>
        <row r="65">
          <cell r="C65">
            <v>9.1399999999999995E-2</v>
          </cell>
        </row>
        <row r="66">
          <cell r="C66">
            <v>0.13389999999999999</v>
          </cell>
        </row>
      </sheetData>
      <sheetData sheetId="7"/>
      <sheetData sheetId="8"/>
      <sheetData sheetId="9"/>
      <sheetData sheetId="10"/>
      <sheetData sheetId="11"/>
      <sheetData sheetId="12"/>
      <sheetData sheetId="13">
        <row r="54">
          <cell r="B54">
            <v>0</v>
          </cell>
        </row>
        <row r="55">
          <cell r="B55">
            <v>-0.02</v>
          </cell>
        </row>
        <row r="56">
          <cell r="B56">
            <v>1</v>
          </cell>
        </row>
        <row r="57">
          <cell r="B57">
            <v>0.02</v>
          </cell>
        </row>
        <row r="58">
          <cell r="B58">
            <v>0.6</v>
          </cell>
        </row>
        <row r="59">
          <cell r="B59">
            <v>0.7</v>
          </cell>
        </row>
      </sheetData>
      <sheetData sheetId="14"/>
      <sheetData sheetId="15">
        <row r="53">
          <cell r="B53">
            <v>0</v>
          </cell>
        </row>
        <row r="54">
          <cell r="B54">
            <v>-0.02</v>
          </cell>
        </row>
        <row r="55">
          <cell r="B55">
            <v>1</v>
          </cell>
        </row>
        <row r="56">
          <cell r="B56">
            <v>0.02</v>
          </cell>
        </row>
        <row r="57">
          <cell r="B57">
            <v>0.59</v>
          </cell>
        </row>
        <row r="58">
          <cell r="B58">
            <v>0.69</v>
          </cell>
        </row>
      </sheetData>
      <sheetData sheetId="16"/>
      <sheetData sheetId="17">
        <row r="50">
          <cell r="C50">
            <v>0</v>
          </cell>
        </row>
        <row r="51">
          <cell r="C51">
            <v>-0.02</v>
          </cell>
        </row>
        <row r="52">
          <cell r="C52">
            <v>0.8</v>
          </cell>
        </row>
        <row r="53">
          <cell r="C53">
            <v>0.02</v>
          </cell>
        </row>
        <row r="54">
          <cell r="C54">
            <v>0.41</v>
          </cell>
        </row>
      </sheetData>
      <sheetData sheetId="18">
        <row r="50">
          <cell r="C50">
            <v>0</v>
          </cell>
        </row>
        <row r="51">
          <cell r="C51">
            <v>-0.02</v>
          </cell>
        </row>
        <row r="52">
          <cell r="C52">
            <v>0.8</v>
          </cell>
        </row>
        <row r="53">
          <cell r="C53">
            <v>0.02</v>
          </cell>
        </row>
        <row r="54">
          <cell r="C54">
            <v>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1. CY2021 Improve All Payers"/>
      <sheetName val="2. CY21 Readmit Attainment"/>
      <sheetName val="3. RRIP Revenue Adjustments"/>
      <sheetName val="PAI -----&gt;"/>
      <sheetName val="4. Disparity Gap "/>
      <sheetName val="5. PAI Scale"/>
      <sheetName val="6. PAI revenue adjustments"/>
      <sheetName val="RRIP &amp; PAI"/>
    </sheetNames>
    <sheetDataSet>
      <sheetData sheetId="0"/>
      <sheetData sheetId="1"/>
      <sheetData sheetId="2"/>
      <sheetData sheetId="3">
        <row r="55">
          <cell r="C55">
            <v>0.02</v>
          </cell>
        </row>
        <row r="56">
          <cell r="C56">
            <v>-0.02</v>
          </cell>
        </row>
        <row r="58">
          <cell r="C58">
            <v>-4.5699999999999998E-2</v>
          </cell>
        </row>
        <row r="59">
          <cell r="C59">
            <v>-0.25569999999999998</v>
          </cell>
        </row>
        <row r="60">
          <cell r="C60">
            <v>0.1643</v>
          </cell>
        </row>
        <row r="61">
          <cell r="C61">
            <v>0.1148</v>
          </cell>
        </row>
        <row r="62">
          <cell r="C62">
            <v>9.1800000000000007E-2</v>
          </cell>
        </row>
        <row r="63">
          <cell r="C63">
            <v>0.13780000000000001</v>
          </cell>
        </row>
      </sheetData>
      <sheetData sheetId="4"/>
      <sheetData sheetId="5"/>
      <sheetData sheetId="6">
        <row r="5">
          <cell r="C5">
            <v>2.5000000000000001E-3</v>
          </cell>
        </row>
        <row r="6">
          <cell r="C6">
            <v>5.0000000000000001E-3</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row r="5">
          <cell r="G5">
            <v>-0.02</v>
          </cell>
        </row>
        <row r="6">
          <cell r="G6">
            <v>1</v>
          </cell>
        </row>
        <row r="7">
          <cell r="G7">
            <v>0.01</v>
          </cell>
        </row>
        <row r="8">
          <cell r="G8">
            <v>0.45</v>
          </cell>
        </row>
        <row r="9">
          <cell r="G9">
            <v>0.55000000000000004</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P revenue"/>
      <sheetName val="Revenue"/>
      <sheetName val="FY23 Est IP %"/>
    </sheetNames>
    <sheetDataSet>
      <sheetData sheetId="0">
        <row r="2">
          <cell r="A2">
            <v>210001</v>
          </cell>
          <cell r="B2" t="str">
            <v>Meritus</v>
          </cell>
          <cell r="C2">
            <v>424049570.74424231</v>
          </cell>
          <cell r="D2">
            <v>0.55758051262164554</v>
          </cell>
          <cell r="E2">
            <v>236441777.03256336</v>
          </cell>
        </row>
        <row r="3">
          <cell r="A3">
            <v>210002</v>
          </cell>
          <cell r="B3" t="str">
            <v>UMMC</v>
          </cell>
          <cell r="C3">
            <v>1788854858.6023471</v>
          </cell>
          <cell r="D3">
            <v>0.6656650339178144</v>
          </cell>
          <cell r="E3">
            <v>1419452964.0897801</v>
          </cell>
        </row>
        <row r="4">
          <cell r="A4">
            <v>210003</v>
          </cell>
          <cell r="B4" t="str">
            <v>UM-Capital Region</v>
          </cell>
          <cell r="C4">
            <v>372141533.13710356</v>
          </cell>
          <cell r="D4">
            <v>0.75778895230225274</v>
          </cell>
          <cell r="E4">
            <v>282004742.50411975</v>
          </cell>
        </row>
        <row r="5">
          <cell r="A5">
            <v>210004</v>
          </cell>
          <cell r="B5" t="str">
            <v>Holy Cross</v>
          </cell>
          <cell r="C5">
            <v>561435584.0318073</v>
          </cell>
          <cell r="D5">
            <v>0.70784982968979726</v>
          </cell>
          <cell r="E5">
            <v>397412082.53870666</v>
          </cell>
        </row>
        <row r="6">
          <cell r="A6">
            <v>210005</v>
          </cell>
          <cell r="B6" t="str">
            <v>Frederick</v>
          </cell>
          <cell r="C6">
            <v>400457265.1480509</v>
          </cell>
          <cell r="D6">
            <v>0.63876631632062886</v>
          </cell>
          <cell r="E6">
            <v>255798612.10245383</v>
          </cell>
        </row>
        <row r="7">
          <cell r="A7">
            <v>210006</v>
          </cell>
          <cell r="B7" t="str">
            <v>UM-Harford</v>
          </cell>
          <cell r="C7">
            <v>115840858.93692619</v>
          </cell>
          <cell r="D7">
            <v>0.59034751989842937</v>
          </cell>
          <cell r="E7">
            <v>68386363.776318178</v>
          </cell>
        </row>
        <row r="8">
          <cell r="A8">
            <v>210008</v>
          </cell>
          <cell r="B8" t="str">
            <v>Mercy</v>
          </cell>
          <cell r="C8">
            <v>637769811.37311566</v>
          </cell>
          <cell r="D8">
            <v>0.33988615693227514</v>
          </cell>
          <cell r="E8">
            <v>216769130.1950303</v>
          </cell>
        </row>
        <row r="9">
          <cell r="A9">
            <v>210009</v>
          </cell>
          <cell r="B9" t="str">
            <v>Johns Hopkins</v>
          </cell>
          <cell r="C9">
            <v>2825644173.4415298</v>
          </cell>
          <cell r="D9">
            <v>0.6025938843779699</v>
          </cell>
          <cell r="E9">
            <v>1702715898.3441095</v>
          </cell>
        </row>
        <row r="10">
          <cell r="A10">
            <v>210010</v>
          </cell>
          <cell r="B10" t="str">
            <v>UM-Cambridge</v>
          </cell>
          <cell r="C10">
            <v>17454651.020907674</v>
          </cell>
          <cell r="D10">
            <v>0.10894145796784531</v>
          </cell>
          <cell r="E10">
            <v>1901535.1305376217</v>
          </cell>
        </row>
        <row r="11">
          <cell r="A11">
            <v>210011</v>
          </cell>
          <cell r="B11" t="str">
            <v>St Agnes</v>
          </cell>
          <cell r="C11">
            <v>477836480.38597089</v>
          </cell>
          <cell r="D11">
            <v>0.48854475598851299</v>
          </cell>
          <cell r="E11">
            <v>233444506.71257403</v>
          </cell>
        </row>
        <row r="12">
          <cell r="A12">
            <v>210012</v>
          </cell>
          <cell r="B12" t="str">
            <v>Sinai</v>
          </cell>
          <cell r="C12">
            <v>922531290.94492531</v>
          </cell>
          <cell r="D12">
            <v>0.55866349242445934</v>
          </cell>
          <cell r="E12">
            <v>515384552.87013698</v>
          </cell>
        </row>
        <row r="13">
          <cell r="A13">
            <v>210013</v>
          </cell>
          <cell r="B13" t="str">
            <v>Grace Medical Center</v>
          </cell>
          <cell r="C13">
            <v>32639338.835503571</v>
          </cell>
          <cell r="D13">
            <v>2.7340844385468342E-4</v>
          </cell>
          <cell r="E13">
            <v>8923.8708394607656</v>
          </cell>
        </row>
        <row r="14">
          <cell r="A14">
            <v>210015</v>
          </cell>
          <cell r="B14" t="str">
            <v>MedStar Franklin Sq</v>
          </cell>
          <cell r="C14">
            <v>620302546.61705399</v>
          </cell>
          <cell r="D14">
            <v>0.54553387961750244</v>
          </cell>
          <cell r="E14">
            <v>338396054.7926181</v>
          </cell>
        </row>
        <row r="15">
          <cell r="A15">
            <v>210016</v>
          </cell>
          <cell r="B15" t="str">
            <v>Adventist White Oak</v>
          </cell>
          <cell r="C15">
            <v>341578603.1094932</v>
          </cell>
          <cell r="D15">
            <v>0.66071070394072418</v>
          </cell>
          <cell r="E15">
            <v>225684639.31156248</v>
          </cell>
        </row>
        <row r="16">
          <cell r="A16">
            <v>210017</v>
          </cell>
          <cell r="B16" t="str">
            <v>Garrett</v>
          </cell>
          <cell r="C16">
            <v>76992013.16301389</v>
          </cell>
          <cell r="D16">
            <v>0.33153488364207806</v>
          </cell>
          <cell r="E16">
            <v>25525538.125369154</v>
          </cell>
        </row>
        <row r="17">
          <cell r="A17">
            <v>210018</v>
          </cell>
          <cell r="B17" t="str">
            <v>MedStar Montgomery</v>
          </cell>
          <cell r="C17">
            <v>202663894.9411726</v>
          </cell>
          <cell r="D17">
            <v>0.43819885784673895</v>
          </cell>
          <cell r="E17">
            <v>88807087.289993331</v>
          </cell>
        </row>
        <row r="18">
          <cell r="A18">
            <v>210019</v>
          </cell>
          <cell r="B18" t="str">
            <v>Peninsula</v>
          </cell>
          <cell r="C18">
            <v>535162304.0418486</v>
          </cell>
          <cell r="D18">
            <v>0.57641145447517705</v>
          </cell>
          <cell r="E18">
            <v>308473682.05304885</v>
          </cell>
        </row>
        <row r="19">
          <cell r="A19">
            <v>210022</v>
          </cell>
          <cell r="B19" t="str">
            <v>Suburban</v>
          </cell>
          <cell r="C19">
            <v>395048811.69120657</v>
          </cell>
          <cell r="D19">
            <v>0.57518158541969466</v>
          </cell>
          <cell r="E19">
            <v>227224801.82671461</v>
          </cell>
        </row>
        <row r="20">
          <cell r="A20">
            <v>210023</v>
          </cell>
          <cell r="B20" t="str">
            <v>Anne Arundel</v>
          </cell>
          <cell r="C20">
            <v>730204814.8364867</v>
          </cell>
          <cell r="D20">
            <v>0.52794212981232114</v>
          </cell>
          <cell r="E20">
            <v>385505885.1439864</v>
          </cell>
        </row>
        <row r="21">
          <cell r="A21">
            <v>210024</v>
          </cell>
          <cell r="B21" t="str">
            <v>MedStar Union</v>
          </cell>
          <cell r="C21">
            <v>478377594.77993202</v>
          </cell>
          <cell r="D21">
            <v>0.59283495875140446</v>
          </cell>
          <cell r="E21">
            <v>283598961.66895705</v>
          </cell>
        </row>
        <row r="22">
          <cell r="A22">
            <v>210027</v>
          </cell>
          <cell r="B22" t="str">
            <v>Western MD</v>
          </cell>
          <cell r="C22">
            <v>366860862.72486395</v>
          </cell>
          <cell r="D22">
            <v>0.51853455564483575</v>
          </cell>
          <cell r="E22">
            <v>190230034.4365184</v>
          </cell>
        </row>
        <row r="23">
          <cell r="A23">
            <v>210028</v>
          </cell>
          <cell r="B23" t="str">
            <v>MedStar St Mary's</v>
          </cell>
          <cell r="C23">
            <v>212649862.79057142</v>
          </cell>
          <cell r="D23">
            <v>0.46199171833414776</v>
          </cell>
          <cell r="E23">
            <v>98242475.514136836</v>
          </cell>
        </row>
        <row r="24">
          <cell r="A24">
            <v>210029</v>
          </cell>
          <cell r="B24" t="str">
            <v>JH - Bayview</v>
          </cell>
          <cell r="C24">
            <v>767133008.17096496</v>
          </cell>
          <cell r="D24">
            <v>0.59334142490514918</v>
          </cell>
          <cell r="E24">
            <v>455171792.15993381</v>
          </cell>
        </row>
        <row r="25">
          <cell r="A25">
            <v>210030</v>
          </cell>
          <cell r="B25" t="str">
            <v>UM-Chestertown</v>
          </cell>
          <cell r="C25">
            <v>55956345.969881617</v>
          </cell>
          <cell r="D25">
            <v>0.12551948804914267</v>
          </cell>
          <cell r="E25">
            <v>7023611.8992402488</v>
          </cell>
        </row>
        <row r="26">
          <cell r="A26">
            <v>210032</v>
          </cell>
          <cell r="B26" t="str">
            <v>ChristianaCare, Union</v>
          </cell>
          <cell r="C26">
            <v>187132983.95749941</v>
          </cell>
          <cell r="D26">
            <v>0.48395834320014414</v>
          </cell>
          <cell r="E26">
            <v>90564568.874170572</v>
          </cell>
        </row>
        <row r="27">
          <cell r="A27">
            <v>210033</v>
          </cell>
          <cell r="B27" t="str">
            <v>Carroll</v>
          </cell>
          <cell r="C27">
            <v>258462355.28291667</v>
          </cell>
          <cell r="D27">
            <v>0.60885977158399385</v>
          </cell>
          <cell r="E27">
            <v>157367330.60061771</v>
          </cell>
        </row>
        <row r="28">
          <cell r="A28">
            <v>210034</v>
          </cell>
          <cell r="B28" t="str">
            <v>MedStar Harbor</v>
          </cell>
          <cell r="C28">
            <v>205365570.31165394</v>
          </cell>
          <cell r="D28">
            <v>0.63021833709367758</v>
          </cell>
          <cell r="E28">
            <v>129425148.21810527</v>
          </cell>
        </row>
        <row r="29">
          <cell r="A29">
            <v>210035</v>
          </cell>
          <cell r="B29" t="str">
            <v>UM-Charles Regional</v>
          </cell>
          <cell r="C29">
            <v>176390354.73159721</v>
          </cell>
          <cell r="D29">
            <v>0.55761844026792884</v>
          </cell>
          <cell r="E29">
            <v>98358514.483739927</v>
          </cell>
        </row>
        <row r="30">
          <cell r="A30">
            <v>210037</v>
          </cell>
          <cell r="B30" t="str">
            <v>UM-Easton</v>
          </cell>
          <cell r="C30">
            <v>271566249.41912937</v>
          </cell>
          <cell r="D30">
            <v>0.4416292645915938</v>
          </cell>
          <cell r="E30">
            <v>119931603.01886743</v>
          </cell>
        </row>
        <row r="31">
          <cell r="A31">
            <v>210038</v>
          </cell>
          <cell r="B31" t="str">
            <v>UM-Midtown</v>
          </cell>
          <cell r="C31">
            <v>259893947.87238368</v>
          </cell>
          <cell r="D31">
            <v>0.53046466767408762</v>
          </cell>
          <cell r="E31">
            <v>137864556.68863067</v>
          </cell>
        </row>
        <row r="32">
          <cell r="A32">
            <v>210039</v>
          </cell>
          <cell r="B32" t="str">
            <v>Calvert</v>
          </cell>
          <cell r="C32">
            <v>173244367.97349474</v>
          </cell>
          <cell r="D32">
            <v>0.47389694382554715</v>
          </cell>
          <cell r="E32">
            <v>82099976.517627656</v>
          </cell>
        </row>
        <row r="33">
          <cell r="A33">
            <v>210040</v>
          </cell>
          <cell r="B33" t="str">
            <v>Northwest</v>
          </cell>
          <cell r="C33">
            <v>296783941.08329624</v>
          </cell>
          <cell r="D33">
            <v>0.52974842384115339</v>
          </cell>
          <cell r="E33">
            <v>157220825.01024193</v>
          </cell>
        </row>
        <row r="34">
          <cell r="A34">
            <v>210043</v>
          </cell>
          <cell r="B34" t="str">
            <v>UM-BWMC</v>
          </cell>
          <cell r="C34">
            <v>495962534.30975765</v>
          </cell>
          <cell r="D34">
            <v>0.65823511056923478</v>
          </cell>
          <cell r="E34">
            <v>326459953.60958123</v>
          </cell>
        </row>
        <row r="35">
          <cell r="A35">
            <v>210044</v>
          </cell>
          <cell r="B35" t="str">
            <v>GBMC</v>
          </cell>
          <cell r="C35">
            <v>475235322.40285361</v>
          </cell>
          <cell r="D35">
            <v>0.53635578187226518</v>
          </cell>
          <cell r="E35">
            <v>254895212.92070058</v>
          </cell>
        </row>
        <row r="36">
          <cell r="A36">
            <v>210048</v>
          </cell>
          <cell r="B36" t="str">
            <v>Howard County</v>
          </cell>
          <cell r="C36">
            <v>345192158.44903171</v>
          </cell>
          <cell r="D36">
            <v>0.62015235997734663</v>
          </cell>
          <cell r="E36">
            <v>214071731.70784119</v>
          </cell>
        </row>
        <row r="37">
          <cell r="A37">
            <v>210049</v>
          </cell>
          <cell r="B37" t="str">
            <v>UM-Upper Chesapeake</v>
          </cell>
          <cell r="C37">
            <v>359771686.28065044</v>
          </cell>
          <cell r="D37">
            <v>0.55903270431700569</v>
          </cell>
          <cell r="E37">
            <v>201124138.71816137</v>
          </cell>
        </row>
        <row r="38">
          <cell r="A38">
            <v>210051</v>
          </cell>
          <cell r="B38" t="str">
            <v>Doctors</v>
          </cell>
          <cell r="C38">
            <v>284623898.71129984</v>
          </cell>
          <cell r="D38">
            <v>0.6198417538007478</v>
          </cell>
          <cell r="E38">
            <v>176421776.5508185</v>
          </cell>
        </row>
        <row r="39">
          <cell r="A39">
            <v>210055</v>
          </cell>
          <cell r="B39" t="str">
            <v>UM-Laurel</v>
          </cell>
          <cell r="C39">
            <v>40123623.90449968</v>
          </cell>
          <cell r="D39">
            <v>0</v>
          </cell>
          <cell r="E39">
            <v>0</v>
          </cell>
        </row>
        <row r="40">
          <cell r="A40">
            <v>210056</v>
          </cell>
          <cell r="B40" t="str">
            <v>MedStar Good Sam</v>
          </cell>
          <cell r="C40">
            <v>302419601.44013321</v>
          </cell>
          <cell r="D40">
            <v>0.63321802896594959</v>
          </cell>
          <cell r="E40">
            <v>191497543.9445892</v>
          </cell>
        </row>
        <row r="41">
          <cell r="A41">
            <v>210057</v>
          </cell>
          <cell r="B41" t="str">
            <v>Shady Grove</v>
          </cell>
          <cell r="C41">
            <v>503223249.26444393</v>
          </cell>
          <cell r="D41">
            <v>0.63797607391099631</v>
          </cell>
          <cell r="E41">
            <v>321044392.86646461</v>
          </cell>
        </row>
        <row r="42">
          <cell r="A42">
            <v>210058</v>
          </cell>
          <cell r="B42" t="str">
            <v>UMROI</v>
          </cell>
          <cell r="C42">
            <v>135447342.40460068</v>
          </cell>
          <cell r="D42">
            <v>0.54781251048114799</v>
          </cell>
          <cell r="E42">
            <v>74199748.680663943</v>
          </cell>
        </row>
        <row r="43">
          <cell r="A43">
            <v>210060</v>
          </cell>
          <cell r="B43" t="str">
            <v>Ft Washington</v>
          </cell>
          <cell r="C43">
            <v>64203514.644460686</v>
          </cell>
          <cell r="D43">
            <v>0.49284713317118928</v>
          </cell>
          <cell r="E43">
            <v>31642518.132036917</v>
          </cell>
        </row>
        <row r="44">
          <cell r="A44">
            <v>210061</v>
          </cell>
          <cell r="B44" t="str">
            <v>Atlantic General</v>
          </cell>
          <cell r="C44">
            <v>122689621.17843871</v>
          </cell>
          <cell r="D44">
            <v>0.36977162754209147</v>
          </cell>
          <cell r="E44">
            <v>45367140.905673936</v>
          </cell>
        </row>
        <row r="45">
          <cell r="A45">
            <v>210062</v>
          </cell>
          <cell r="B45" t="str">
            <v>MedStar Southern MD</v>
          </cell>
          <cell r="C45">
            <v>309171742.64515758</v>
          </cell>
          <cell r="D45">
            <v>0.63549122723639873</v>
          </cell>
          <cell r="E45">
            <v>196475930.16038722</v>
          </cell>
        </row>
        <row r="46">
          <cell r="A46">
            <v>210063</v>
          </cell>
          <cell r="B46" t="str">
            <v>UM-St Joe</v>
          </cell>
          <cell r="C46">
            <v>448957803.14797795</v>
          </cell>
          <cell r="D46">
            <v>0.62424113153770433</v>
          </cell>
          <cell r="E46">
            <v>280257927.04977566</v>
          </cell>
        </row>
        <row r="47">
          <cell r="A47">
            <v>88</v>
          </cell>
          <cell r="B47" t="str">
            <v>UM-Queen Anne's ED</v>
          </cell>
          <cell r="C47">
            <v>9064960.5453168526</v>
          </cell>
          <cell r="D47">
            <v>0</v>
          </cell>
          <cell r="E47">
            <v>0</v>
          </cell>
        </row>
        <row r="48">
          <cell r="A48">
            <v>333</v>
          </cell>
          <cell r="B48" t="str">
            <v>UM-Bowie ED</v>
          </cell>
          <cell r="C48">
            <v>22439007.525360834</v>
          </cell>
          <cell r="D48">
            <v>0</v>
          </cell>
          <cell r="E48">
            <v>0</v>
          </cell>
        </row>
        <row r="49">
          <cell r="A49">
            <v>210064</v>
          </cell>
          <cell r="B49" t="str">
            <v>Levindale</v>
          </cell>
          <cell r="C49">
            <v>68694680.668564409</v>
          </cell>
          <cell r="D49">
            <v>0.96369749197230214</v>
          </cell>
          <cell r="E49">
            <v>66200891.472133711</v>
          </cell>
        </row>
        <row r="50">
          <cell r="A50">
            <v>8992</v>
          </cell>
          <cell r="B50" t="str">
            <v>UM-Shock Trauma</v>
          </cell>
          <cell r="C50">
            <v>256082765.69565946</v>
          </cell>
          <cell r="D50">
            <v>0.892972369081523</v>
          </cell>
          <cell r="E50">
            <v>228674833.9642016</v>
          </cell>
        </row>
        <row r="51">
          <cell r="A51">
            <v>210065</v>
          </cell>
          <cell r="B51" t="str">
            <v>HC Germantown</v>
          </cell>
          <cell r="C51">
            <v>136210072.20605242</v>
          </cell>
          <cell r="D51">
            <v>0.58301264966990574</v>
          </cell>
          <cell r="E51">
            <v>79412195.1085798</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GR"/>
      <sheetName val="RY 24 PAI Scale"/>
      <sheetName val="4.CY2021 Improve All Payers"/>
      <sheetName val="2. Disparity Gap "/>
      <sheetName val="PAI revenue adjustments"/>
    </sheetNames>
    <sheetDataSet>
      <sheetData sheetId="0"/>
      <sheetData sheetId="1">
        <row r="19">
          <cell r="B19">
            <v>-0.40539644249863949</v>
          </cell>
        </row>
        <row r="44">
          <cell r="B44">
            <v>-0.22889458729602963</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ver Sheet"/>
      <sheetName val="2.CY2021 Readmit Norms"/>
      <sheetName val="3.CY2018 Readmit Rates"/>
      <sheetName val="4.CY2022 Improve All Payers"/>
      <sheetName val="4a.CY2022 Improve Medicare FFS"/>
      <sheetName val="4b.CY2022 Improve Medicaid"/>
      <sheetName val="5.CY19 Readmit Rates"/>
      <sheetName val="6.CY20 Readmit Rates"/>
      <sheetName val="7.CY21 Readmit Rates"/>
      <sheetName val="8.  CY22 Readmit Attainment"/>
      <sheetName val="9. RY24 Revenue Scales"/>
      <sheetName val="10. RRIP Calculation Sheet"/>
      <sheetName val="Disclaimer"/>
    </sheetNames>
    <sheetDataSet>
      <sheetData sheetId="0"/>
      <sheetData sheetId="1"/>
      <sheetData sheetId="2"/>
      <sheetData sheetId="3">
        <row r="7">
          <cell r="A7">
            <v>210001</v>
          </cell>
          <cell r="B7" t="str">
            <v>Meritus</v>
          </cell>
          <cell r="C7">
            <v>13247</v>
          </cell>
          <cell r="D7">
            <v>1507</v>
          </cell>
          <cell r="E7">
            <v>0.1138</v>
          </cell>
          <cell r="F7">
            <v>1454.5834</v>
          </cell>
          <cell r="G7">
            <v>1.0360355000000001</v>
          </cell>
          <cell r="H7">
            <v>0.1179</v>
          </cell>
          <cell r="I7">
            <v>12153</v>
          </cell>
          <cell r="J7">
            <v>1456</v>
          </cell>
          <cell r="K7">
            <v>0.1198</v>
          </cell>
          <cell r="L7">
            <v>1375.76</v>
          </cell>
          <cell r="M7">
            <v>1.0583241000000001</v>
          </cell>
          <cell r="N7">
            <v>0.12039999999999999</v>
          </cell>
          <cell r="O7">
            <v>2.12E-2</v>
          </cell>
        </row>
        <row r="8">
          <cell r="A8">
            <v>210002</v>
          </cell>
          <cell r="B8" t="str">
            <v>UMMC</v>
          </cell>
          <cell r="C8">
            <v>22053</v>
          </cell>
          <cell r="D8">
            <v>3108</v>
          </cell>
          <cell r="E8">
            <v>0.1409</v>
          </cell>
          <cell r="F8">
            <v>2581.7831000000001</v>
          </cell>
          <cell r="G8">
            <v>1.2038192000000001</v>
          </cell>
          <cell r="H8">
            <v>0.13700000000000001</v>
          </cell>
          <cell r="I8">
            <v>18853</v>
          </cell>
          <cell r="J8">
            <v>2149</v>
          </cell>
          <cell r="K8">
            <v>0.114</v>
          </cell>
          <cell r="L8">
            <v>2274.8957999999998</v>
          </cell>
          <cell r="M8">
            <v>0.94465860000000001</v>
          </cell>
          <cell r="N8">
            <v>0.1075</v>
          </cell>
          <cell r="O8">
            <v>-0.21529999999999999</v>
          </cell>
        </row>
        <row r="9">
          <cell r="A9">
            <v>210003</v>
          </cell>
          <cell r="B9" t="str">
            <v>UM-Capital Region Medical Center</v>
          </cell>
          <cell r="C9">
            <v>10597</v>
          </cell>
          <cell r="D9">
            <v>1263</v>
          </cell>
          <cell r="E9">
            <v>0.1192</v>
          </cell>
          <cell r="F9">
            <v>1243.8676</v>
          </cell>
          <cell r="G9">
            <v>1.0153814000000001</v>
          </cell>
          <cell r="H9">
            <v>0.11559999999999999</v>
          </cell>
          <cell r="I9">
            <v>9008</v>
          </cell>
          <cell r="J9">
            <v>844</v>
          </cell>
          <cell r="K9">
            <v>9.3700000000000006E-2</v>
          </cell>
          <cell r="L9">
            <v>1025.9588000000001</v>
          </cell>
          <cell r="M9">
            <v>0.82264510000000002</v>
          </cell>
          <cell r="N9">
            <v>9.3600000000000003E-2</v>
          </cell>
          <cell r="O9">
            <v>-0.1903</v>
          </cell>
        </row>
        <row r="10">
          <cell r="A10">
            <v>210004</v>
          </cell>
          <cell r="B10" t="str">
            <v>Holy Cross</v>
          </cell>
          <cell r="C10">
            <v>23326</v>
          </cell>
          <cell r="D10">
            <v>1945</v>
          </cell>
          <cell r="E10">
            <v>8.3400000000000002E-2</v>
          </cell>
          <cell r="F10">
            <v>1817.2070000000001</v>
          </cell>
          <cell r="G10">
            <v>1.0703237999999999</v>
          </cell>
          <cell r="H10">
            <v>0.12180000000000001</v>
          </cell>
          <cell r="I10">
            <v>19578</v>
          </cell>
          <cell r="J10">
            <v>1473</v>
          </cell>
          <cell r="K10">
            <v>7.5200000000000003E-2</v>
          </cell>
          <cell r="L10">
            <v>1546.2127</v>
          </cell>
          <cell r="M10">
            <v>0.95265029999999995</v>
          </cell>
          <cell r="N10">
            <v>0.1084</v>
          </cell>
          <cell r="O10">
            <v>-0.11</v>
          </cell>
        </row>
        <row r="11">
          <cell r="A11">
            <v>210005</v>
          </cell>
          <cell r="B11" t="str">
            <v>Frederick</v>
          </cell>
          <cell r="C11">
            <v>14413</v>
          </cell>
          <cell r="D11">
            <v>1497</v>
          </cell>
          <cell r="E11">
            <v>0.10390000000000001</v>
          </cell>
          <cell r="F11">
            <v>1536.9349999999999</v>
          </cell>
          <cell r="G11">
            <v>0.97401649999999995</v>
          </cell>
          <cell r="H11">
            <v>0.1108</v>
          </cell>
          <cell r="I11">
            <v>12632</v>
          </cell>
          <cell r="J11">
            <v>1356</v>
          </cell>
          <cell r="K11">
            <v>0.10730000000000001</v>
          </cell>
          <cell r="L11">
            <v>1393.8179</v>
          </cell>
          <cell r="M11">
            <v>0.97286740000000005</v>
          </cell>
          <cell r="N11">
            <v>0.11070000000000001</v>
          </cell>
          <cell r="O11">
            <v>-8.9999999999999998E-4</v>
          </cell>
        </row>
        <row r="12">
          <cell r="A12">
            <v>210006</v>
          </cell>
          <cell r="B12" t="str">
            <v>UM-Harford</v>
          </cell>
          <cell r="C12">
            <v>3864</v>
          </cell>
          <cell r="D12">
            <v>532</v>
          </cell>
          <cell r="E12">
            <v>0.13769999999999999</v>
          </cell>
          <cell r="F12">
            <v>502.19202999999999</v>
          </cell>
          <cell r="G12">
            <v>1.0593557</v>
          </cell>
          <cell r="H12">
            <v>0.1206</v>
          </cell>
          <cell r="I12">
            <v>3283</v>
          </cell>
          <cell r="J12">
            <v>532</v>
          </cell>
          <cell r="K12">
            <v>0.16200000000000001</v>
          </cell>
          <cell r="L12">
            <v>460.14510999999999</v>
          </cell>
          <cell r="M12">
            <v>1.1561570000000001</v>
          </cell>
          <cell r="N12">
            <v>0.13159999999999999</v>
          </cell>
          <cell r="O12">
            <v>9.1200000000000003E-2</v>
          </cell>
        </row>
        <row r="13">
          <cell r="A13">
            <v>210008</v>
          </cell>
          <cell r="B13" t="str">
            <v>Mercy</v>
          </cell>
          <cell r="C13">
            <v>12687</v>
          </cell>
          <cell r="D13">
            <v>1158</v>
          </cell>
          <cell r="E13">
            <v>9.1300000000000006E-2</v>
          </cell>
          <cell r="F13">
            <v>1007.09</v>
          </cell>
          <cell r="G13">
            <v>1.1498474999999999</v>
          </cell>
          <cell r="H13">
            <v>0.13089999999999999</v>
          </cell>
          <cell r="I13">
            <v>7853</v>
          </cell>
          <cell r="J13">
            <v>666</v>
          </cell>
          <cell r="K13">
            <v>8.48E-2</v>
          </cell>
          <cell r="L13">
            <v>628.77250000000004</v>
          </cell>
          <cell r="M13">
            <v>1.0592066</v>
          </cell>
          <cell r="N13">
            <v>0.1205</v>
          </cell>
          <cell r="O13">
            <v>-7.9399999999999998E-2</v>
          </cell>
        </row>
        <row r="14">
          <cell r="A14">
            <v>210009</v>
          </cell>
          <cell r="B14" t="str">
            <v>Johns Hopkins</v>
          </cell>
          <cell r="C14">
            <v>36676</v>
          </cell>
          <cell r="D14">
            <v>5144</v>
          </cell>
          <cell r="E14">
            <v>0.14030000000000001</v>
          </cell>
          <cell r="F14">
            <v>4306.2161999999998</v>
          </cell>
          <cell r="G14">
            <v>1.1945522</v>
          </cell>
          <cell r="H14">
            <v>0.13589999999999999</v>
          </cell>
          <cell r="I14">
            <v>32443</v>
          </cell>
          <cell r="J14">
            <v>4183</v>
          </cell>
          <cell r="K14">
            <v>0.12889999999999999</v>
          </cell>
          <cell r="L14">
            <v>4105.3463000000002</v>
          </cell>
          <cell r="M14">
            <v>1.0189153</v>
          </cell>
          <cell r="N14">
            <v>0.11600000000000001</v>
          </cell>
          <cell r="O14">
            <v>-0.1464</v>
          </cell>
        </row>
        <row r="15">
          <cell r="A15">
            <v>210011</v>
          </cell>
          <cell r="B15" t="str">
            <v>Ascension Saint Agnes Hospital</v>
          </cell>
          <cell r="C15">
            <v>13253</v>
          </cell>
          <cell r="D15">
            <v>1583</v>
          </cell>
          <cell r="E15">
            <v>0.11940000000000001</v>
          </cell>
          <cell r="F15">
            <v>1450.5486000000001</v>
          </cell>
          <cell r="G15">
            <v>1.0913112</v>
          </cell>
          <cell r="H15">
            <v>0.1242</v>
          </cell>
          <cell r="I15">
            <v>9033</v>
          </cell>
          <cell r="J15">
            <v>1124</v>
          </cell>
          <cell r="K15">
            <v>0.1244</v>
          </cell>
          <cell r="L15">
            <v>1053.7482</v>
          </cell>
          <cell r="M15">
            <v>1.0666685</v>
          </cell>
          <cell r="N15">
            <v>0.12139999999999999</v>
          </cell>
          <cell r="O15">
            <v>-2.2499999999999999E-2</v>
          </cell>
        </row>
        <row r="16">
          <cell r="A16">
            <v>210012</v>
          </cell>
          <cell r="B16" t="str">
            <v>Sinai</v>
          </cell>
          <cell r="C16">
            <v>13844</v>
          </cell>
          <cell r="D16">
            <v>1643</v>
          </cell>
          <cell r="E16">
            <v>0.1187</v>
          </cell>
          <cell r="F16">
            <v>1535.9554000000001</v>
          </cell>
          <cell r="G16">
            <v>1.0696924999999999</v>
          </cell>
          <cell r="H16">
            <v>0.1217</v>
          </cell>
          <cell r="I16">
            <v>12423</v>
          </cell>
          <cell r="J16">
            <v>1499</v>
          </cell>
          <cell r="K16">
            <v>0.1207</v>
          </cell>
          <cell r="L16">
            <v>1532.5916999999999</v>
          </cell>
          <cell r="M16">
            <v>0.9780818</v>
          </cell>
          <cell r="N16">
            <v>0.1113</v>
          </cell>
          <cell r="O16">
            <v>-8.5500000000000007E-2</v>
          </cell>
        </row>
        <row r="17">
          <cell r="A17">
            <v>210015</v>
          </cell>
          <cell r="B17" t="str">
            <v>MedStar Fr Square</v>
          </cell>
          <cell r="C17">
            <v>19167</v>
          </cell>
          <cell r="D17">
            <v>2625</v>
          </cell>
          <cell r="E17">
            <v>0.13700000000000001</v>
          </cell>
          <cell r="F17">
            <v>2135.9551000000001</v>
          </cell>
          <cell r="G17">
            <v>1.2289584</v>
          </cell>
          <cell r="H17">
            <v>0.1399</v>
          </cell>
          <cell r="I17">
            <v>14490</v>
          </cell>
          <cell r="J17">
            <v>1731</v>
          </cell>
          <cell r="K17">
            <v>0.1195</v>
          </cell>
          <cell r="L17">
            <v>1771.1939</v>
          </cell>
          <cell r="M17">
            <v>0.97730689999999998</v>
          </cell>
          <cell r="N17">
            <v>0.11119999999999999</v>
          </cell>
          <cell r="O17">
            <v>-0.2051</v>
          </cell>
        </row>
        <row r="18">
          <cell r="A18">
            <v>210016</v>
          </cell>
          <cell r="B18" t="str">
            <v>Adventist White Oak</v>
          </cell>
          <cell r="C18">
            <v>8822</v>
          </cell>
          <cell r="D18">
            <v>861</v>
          </cell>
          <cell r="E18">
            <v>9.7600000000000006E-2</v>
          </cell>
          <cell r="F18">
            <v>883.65971999999999</v>
          </cell>
          <cell r="G18">
            <v>0.97435700000000003</v>
          </cell>
          <cell r="H18">
            <v>0.1109</v>
          </cell>
          <cell r="I18">
            <v>8342</v>
          </cell>
          <cell r="J18">
            <v>843</v>
          </cell>
          <cell r="K18">
            <v>0.1011</v>
          </cell>
          <cell r="L18">
            <v>888.37208999999996</v>
          </cell>
          <cell r="M18">
            <v>0.94892670000000001</v>
          </cell>
          <cell r="N18">
            <v>0.108</v>
          </cell>
          <cell r="O18">
            <v>-2.6100000000000002E-2</v>
          </cell>
        </row>
        <row r="19">
          <cell r="A19">
            <v>210017</v>
          </cell>
          <cell r="B19" t="str">
            <v>Garrett</v>
          </cell>
          <cell r="C19">
            <v>1869</v>
          </cell>
          <cell r="D19">
            <v>127</v>
          </cell>
          <cell r="E19">
            <v>6.8000000000000005E-2</v>
          </cell>
          <cell r="F19">
            <v>198.00970000000001</v>
          </cell>
          <cell r="G19">
            <v>0.64138269999999997</v>
          </cell>
          <cell r="H19">
            <v>7.2999999999999995E-2</v>
          </cell>
          <cell r="I19">
            <v>1338</v>
          </cell>
          <cell r="J19">
            <v>72</v>
          </cell>
          <cell r="K19">
            <v>5.3800000000000001E-2</v>
          </cell>
          <cell r="L19">
            <v>151.44839999999999</v>
          </cell>
          <cell r="M19">
            <v>0.47540949999999998</v>
          </cell>
          <cell r="N19">
            <v>5.4100000000000002E-2</v>
          </cell>
          <cell r="O19">
            <v>-0.25890000000000002</v>
          </cell>
        </row>
        <row r="20">
          <cell r="A20">
            <v>210018</v>
          </cell>
          <cell r="B20" t="str">
            <v>MedStar Montgomery</v>
          </cell>
          <cell r="C20">
            <v>6028</v>
          </cell>
          <cell r="D20">
            <v>740</v>
          </cell>
          <cell r="E20">
            <v>0.12280000000000001</v>
          </cell>
          <cell r="F20">
            <v>679.54204000000004</v>
          </cell>
          <cell r="G20">
            <v>1.0889686999999999</v>
          </cell>
          <cell r="H20">
            <v>0.1239</v>
          </cell>
          <cell r="I20">
            <v>4634</v>
          </cell>
          <cell r="J20">
            <v>563</v>
          </cell>
          <cell r="K20">
            <v>0.1215</v>
          </cell>
          <cell r="L20">
            <v>585.74613999999997</v>
          </cell>
          <cell r="M20">
            <v>0.9611672</v>
          </cell>
          <cell r="N20">
            <v>0.1094</v>
          </cell>
          <cell r="O20">
            <v>-0.11700000000000001</v>
          </cell>
        </row>
        <row r="21">
          <cell r="A21">
            <v>210019</v>
          </cell>
          <cell r="B21" t="str">
            <v>Peninsula</v>
          </cell>
          <cell r="C21">
            <v>14510</v>
          </cell>
          <cell r="D21">
            <v>1573</v>
          </cell>
          <cell r="E21">
            <v>0.1084</v>
          </cell>
          <cell r="F21">
            <v>1586.0083999999999</v>
          </cell>
          <cell r="G21">
            <v>0.99179799999999996</v>
          </cell>
          <cell r="H21">
            <v>0.1129</v>
          </cell>
          <cell r="I21">
            <v>13216</v>
          </cell>
          <cell r="J21">
            <v>1422</v>
          </cell>
          <cell r="K21">
            <v>0.1076</v>
          </cell>
          <cell r="L21">
            <v>1507.4702</v>
          </cell>
          <cell r="M21">
            <v>0.94330219999999998</v>
          </cell>
          <cell r="N21">
            <v>0.1074</v>
          </cell>
          <cell r="O21">
            <v>-4.87E-2</v>
          </cell>
        </row>
        <row r="22">
          <cell r="A22">
            <v>210022</v>
          </cell>
          <cell r="B22" t="str">
            <v>Suburban</v>
          </cell>
          <cell r="C22">
            <v>12511</v>
          </cell>
          <cell r="D22">
            <v>1457</v>
          </cell>
          <cell r="E22">
            <v>0.11650000000000001</v>
          </cell>
          <cell r="F22">
            <v>1400.0364999999999</v>
          </cell>
          <cell r="G22">
            <v>1.0406872</v>
          </cell>
          <cell r="H22">
            <v>0.11840000000000001</v>
          </cell>
          <cell r="I22">
            <v>9368</v>
          </cell>
          <cell r="J22">
            <v>1090</v>
          </cell>
          <cell r="K22">
            <v>0.1164</v>
          </cell>
          <cell r="L22">
            <v>1228.5935999999999</v>
          </cell>
          <cell r="M22">
            <v>0.88719329999999996</v>
          </cell>
          <cell r="N22">
            <v>0.10100000000000001</v>
          </cell>
          <cell r="O22">
            <v>-0.14699999999999999</v>
          </cell>
        </row>
        <row r="23">
          <cell r="A23">
            <v>210023</v>
          </cell>
          <cell r="B23" t="str">
            <v>Anne Arundel</v>
          </cell>
          <cell r="C23">
            <v>22830</v>
          </cell>
          <cell r="D23">
            <v>2092</v>
          </cell>
          <cell r="E23">
            <v>9.1600000000000001E-2</v>
          </cell>
          <cell r="F23">
            <v>1987.3287</v>
          </cell>
          <cell r="G23">
            <v>1.0526693</v>
          </cell>
          <cell r="H23">
            <v>0.1198</v>
          </cell>
          <cell r="I23">
            <v>20853</v>
          </cell>
          <cell r="J23">
            <v>2033</v>
          </cell>
          <cell r="K23">
            <v>9.7500000000000003E-2</v>
          </cell>
          <cell r="L23">
            <v>1967.1808000000001</v>
          </cell>
          <cell r="M23">
            <v>1.0334585999999999</v>
          </cell>
          <cell r="N23">
            <v>0.1176</v>
          </cell>
          <cell r="O23">
            <v>-1.84E-2</v>
          </cell>
        </row>
        <row r="24">
          <cell r="A24">
            <v>210024</v>
          </cell>
          <cell r="B24" t="str">
            <v>MedStar Union Mem</v>
          </cell>
          <cell r="C24">
            <v>9602</v>
          </cell>
          <cell r="D24">
            <v>1197</v>
          </cell>
          <cell r="E24">
            <v>0.12470000000000001</v>
          </cell>
          <cell r="F24">
            <v>1065.7047</v>
          </cell>
          <cell r="G24">
            <v>1.1232004</v>
          </cell>
          <cell r="H24">
            <v>0.1278</v>
          </cell>
          <cell r="I24">
            <v>7645</v>
          </cell>
          <cell r="J24">
            <v>1096</v>
          </cell>
          <cell r="K24">
            <v>0.1434</v>
          </cell>
          <cell r="L24">
            <v>1024.5019</v>
          </cell>
          <cell r="M24">
            <v>1.0697882000000001</v>
          </cell>
          <cell r="N24">
            <v>0.1217</v>
          </cell>
          <cell r="O24">
            <v>-4.7699999999999999E-2</v>
          </cell>
        </row>
        <row r="25">
          <cell r="A25">
            <v>210027</v>
          </cell>
          <cell r="B25" t="str">
            <v>Western Maryland</v>
          </cell>
          <cell r="C25">
            <v>9759</v>
          </cell>
          <cell r="D25">
            <v>1146</v>
          </cell>
          <cell r="E25">
            <v>0.1174</v>
          </cell>
          <cell r="F25">
            <v>1145.4095</v>
          </cell>
          <cell r="G25">
            <v>1.0005154999999999</v>
          </cell>
          <cell r="H25">
            <v>0.1139</v>
          </cell>
          <cell r="I25">
            <v>7550</v>
          </cell>
          <cell r="J25">
            <v>876</v>
          </cell>
          <cell r="K25">
            <v>0.11600000000000001</v>
          </cell>
          <cell r="L25">
            <v>959.29274999999996</v>
          </cell>
          <cell r="M25">
            <v>0.91317280000000001</v>
          </cell>
          <cell r="N25">
            <v>0.10390000000000001</v>
          </cell>
          <cell r="O25">
            <v>-8.7800000000000003E-2</v>
          </cell>
        </row>
        <row r="26">
          <cell r="A26">
            <v>210028</v>
          </cell>
          <cell r="B26" t="str">
            <v>MedStar St. Mary's</v>
          </cell>
          <cell r="C26">
            <v>5969</v>
          </cell>
          <cell r="D26">
            <v>610</v>
          </cell>
          <cell r="E26">
            <v>0.1022</v>
          </cell>
          <cell r="F26">
            <v>587.89354000000003</v>
          </cell>
          <cell r="G26">
            <v>1.0376027999999999</v>
          </cell>
          <cell r="H26">
            <v>0.1181</v>
          </cell>
          <cell r="I26">
            <v>6046</v>
          </cell>
          <cell r="J26">
            <v>689</v>
          </cell>
          <cell r="K26">
            <v>0.114</v>
          </cell>
          <cell r="L26">
            <v>671.39277000000004</v>
          </cell>
          <cell r="M26">
            <v>1.0262249000000001</v>
          </cell>
          <cell r="N26">
            <v>0.1168</v>
          </cell>
          <cell r="O26">
            <v>-1.0999999999999999E-2</v>
          </cell>
        </row>
        <row r="27">
          <cell r="A27">
            <v>210029</v>
          </cell>
          <cell r="B27" t="str">
            <v>JH Bayview</v>
          </cell>
          <cell r="C27">
            <v>16220</v>
          </cell>
          <cell r="D27">
            <v>2337</v>
          </cell>
          <cell r="E27">
            <v>0.14410000000000001</v>
          </cell>
          <cell r="F27">
            <v>1808.2040999999999</v>
          </cell>
          <cell r="G27">
            <v>1.2924426</v>
          </cell>
          <cell r="H27">
            <v>0.14710000000000001</v>
          </cell>
          <cell r="I27">
            <v>12646</v>
          </cell>
          <cell r="J27">
            <v>1620</v>
          </cell>
          <cell r="K27">
            <v>0.12809999999999999</v>
          </cell>
          <cell r="L27">
            <v>1527.1113</v>
          </cell>
          <cell r="M27">
            <v>1.0608264000000001</v>
          </cell>
          <cell r="N27">
            <v>0.1207</v>
          </cell>
          <cell r="O27">
            <v>-0.17949999999999999</v>
          </cell>
        </row>
        <row r="28">
          <cell r="A28">
            <v>210030</v>
          </cell>
          <cell r="B28" t="str">
            <v>UM-Chestertown</v>
          </cell>
          <cell r="C28">
            <v>837</v>
          </cell>
          <cell r="D28">
            <v>72</v>
          </cell>
          <cell r="E28">
            <v>8.5999999999999993E-2</v>
          </cell>
          <cell r="F28">
            <v>109.01751</v>
          </cell>
          <cell r="G28">
            <v>0.66044429999999998</v>
          </cell>
          <cell r="H28">
            <v>7.5200000000000003E-2</v>
          </cell>
          <cell r="I28">
            <v>234</v>
          </cell>
          <cell r="J28">
            <v>18</v>
          </cell>
          <cell r="K28">
            <v>7.6899999999999996E-2</v>
          </cell>
          <cell r="L28">
            <v>35.399855000000002</v>
          </cell>
          <cell r="M28">
            <v>0.5084767</v>
          </cell>
          <cell r="N28">
            <v>5.79E-2</v>
          </cell>
          <cell r="O28">
            <v>-0.2301</v>
          </cell>
        </row>
        <row r="29">
          <cell r="A29">
            <v>210032</v>
          </cell>
          <cell r="B29" t="str">
            <v>ChristianaCare, Union</v>
          </cell>
          <cell r="C29">
            <v>4597</v>
          </cell>
          <cell r="D29">
            <v>504</v>
          </cell>
          <cell r="E29">
            <v>0.1096</v>
          </cell>
          <cell r="F29">
            <v>518.31599000000006</v>
          </cell>
          <cell r="G29">
            <v>0.97237980000000002</v>
          </cell>
          <cell r="H29">
            <v>0.11070000000000001</v>
          </cell>
          <cell r="I29">
            <v>5489</v>
          </cell>
          <cell r="J29">
            <v>744</v>
          </cell>
          <cell r="K29">
            <v>0.13550000000000001</v>
          </cell>
          <cell r="L29">
            <v>696.63685999999996</v>
          </cell>
          <cell r="M29">
            <v>1.0679882999999999</v>
          </cell>
          <cell r="N29">
            <v>0.1215</v>
          </cell>
          <cell r="O29">
            <v>9.7600000000000006E-2</v>
          </cell>
        </row>
        <row r="30">
          <cell r="A30">
            <v>210033</v>
          </cell>
          <cell r="B30" t="str">
            <v>Carroll</v>
          </cell>
          <cell r="C30">
            <v>9379</v>
          </cell>
          <cell r="D30">
            <v>1131</v>
          </cell>
          <cell r="E30">
            <v>0.1206</v>
          </cell>
          <cell r="F30">
            <v>1036.9606000000001</v>
          </cell>
          <cell r="G30">
            <v>1.0906875</v>
          </cell>
          <cell r="H30">
            <v>0.1241</v>
          </cell>
          <cell r="I30">
            <v>8059</v>
          </cell>
          <cell r="J30">
            <v>996</v>
          </cell>
          <cell r="K30">
            <v>0.1236</v>
          </cell>
          <cell r="L30">
            <v>1003.5898</v>
          </cell>
          <cell r="M30">
            <v>0.99243729999999997</v>
          </cell>
          <cell r="N30">
            <v>0.1129</v>
          </cell>
          <cell r="O30">
            <v>-9.0200000000000002E-2</v>
          </cell>
        </row>
        <row r="31">
          <cell r="A31">
            <v>210034</v>
          </cell>
          <cell r="B31" t="str">
            <v>MedStar Harbor</v>
          </cell>
          <cell r="C31">
            <v>6552</v>
          </cell>
          <cell r="D31">
            <v>935</v>
          </cell>
          <cell r="E31">
            <v>0.14269999999999999</v>
          </cell>
          <cell r="F31">
            <v>714.57533999999998</v>
          </cell>
          <cell r="G31">
            <v>1.3084695</v>
          </cell>
          <cell r="H31">
            <v>0.1489</v>
          </cell>
          <cell r="I31">
            <v>5633</v>
          </cell>
          <cell r="J31">
            <v>773</v>
          </cell>
          <cell r="K31">
            <v>0.13719999999999999</v>
          </cell>
          <cell r="L31">
            <v>703.48494000000005</v>
          </cell>
          <cell r="M31">
            <v>1.0988153000000001</v>
          </cell>
          <cell r="N31">
            <v>0.125</v>
          </cell>
          <cell r="O31">
            <v>-0.1605</v>
          </cell>
        </row>
        <row r="32">
          <cell r="A32">
            <v>210035</v>
          </cell>
          <cell r="B32" t="str">
            <v>UM-Charles Regional</v>
          </cell>
          <cell r="C32">
            <v>5736</v>
          </cell>
          <cell r="D32">
            <v>640</v>
          </cell>
          <cell r="E32">
            <v>0.1116</v>
          </cell>
          <cell r="F32">
            <v>676.47239999999999</v>
          </cell>
          <cell r="G32">
            <v>0.94608440000000005</v>
          </cell>
          <cell r="H32">
            <v>0.1077</v>
          </cell>
          <cell r="I32">
            <v>4710</v>
          </cell>
          <cell r="J32">
            <v>517</v>
          </cell>
          <cell r="K32">
            <v>0.10979999999999999</v>
          </cell>
          <cell r="L32">
            <v>598.78417000000002</v>
          </cell>
          <cell r="M32">
            <v>0.86341630000000003</v>
          </cell>
          <cell r="N32">
            <v>9.8299999999999998E-2</v>
          </cell>
          <cell r="O32">
            <v>-8.7300000000000003E-2</v>
          </cell>
        </row>
        <row r="33">
          <cell r="A33">
            <v>210037</v>
          </cell>
          <cell r="B33" t="str">
            <v>UM-Easton</v>
          </cell>
          <cell r="C33">
            <v>5602</v>
          </cell>
          <cell r="D33">
            <v>461</v>
          </cell>
          <cell r="E33">
            <v>8.2299999999999998E-2</v>
          </cell>
          <cell r="F33">
            <v>562.09140000000002</v>
          </cell>
          <cell r="G33">
            <v>0.82015130000000003</v>
          </cell>
          <cell r="H33">
            <v>9.3299999999999994E-2</v>
          </cell>
          <cell r="I33">
            <v>4541</v>
          </cell>
          <cell r="J33">
            <v>435</v>
          </cell>
          <cell r="K33">
            <v>9.5799999999999996E-2</v>
          </cell>
          <cell r="L33">
            <v>550.01430000000005</v>
          </cell>
          <cell r="M33">
            <v>0.79088849999999999</v>
          </cell>
          <cell r="N33">
            <v>0.09</v>
          </cell>
          <cell r="O33">
            <v>-3.5400000000000001E-2</v>
          </cell>
        </row>
        <row r="34">
          <cell r="A34">
            <v>210038</v>
          </cell>
          <cell r="B34" t="str">
            <v>UMMC Midtown</v>
          </cell>
          <cell r="C34">
            <v>3643</v>
          </cell>
          <cell r="D34">
            <v>693</v>
          </cell>
          <cell r="E34">
            <v>0.19020000000000001</v>
          </cell>
          <cell r="F34">
            <v>521.17666999999994</v>
          </cell>
          <cell r="G34">
            <v>1.3296835</v>
          </cell>
          <cell r="H34">
            <v>0.15129999999999999</v>
          </cell>
          <cell r="I34">
            <v>3332</v>
          </cell>
          <cell r="J34">
            <v>537</v>
          </cell>
          <cell r="K34">
            <v>0.16120000000000001</v>
          </cell>
          <cell r="L34">
            <v>518.75818000000004</v>
          </cell>
          <cell r="M34">
            <v>1.0351644</v>
          </cell>
          <cell r="N34">
            <v>0.1178</v>
          </cell>
          <cell r="O34">
            <v>-0.22140000000000001</v>
          </cell>
        </row>
        <row r="35">
          <cell r="A35">
            <v>210039</v>
          </cell>
          <cell r="B35" t="str">
            <v>Calvert</v>
          </cell>
          <cell r="C35">
            <v>5045</v>
          </cell>
          <cell r="D35">
            <v>535</v>
          </cell>
          <cell r="E35">
            <v>0.106</v>
          </cell>
          <cell r="F35">
            <v>564.29602</v>
          </cell>
          <cell r="G35">
            <v>0.94808389999999998</v>
          </cell>
          <cell r="H35">
            <v>0.1079</v>
          </cell>
          <cell r="I35">
            <v>4656</v>
          </cell>
          <cell r="J35">
            <v>477</v>
          </cell>
          <cell r="K35">
            <v>0.1024</v>
          </cell>
          <cell r="L35">
            <v>554.16336999999999</v>
          </cell>
          <cell r="M35">
            <v>0.86075699999999999</v>
          </cell>
          <cell r="N35">
            <v>9.8000000000000004E-2</v>
          </cell>
          <cell r="O35">
            <v>-9.1800000000000007E-2</v>
          </cell>
        </row>
        <row r="36">
          <cell r="A36">
            <v>210040</v>
          </cell>
          <cell r="B36" t="str">
            <v>Northwest</v>
          </cell>
          <cell r="C36">
            <v>9080</v>
          </cell>
          <cell r="D36">
            <v>1280</v>
          </cell>
          <cell r="E36">
            <v>0.14099999999999999</v>
          </cell>
          <cell r="F36">
            <v>1207.1102000000001</v>
          </cell>
          <cell r="G36">
            <v>1.0603837</v>
          </cell>
          <cell r="H36">
            <v>0.1207</v>
          </cell>
          <cell r="I36">
            <v>6584</v>
          </cell>
          <cell r="J36">
            <v>1034</v>
          </cell>
          <cell r="K36">
            <v>0.157</v>
          </cell>
          <cell r="L36">
            <v>986.97523999999999</v>
          </cell>
          <cell r="M36">
            <v>1.0476452999999999</v>
          </cell>
          <cell r="N36">
            <v>0.1192</v>
          </cell>
          <cell r="O36">
            <v>-1.24E-2</v>
          </cell>
        </row>
        <row r="37">
          <cell r="A37">
            <v>210043</v>
          </cell>
          <cell r="B37" t="str">
            <v>UM-BWMC</v>
          </cell>
          <cell r="C37">
            <v>14412</v>
          </cell>
          <cell r="D37">
            <v>1891</v>
          </cell>
          <cell r="E37">
            <v>0.13120000000000001</v>
          </cell>
          <cell r="F37">
            <v>1754.8873000000001</v>
          </cell>
          <cell r="G37">
            <v>1.0775621</v>
          </cell>
          <cell r="H37">
            <v>0.1226</v>
          </cell>
          <cell r="I37">
            <v>13793</v>
          </cell>
          <cell r="J37">
            <v>1652</v>
          </cell>
          <cell r="K37">
            <v>0.1198</v>
          </cell>
          <cell r="L37">
            <v>1692.413</v>
          </cell>
          <cell r="M37">
            <v>0.97612109999999996</v>
          </cell>
          <cell r="N37">
            <v>0.1111</v>
          </cell>
          <cell r="O37">
            <v>-9.3799999999999994E-2</v>
          </cell>
        </row>
        <row r="38">
          <cell r="A38">
            <v>210044</v>
          </cell>
          <cell r="B38" t="str">
            <v>GBMC</v>
          </cell>
          <cell r="C38">
            <v>16277</v>
          </cell>
          <cell r="D38">
            <v>1362</v>
          </cell>
          <cell r="E38">
            <v>8.3699999999999997E-2</v>
          </cell>
          <cell r="F38">
            <v>1401.9722999999999</v>
          </cell>
          <cell r="G38">
            <v>0.97148849999999998</v>
          </cell>
          <cell r="H38">
            <v>0.1106</v>
          </cell>
          <cell r="I38">
            <v>12569</v>
          </cell>
          <cell r="J38">
            <v>1055</v>
          </cell>
          <cell r="K38">
            <v>8.3900000000000002E-2</v>
          </cell>
          <cell r="L38">
            <v>1143.2646</v>
          </cell>
          <cell r="M38">
            <v>0.92279599999999995</v>
          </cell>
          <cell r="N38">
            <v>0.105</v>
          </cell>
          <cell r="O38">
            <v>-5.0599999999999999E-2</v>
          </cell>
        </row>
        <row r="39">
          <cell r="A39">
            <v>210048</v>
          </cell>
          <cell r="B39" t="str">
            <v>Howard County</v>
          </cell>
          <cell r="C39">
            <v>13168</v>
          </cell>
          <cell r="D39">
            <v>1354</v>
          </cell>
          <cell r="E39">
            <v>0.1028</v>
          </cell>
          <cell r="F39">
            <v>1322.2683</v>
          </cell>
          <cell r="G39">
            <v>1.0239978999999999</v>
          </cell>
          <cell r="H39">
            <v>0.11650000000000001</v>
          </cell>
          <cell r="I39">
            <v>12598</v>
          </cell>
          <cell r="J39">
            <v>1551</v>
          </cell>
          <cell r="K39">
            <v>0.1231</v>
          </cell>
          <cell r="L39">
            <v>1396.5337</v>
          </cell>
          <cell r="M39">
            <v>1.1106069000000001</v>
          </cell>
          <cell r="N39">
            <v>0.12640000000000001</v>
          </cell>
          <cell r="O39">
            <v>8.5000000000000006E-2</v>
          </cell>
        </row>
        <row r="40">
          <cell r="A40">
            <v>210049</v>
          </cell>
          <cell r="B40" t="str">
            <v>UM-Upper Chesapeake</v>
          </cell>
          <cell r="C40">
            <v>9530</v>
          </cell>
          <cell r="D40">
            <v>1120</v>
          </cell>
          <cell r="E40">
            <v>0.11749999999999999</v>
          </cell>
          <cell r="F40">
            <v>1053.2547</v>
          </cell>
          <cell r="G40">
            <v>1.0633705</v>
          </cell>
          <cell r="H40">
            <v>0.121</v>
          </cell>
          <cell r="I40">
            <v>9824</v>
          </cell>
          <cell r="J40">
            <v>1237</v>
          </cell>
          <cell r="K40">
            <v>0.12590000000000001</v>
          </cell>
          <cell r="L40">
            <v>1191.3706</v>
          </cell>
          <cell r="M40">
            <v>1.0382998999999999</v>
          </cell>
          <cell r="N40">
            <v>0.1182</v>
          </cell>
          <cell r="O40">
            <v>-2.3099999999999999E-2</v>
          </cell>
        </row>
        <row r="41">
          <cell r="A41">
            <v>210051</v>
          </cell>
          <cell r="B41" t="str">
            <v>Doctors</v>
          </cell>
          <cell r="C41">
            <v>9002</v>
          </cell>
          <cell r="D41">
            <v>1076</v>
          </cell>
          <cell r="E41">
            <v>0.1195</v>
          </cell>
          <cell r="F41">
            <v>1177.8839</v>
          </cell>
          <cell r="G41">
            <v>0.91350260000000005</v>
          </cell>
          <cell r="H41">
            <v>0.104</v>
          </cell>
          <cell r="I41">
            <v>7896</v>
          </cell>
          <cell r="J41">
            <v>913</v>
          </cell>
          <cell r="K41">
            <v>0.11559999999999999</v>
          </cell>
          <cell r="L41">
            <v>1109.6947</v>
          </cell>
          <cell r="M41">
            <v>0.82274879999999995</v>
          </cell>
          <cell r="N41">
            <v>9.3600000000000003E-2</v>
          </cell>
          <cell r="O41">
            <v>-0.1</v>
          </cell>
        </row>
        <row r="42">
          <cell r="A42">
            <v>210056</v>
          </cell>
          <cell r="B42" t="str">
            <v>MedStar Good Sam</v>
          </cell>
          <cell r="C42">
            <v>6361</v>
          </cell>
          <cell r="D42">
            <v>1149</v>
          </cell>
          <cell r="E42">
            <v>0.18060000000000001</v>
          </cell>
          <cell r="F42">
            <v>898.87597000000005</v>
          </cell>
          <cell r="G42">
            <v>1.2782631</v>
          </cell>
          <cell r="H42">
            <v>0.14549999999999999</v>
          </cell>
          <cell r="I42">
            <v>5824</v>
          </cell>
          <cell r="J42">
            <v>1133</v>
          </cell>
          <cell r="K42">
            <v>0.19450000000000001</v>
          </cell>
          <cell r="L42">
            <v>902.59811000000002</v>
          </cell>
          <cell r="M42">
            <v>1.2552652</v>
          </cell>
          <cell r="N42">
            <v>0.1429</v>
          </cell>
          <cell r="O42">
            <v>-1.7899999999999999E-2</v>
          </cell>
        </row>
        <row r="43">
          <cell r="A43">
            <v>210057</v>
          </cell>
          <cell r="B43" t="str">
            <v>Shady Grove</v>
          </cell>
          <cell r="C43">
            <v>17728</v>
          </cell>
          <cell r="D43">
            <v>1555</v>
          </cell>
          <cell r="E43">
            <v>8.77E-2</v>
          </cell>
          <cell r="F43">
            <v>1603.7215000000001</v>
          </cell>
          <cell r="G43">
            <v>0.96961969999999997</v>
          </cell>
          <cell r="H43">
            <v>0.1103</v>
          </cell>
          <cell r="I43">
            <v>14643</v>
          </cell>
          <cell r="J43">
            <v>1143</v>
          </cell>
          <cell r="K43">
            <v>7.8100000000000003E-2</v>
          </cell>
          <cell r="L43">
            <v>1334.8177000000001</v>
          </cell>
          <cell r="M43">
            <v>0.85629670000000002</v>
          </cell>
          <cell r="N43">
            <v>9.74E-2</v>
          </cell>
          <cell r="O43">
            <v>-0.11700000000000001</v>
          </cell>
        </row>
        <row r="44">
          <cell r="A44">
            <v>210058</v>
          </cell>
          <cell r="B44" t="str">
            <v>UMROI</v>
          </cell>
          <cell r="C44">
            <v>478</v>
          </cell>
          <cell r="D44">
            <v>25</v>
          </cell>
          <cell r="E44">
            <v>5.2299999999999999E-2</v>
          </cell>
          <cell r="F44">
            <v>34.049379000000002</v>
          </cell>
          <cell r="G44">
            <v>0.73422779999999999</v>
          </cell>
          <cell r="H44">
            <v>8.3599999999999994E-2</v>
          </cell>
          <cell r="I44">
            <v>240</v>
          </cell>
          <cell r="J44">
            <v>27</v>
          </cell>
          <cell r="K44">
            <v>0.1125</v>
          </cell>
          <cell r="L44">
            <v>29.080373999999999</v>
          </cell>
          <cell r="M44">
            <v>0.92846119999999999</v>
          </cell>
          <cell r="N44">
            <v>0.1057</v>
          </cell>
          <cell r="O44">
            <v>0.26440000000000002</v>
          </cell>
        </row>
        <row r="45">
          <cell r="A45">
            <v>210060</v>
          </cell>
          <cell r="B45" t="str">
            <v>Ft. Washington</v>
          </cell>
          <cell r="C45">
            <v>1934</v>
          </cell>
          <cell r="D45">
            <v>203</v>
          </cell>
          <cell r="E45">
            <v>0.105</v>
          </cell>
          <cell r="F45">
            <v>249.48822000000001</v>
          </cell>
          <cell r="G45">
            <v>0.81366570000000005</v>
          </cell>
          <cell r="H45">
            <v>9.2600000000000002E-2</v>
          </cell>
          <cell r="I45">
            <v>1729</v>
          </cell>
          <cell r="J45">
            <v>182</v>
          </cell>
          <cell r="K45">
            <v>0.1053</v>
          </cell>
          <cell r="L45">
            <v>226.00085000000001</v>
          </cell>
          <cell r="M45">
            <v>0.80530670000000004</v>
          </cell>
          <cell r="N45">
            <v>9.1600000000000001E-2</v>
          </cell>
          <cell r="O45">
            <v>-1.0800000000000001E-2</v>
          </cell>
        </row>
        <row r="46">
          <cell r="A46">
            <v>210061</v>
          </cell>
          <cell r="B46" t="str">
            <v>Atlantic General</v>
          </cell>
          <cell r="C46">
            <v>2754</v>
          </cell>
          <cell r="D46">
            <v>295</v>
          </cell>
          <cell r="E46">
            <v>0.1071</v>
          </cell>
          <cell r="F46">
            <v>339.3109</v>
          </cell>
          <cell r="G46">
            <v>0.86940910000000005</v>
          </cell>
          <cell r="H46">
            <v>9.8900000000000002E-2</v>
          </cell>
          <cell r="I46">
            <v>2142</v>
          </cell>
          <cell r="J46">
            <v>239</v>
          </cell>
          <cell r="K46">
            <v>0.1116</v>
          </cell>
          <cell r="L46">
            <v>283.54685000000001</v>
          </cell>
          <cell r="M46">
            <v>0.84289420000000004</v>
          </cell>
          <cell r="N46">
            <v>9.5899999999999999E-2</v>
          </cell>
          <cell r="O46">
            <v>-3.0300000000000001E-2</v>
          </cell>
        </row>
        <row r="47">
          <cell r="A47">
            <v>210062</v>
          </cell>
          <cell r="B47" t="str">
            <v>MedStar Southern MD</v>
          </cell>
          <cell r="C47">
            <v>8975</v>
          </cell>
          <cell r="D47">
            <v>962</v>
          </cell>
          <cell r="E47">
            <v>0.1072</v>
          </cell>
          <cell r="F47">
            <v>1058.0320999999999</v>
          </cell>
          <cell r="G47">
            <v>0.90923520000000002</v>
          </cell>
          <cell r="H47">
            <v>0.10349999999999999</v>
          </cell>
          <cell r="I47">
            <v>8874</v>
          </cell>
          <cell r="J47">
            <v>972</v>
          </cell>
          <cell r="K47">
            <v>0.1095</v>
          </cell>
          <cell r="L47">
            <v>1147.5418</v>
          </cell>
          <cell r="M47">
            <v>0.847028</v>
          </cell>
          <cell r="N47">
            <v>9.64E-2</v>
          </cell>
          <cell r="O47">
            <v>-6.8599999999999994E-2</v>
          </cell>
        </row>
        <row r="48">
          <cell r="A48">
            <v>210063</v>
          </cell>
          <cell r="B48" t="str">
            <v>UM-St. Joe</v>
          </cell>
          <cell r="C48">
            <v>13564</v>
          </cell>
          <cell r="D48">
            <v>1326</v>
          </cell>
          <cell r="E48">
            <v>9.7799999999999998E-2</v>
          </cell>
          <cell r="F48">
            <v>1261.6097</v>
          </cell>
          <cell r="G48">
            <v>1.0510382</v>
          </cell>
          <cell r="H48">
            <v>0.1196</v>
          </cell>
          <cell r="I48">
            <v>11139</v>
          </cell>
          <cell r="J48">
            <v>1294</v>
          </cell>
          <cell r="K48">
            <v>0.1162</v>
          </cell>
          <cell r="L48">
            <v>1223.1796999999999</v>
          </cell>
          <cell r="M48">
            <v>1.0578985999999999</v>
          </cell>
          <cell r="N48">
            <v>0.12039999999999999</v>
          </cell>
          <cell r="O48">
            <v>6.7000000000000002E-3</v>
          </cell>
        </row>
        <row r="49">
          <cell r="A49">
            <v>210064</v>
          </cell>
          <cell r="B49" t="str">
            <v>Levindale</v>
          </cell>
          <cell r="C49">
            <v>980</v>
          </cell>
          <cell r="D49">
            <v>137</v>
          </cell>
          <cell r="E49">
            <v>0.13980000000000001</v>
          </cell>
          <cell r="F49">
            <v>128.14607000000001</v>
          </cell>
          <cell r="G49">
            <v>1.0690923999999999</v>
          </cell>
          <cell r="H49">
            <v>0.1217</v>
          </cell>
          <cell r="I49">
            <v>595</v>
          </cell>
          <cell r="J49">
            <v>66</v>
          </cell>
          <cell r="K49">
            <v>0.1109</v>
          </cell>
          <cell r="L49">
            <v>79.396438000000003</v>
          </cell>
          <cell r="M49">
            <v>0.83127150000000005</v>
          </cell>
          <cell r="N49">
            <v>9.4600000000000004E-2</v>
          </cell>
          <cell r="O49">
            <v>-0.22270000000000001</v>
          </cell>
        </row>
        <row r="50">
          <cell r="A50">
            <v>210065</v>
          </cell>
          <cell r="B50" t="str">
            <v>HC-Germantown</v>
          </cell>
          <cell r="C50">
            <v>4370</v>
          </cell>
          <cell r="D50">
            <v>491</v>
          </cell>
          <cell r="E50">
            <v>0.1124</v>
          </cell>
          <cell r="F50">
            <v>444.82799</v>
          </cell>
          <cell r="G50">
            <v>1.1037973999999999</v>
          </cell>
          <cell r="H50">
            <v>0.12559999999999999</v>
          </cell>
          <cell r="I50">
            <v>4997</v>
          </cell>
          <cell r="J50">
            <v>473</v>
          </cell>
          <cell r="K50">
            <v>9.4700000000000006E-2</v>
          </cell>
          <cell r="L50">
            <v>467.90663999999998</v>
          </cell>
          <cell r="M50">
            <v>1.0108854</v>
          </cell>
          <cell r="N50">
            <v>0.115</v>
          </cell>
          <cell r="O50">
            <v>-8.4400000000000003E-2</v>
          </cell>
        </row>
        <row r="51">
          <cell r="A51">
            <v>210089</v>
          </cell>
          <cell r="B51" t="str">
            <v>Adventist Rehab</v>
          </cell>
          <cell r="C51" t="str">
            <v xml:space="preserve"> </v>
          </cell>
          <cell r="D51" t="str">
            <v xml:space="preserve"> </v>
          </cell>
          <cell r="E51" t="str">
            <v xml:space="preserve"> </v>
          </cell>
          <cell r="F51" t="str">
            <v xml:space="preserve"> </v>
          </cell>
          <cell r="G51" t="str">
            <v xml:space="preserve"> </v>
          </cell>
          <cell r="H51" t="str">
            <v xml:space="preserve"> </v>
          </cell>
          <cell r="I51">
            <v>0</v>
          </cell>
          <cell r="J51">
            <v>0</v>
          </cell>
          <cell r="K51" t="str">
            <v xml:space="preserve"> </v>
          </cell>
          <cell r="L51">
            <v>0</v>
          </cell>
          <cell r="M51" t="str">
            <v xml:space="preserve"> </v>
          </cell>
          <cell r="N51" t="str">
            <v xml:space="preserve"> </v>
          </cell>
          <cell r="O51" t="str">
            <v xml:space="preserve"> </v>
          </cell>
        </row>
        <row r="52">
          <cell r="A52">
            <v>213300</v>
          </cell>
          <cell r="B52" t="str">
            <v>Mt. Washington Peds</v>
          </cell>
          <cell r="C52">
            <v>235</v>
          </cell>
          <cell r="D52">
            <v>14</v>
          </cell>
          <cell r="E52">
            <v>5.96E-2</v>
          </cell>
          <cell r="F52">
            <v>27.054302</v>
          </cell>
          <cell r="G52">
            <v>0.51747779999999999</v>
          </cell>
          <cell r="H52">
            <v>5.8900000000000001E-2</v>
          </cell>
          <cell r="I52">
            <v>218</v>
          </cell>
          <cell r="J52">
            <v>21</v>
          </cell>
          <cell r="K52">
            <v>9.6299999999999997E-2</v>
          </cell>
          <cell r="L52">
            <v>28.563746999999999</v>
          </cell>
          <cell r="M52">
            <v>0.73519769999999995</v>
          </cell>
          <cell r="N52">
            <v>8.3699999999999997E-2</v>
          </cell>
          <cell r="O52">
            <v>0.42109999999999997</v>
          </cell>
        </row>
        <row r="53">
          <cell r="A53">
            <v>214000</v>
          </cell>
          <cell r="B53" t="str">
            <v>Sheppard Pratt</v>
          </cell>
          <cell r="C53">
            <v>8005</v>
          </cell>
          <cell r="D53">
            <v>1035</v>
          </cell>
          <cell r="E53">
            <v>0.1293</v>
          </cell>
          <cell r="F53">
            <v>871.55424000000005</v>
          </cell>
          <cell r="G53">
            <v>1.1875336999999999</v>
          </cell>
          <cell r="H53">
            <v>0.1351</v>
          </cell>
          <cell r="I53">
            <v>8021</v>
          </cell>
          <cell r="J53">
            <v>1015</v>
          </cell>
          <cell r="K53">
            <v>0.1265</v>
          </cell>
          <cell r="L53">
            <v>910.09496000000001</v>
          </cell>
          <cell r="M53">
            <v>1.1152682</v>
          </cell>
          <cell r="N53">
            <v>0.12690000000000001</v>
          </cell>
          <cell r="O53">
            <v>-6.0699999999999997E-2</v>
          </cell>
        </row>
        <row r="54">
          <cell r="A54">
            <v>214003</v>
          </cell>
          <cell r="B54" t="str">
            <v>Brook Lane</v>
          </cell>
          <cell r="C54">
            <v>1686</v>
          </cell>
          <cell r="D54">
            <v>163</v>
          </cell>
          <cell r="E54">
            <v>9.6699999999999994E-2</v>
          </cell>
          <cell r="F54">
            <v>155.15773999999999</v>
          </cell>
          <cell r="G54">
            <v>1.0505438</v>
          </cell>
          <cell r="H54">
            <v>0.1196</v>
          </cell>
          <cell r="I54">
            <v>1517</v>
          </cell>
          <cell r="J54">
            <v>165</v>
          </cell>
          <cell r="K54">
            <v>0.10879999999999999</v>
          </cell>
          <cell r="L54">
            <v>155.70098999999999</v>
          </cell>
          <cell r="M54">
            <v>1.0597235</v>
          </cell>
          <cell r="N54">
            <v>0.1206</v>
          </cell>
          <cell r="O54">
            <v>8.3999999999999995E-3</v>
          </cell>
        </row>
        <row r="55">
          <cell r="A55">
            <v>214020</v>
          </cell>
          <cell r="B55" t="str">
            <v>McNew Family Medical Center</v>
          </cell>
          <cell r="C55" t="str">
            <v xml:space="preserve"> </v>
          </cell>
          <cell r="D55" t="str">
            <v xml:space="preserve"> </v>
          </cell>
          <cell r="E55" t="str">
            <v xml:space="preserve"> </v>
          </cell>
          <cell r="F55" t="str">
            <v xml:space="preserve"> </v>
          </cell>
          <cell r="G55" t="str">
            <v xml:space="preserve"> </v>
          </cell>
          <cell r="H55" t="str">
            <v xml:space="preserve"> </v>
          </cell>
          <cell r="I55">
            <v>616</v>
          </cell>
          <cell r="J55">
            <v>75</v>
          </cell>
          <cell r="K55">
            <v>0.12180000000000001</v>
          </cell>
          <cell r="L55">
            <v>75.944125</v>
          </cell>
          <cell r="M55">
            <v>0.98756820000000001</v>
          </cell>
          <cell r="N55">
            <v>0.1124</v>
          </cell>
          <cell r="O55" t="str">
            <v xml:space="preserve"> </v>
          </cell>
        </row>
        <row r="56">
          <cell r="A56" t="str">
            <v xml:space="preserve"> </v>
          </cell>
          <cell r="B56" t="str">
            <v>STATEWIDE</v>
          </cell>
          <cell r="C56">
            <v>471177</v>
          </cell>
          <cell r="D56">
            <v>54554</v>
          </cell>
          <cell r="E56">
            <v>0.1158</v>
          </cell>
          <cell r="F56">
            <v>50606.241000000002</v>
          </cell>
          <cell r="G56">
            <v>1.0780092999999999</v>
          </cell>
          <cell r="H56">
            <v>0.1227</v>
          </cell>
          <cell r="I56">
            <v>403860</v>
          </cell>
          <cell r="J56">
            <v>46061</v>
          </cell>
          <cell r="K56">
            <v>0.11409999999999999</v>
          </cell>
          <cell r="L56">
            <v>46725.008000000002</v>
          </cell>
          <cell r="M56">
            <v>0.98578900000000003</v>
          </cell>
          <cell r="N56">
            <v>0.11219999999999999</v>
          </cell>
          <cell r="O56">
            <v>-8.5599999999999996E-2</v>
          </cell>
        </row>
        <row r="57">
          <cell r="A57"/>
          <cell r="B57"/>
          <cell r="C57"/>
          <cell r="D57"/>
          <cell r="E57"/>
          <cell r="F57"/>
          <cell r="G57"/>
          <cell r="H57"/>
          <cell r="I57"/>
          <cell r="J57"/>
          <cell r="K57"/>
          <cell r="L57"/>
          <cell r="M57"/>
          <cell r="N57"/>
          <cell r="O57"/>
        </row>
        <row r="58">
          <cell r="A58" t="str">
            <v>Total Number of Inpatient Discharges is the total number of discharges that are eligible for a readmission and not necessarily total discharges.</v>
          </cell>
          <cell r="B58"/>
          <cell r="C58"/>
          <cell r="D58"/>
          <cell r="E58"/>
          <cell r="F58"/>
          <cell r="G58"/>
          <cell r="H58"/>
          <cell r="I58"/>
          <cell r="J58"/>
          <cell r="K58"/>
          <cell r="L58"/>
          <cell r="M58"/>
          <cell r="N58"/>
          <cell r="O58"/>
        </row>
        <row r="59">
          <cell r="A59" t="str">
            <v>Total Number of Readmissions is the number of readmissions after all adjustments, including removal of planned admissions.</v>
          </cell>
          <cell r="B59"/>
          <cell r="C59"/>
          <cell r="D59"/>
          <cell r="E59"/>
          <cell r="F59"/>
          <cell r="G59"/>
          <cell r="H59"/>
          <cell r="I59"/>
          <cell r="J59"/>
          <cell r="K59"/>
          <cell r="L59"/>
          <cell r="M59"/>
          <cell r="N59"/>
          <cell r="O59"/>
        </row>
        <row r="60">
          <cell r="A60" t="str">
            <v>Users who manually calculate percentage calculations in Excel may find slight discrepancies due to rounding differences.</v>
          </cell>
          <cell r="B60"/>
          <cell r="C60"/>
          <cell r="D60"/>
          <cell r="E60"/>
          <cell r="F60"/>
          <cell r="G60"/>
          <cell r="H60"/>
          <cell r="I60"/>
          <cell r="J60"/>
          <cell r="K60"/>
          <cell r="L60"/>
          <cell r="M60"/>
          <cell r="N60"/>
          <cell r="O60"/>
        </row>
        <row r="61">
          <cell r="A61" t="str">
            <v>Risk Adjusted Readmission Rate is calculated by multiplying the observed-to-expected Readmission Ratio (columns H &amp; N) by 11.38% , the statewide unadjusted rate for all 12 months of CY2021 , the norm period for RY2024.</v>
          </cell>
          <cell r="B61"/>
          <cell r="C61"/>
          <cell r="D61"/>
          <cell r="E61"/>
          <cell r="F61"/>
          <cell r="G61"/>
          <cell r="H61"/>
          <cell r="I61"/>
          <cell r="J61"/>
          <cell r="K61"/>
          <cell r="L61"/>
          <cell r="M61"/>
          <cell r="N61"/>
          <cell r="O61"/>
        </row>
        <row r="62">
          <cell r="A62" t="str">
            <v>See Tab 7 'CY2021 Readmit Rates' for inputs used to calculate the final CY2021 statewide unadjusted rate of 11.38% (Percent Readmissions Grand Total, column E).</v>
          </cell>
          <cell r="B62"/>
          <cell r="C62"/>
          <cell r="D62"/>
          <cell r="E62"/>
          <cell r="F62"/>
          <cell r="G62"/>
          <cell r="H62"/>
          <cell r="I62"/>
          <cell r="J62"/>
          <cell r="K62"/>
          <cell r="L62"/>
          <cell r="M62"/>
          <cell r="N62"/>
          <cell r="O62"/>
        </row>
        <row r="63">
          <cell r="A63" t="str">
            <v>For this YTD comparison, the same number of months are included for both Base Period and Performance Period, for instance Jan-Dec CY2018 (Base Period YTD) and Jan-Dec CY2022 (Performance Period YTD).</v>
          </cell>
          <cell r="B63"/>
          <cell r="C63"/>
          <cell r="D63"/>
          <cell r="E63"/>
          <cell r="F63"/>
          <cell r="G63"/>
          <cell r="H63"/>
          <cell r="I63"/>
          <cell r="J63"/>
          <cell r="K63"/>
          <cell r="L63"/>
          <cell r="M63"/>
          <cell r="N63"/>
          <cell r="O63"/>
        </row>
        <row r="64">
          <cell r="A64" t="str">
            <v>The APR-DRG variable for cases with a daily type of service of rehabilitation are recoded to APR-DRG 860 Rehabilitation or type of Daily Service = 08 (Rehab).</v>
          </cell>
          <cell r="B64"/>
          <cell r="C64"/>
          <cell r="D64"/>
          <cell r="E64"/>
          <cell r="F64"/>
          <cell r="G64"/>
          <cell r="H64"/>
          <cell r="I64"/>
          <cell r="J64"/>
          <cell r="K64"/>
          <cell r="L64"/>
          <cell r="M64"/>
          <cell r="N64"/>
          <cell r="O64"/>
        </row>
        <row r="65">
          <cell r="A65" t="str">
            <v>Holy Cross Germantown will be measured on attainment and 1-year improvement only.</v>
          </cell>
          <cell r="B65"/>
          <cell r="C65"/>
          <cell r="D65"/>
          <cell r="E65"/>
          <cell r="F65"/>
          <cell r="G65"/>
          <cell r="H65"/>
          <cell r="I65"/>
          <cell r="J65"/>
          <cell r="K65"/>
          <cell r="L65"/>
          <cell r="M65"/>
          <cell r="N65"/>
          <cell r="O65"/>
        </row>
        <row r="66">
          <cell r="A66" t="str">
            <v>Data for rehabilitation hospitals (213028 and 213029) are not presented because rehabilitation admission cannot be a readmission and are not eligible for readmission, but that the data from   the rehabilitation hospitals is used when calculating</v>
          </cell>
          <cell r="B66"/>
          <cell r="C66"/>
          <cell r="D66"/>
          <cell r="E66"/>
          <cell r="F66"/>
          <cell r="G66"/>
          <cell r="H66"/>
          <cell r="I66"/>
          <cell r="J66"/>
          <cell r="K66"/>
          <cell r="L66"/>
          <cell r="M66"/>
          <cell r="N66"/>
          <cell r="O66"/>
        </row>
        <row r="67">
          <cell r="A67" t="str">
            <v>eligible admissions and readmissions for acute care hospitals.</v>
          </cell>
          <cell r="B67"/>
          <cell r="C67"/>
          <cell r="D67"/>
          <cell r="E67"/>
          <cell r="F67"/>
          <cell r="G67"/>
          <cell r="H67"/>
          <cell r="I67"/>
          <cell r="J67"/>
          <cell r="K67"/>
          <cell r="L67"/>
          <cell r="M67"/>
          <cell r="N67"/>
          <cell r="O67"/>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E4A56-B2BD-4303-A8F6-B6F03F69548E}">
  <sheetPr>
    <tabColor theme="9"/>
  </sheetPr>
  <dimension ref="A1:K58"/>
  <sheetViews>
    <sheetView tabSelected="1" workbookViewId="0">
      <pane xSplit="2" ySplit="2" topLeftCell="C3" activePane="bottomRight" state="frozen"/>
      <selection pane="topRight" activeCell="C1" sqref="C1"/>
      <selection pane="bottomLeft" activeCell="A2" sqref="A2"/>
      <selection pane="bottomRight"/>
    </sheetView>
  </sheetViews>
  <sheetFormatPr defaultRowHeight="15"/>
  <cols>
    <col min="1" max="1" width="14.42578125" customWidth="1"/>
    <col min="2" max="2" width="18.28515625" customWidth="1"/>
    <col min="3" max="3" width="22.42578125" bestFit="1" customWidth="1"/>
    <col min="4" max="4" width="17.140625" customWidth="1"/>
    <col min="5" max="5" width="14.85546875" customWidth="1"/>
    <col min="6" max="6" width="22.7109375" customWidth="1"/>
    <col min="7" max="7" width="15.5703125" customWidth="1"/>
    <col min="8" max="8" width="14" customWidth="1"/>
    <col min="9" max="9" width="20.85546875" customWidth="1"/>
    <col min="10" max="11" width="24.140625" customWidth="1"/>
  </cols>
  <sheetData>
    <row r="1" spans="1:11" ht="24.75" customHeight="1">
      <c r="A1" s="182" t="s">
        <v>229</v>
      </c>
    </row>
    <row r="2" spans="1:11" ht="75">
      <c r="A2" s="7" t="s">
        <v>4</v>
      </c>
      <c r="B2" s="7" t="s">
        <v>5</v>
      </c>
      <c r="C2" s="8" t="s">
        <v>228</v>
      </c>
      <c r="D2" s="83" t="s">
        <v>15</v>
      </c>
      <c r="E2" s="83" t="s">
        <v>132</v>
      </c>
      <c r="F2" s="83" t="s">
        <v>133</v>
      </c>
      <c r="G2" s="69" t="s">
        <v>134</v>
      </c>
      <c r="H2" s="69" t="s">
        <v>135</v>
      </c>
      <c r="I2" s="69" t="s">
        <v>136</v>
      </c>
      <c r="J2" s="133" t="s">
        <v>130</v>
      </c>
      <c r="K2" s="133" t="s">
        <v>130</v>
      </c>
    </row>
    <row r="3" spans="1:11" ht="15.75">
      <c r="A3" s="84">
        <v>210001</v>
      </c>
      <c r="B3" s="85" t="s">
        <v>17</v>
      </c>
      <c r="C3" s="18">
        <f>VLOOKUP(A3,'[7]IP revenue'!$A$2:$E$51,5,FALSE)</f>
        <v>236441777.03256336</v>
      </c>
      <c r="D3" s="86" t="str">
        <f>VLOOKUP(A3,'RRIP Modeling Results'!$A$4:$P$47,16,FALSE)</f>
        <v>Att</v>
      </c>
      <c r="E3" s="19">
        <f>VLOOKUP(A3,'RRIP Modeling Results'!$A$3:$P$47,15,FALSE)</f>
        <v>-6.1999999999999998E-3</v>
      </c>
      <c r="F3" s="87">
        <f>VLOOKUP(A3,'RRIP Modeling Results'!$A$4:$P$47,14,FALSE)</f>
        <v>-1465939.0176018928</v>
      </c>
      <c r="G3" s="88">
        <f>VLOOKUP(A3,'PAI revenue adjustments'!$A$3:$G$46,5,FALSE)</f>
        <v>-0.170103</v>
      </c>
      <c r="H3" s="88">
        <f>VLOOKUP(A3,'PAI revenue adjustments'!$A$3:$G$46,6,FALSE)</f>
        <v>0</v>
      </c>
      <c r="I3" s="89">
        <f>VLOOKUP(A3,'PAI revenue adjustments'!$A$3:$G$46,7,FALSE)</f>
        <v>0</v>
      </c>
      <c r="J3" s="90">
        <f t="shared" ref="J3:J46" si="0">F3+I3</f>
        <v>-1465939.0176018928</v>
      </c>
      <c r="K3" s="134">
        <f>H3+E3</f>
        <v>-6.1999999999999998E-3</v>
      </c>
    </row>
    <row r="4" spans="1:11" ht="30.75">
      <c r="A4" s="84">
        <v>210002</v>
      </c>
      <c r="B4" s="85" t="s">
        <v>19</v>
      </c>
      <c r="C4" s="18">
        <f>VLOOKUP(A4,'[7]IP revenue'!$A$2:$E$51,5,FALSE)</f>
        <v>1419452964.0897801</v>
      </c>
      <c r="D4" s="86" t="str">
        <f>VLOOKUP(A4,'RRIP Modeling Results'!$A$4:$P$47,16,FALSE)</f>
        <v>Imp</v>
      </c>
      <c r="E4" s="19">
        <f>VLOOKUP(A4,'RRIP Modeling Results'!$A$3:$P$47,15,FALSE)</f>
        <v>1.4700000301440233E-2</v>
      </c>
      <c r="F4" s="87">
        <f>VLOOKUP(A4,'RRIP Modeling Results'!$A$4:$P$47,14,FALSE)</f>
        <v>20865959</v>
      </c>
      <c r="G4" s="88">
        <f>VLOOKUP(A4,'PAI revenue adjustments'!$A$3:$G$46,5,FALSE)</f>
        <v>-0.15768599999999999</v>
      </c>
      <c r="H4" s="88">
        <f>VLOOKUP(A4,'PAI revenue adjustments'!$A$3:$G$46,6,FALSE)</f>
        <v>0</v>
      </c>
      <c r="I4" s="89">
        <f>VLOOKUP(A4,'PAI revenue adjustments'!$A$3:$G$46,7,FALSE)</f>
        <v>0</v>
      </c>
      <c r="J4" s="90">
        <f t="shared" si="0"/>
        <v>20865959</v>
      </c>
      <c r="K4" s="134">
        <f t="shared" ref="K4:K46" si="1">H4+E4</f>
        <v>1.4700000301440233E-2</v>
      </c>
    </row>
    <row r="5" spans="1:11" ht="30.75">
      <c r="A5" s="84">
        <v>210003</v>
      </c>
      <c r="B5" s="85" t="s">
        <v>20</v>
      </c>
      <c r="C5" s="18">
        <f>VLOOKUP(A5,'[7]IP revenue'!$A$2:$E$51,5,FALSE)</f>
        <v>282004742.50411975</v>
      </c>
      <c r="D5" s="86" t="str">
        <f>VLOOKUP(A5,'RRIP Modeling Results'!$A$4:$P$47,16,FALSE)</f>
        <v>Imp</v>
      </c>
      <c r="E5" s="19">
        <f>VLOOKUP(A5,'RRIP Modeling Results'!$A$3:$P$47,15,FALSE)</f>
        <v>1.2400000684204505E-2</v>
      </c>
      <c r="F5" s="87">
        <f>VLOOKUP(A5,'RRIP Modeling Results'!$A$4:$P$47,14,FALSE)</f>
        <v>3496859</v>
      </c>
      <c r="G5" s="88">
        <f>VLOOKUP(A5,'PAI revenue adjustments'!$A$3:$G$46,5,FALSE)</f>
        <v>-0.27601900000000001</v>
      </c>
      <c r="H5" s="88">
        <f>VLOOKUP(A5,'PAI revenue adjustments'!$A$3:$G$46,6,FALSE)</f>
        <v>3.1670000000000001E-3</v>
      </c>
      <c r="I5" s="89">
        <f>VLOOKUP(A5,'PAI revenue adjustments'!$A$3:$G$46,7,FALSE)</f>
        <v>893109</v>
      </c>
      <c r="J5" s="90">
        <f t="shared" si="0"/>
        <v>4389968</v>
      </c>
      <c r="K5" s="134">
        <f t="shared" si="1"/>
        <v>1.5567000684204505E-2</v>
      </c>
    </row>
    <row r="6" spans="1:11" ht="15.75">
      <c r="A6" s="84">
        <v>210004</v>
      </c>
      <c r="B6" s="85" t="s">
        <v>21</v>
      </c>
      <c r="C6" s="18">
        <f>VLOOKUP(A6,'[7]IP revenue'!$A$2:$E$51,5,FALSE)</f>
        <v>397412082.53870666</v>
      </c>
      <c r="D6" s="86" t="str">
        <f>VLOOKUP(A6,'RRIP Modeling Results'!$A$4:$P$47,16,FALSE)</f>
        <v>Imp</v>
      </c>
      <c r="E6" s="19">
        <f>VLOOKUP(A6,'RRIP Modeling Results'!$A$3:$P$47,15,FALSE)</f>
        <v>4.7000005336226254E-3</v>
      </c>
      <c r="F6" s="87">
        <f>VLOOKUP(A6,'RRIP Modeling Results'!$A$4:$P$47,14,FALSE)</f>
        <v>1867837</v>
      </c>
      <c r="G6" s="88">
        <f>VLOOKUP(A6,'PAI revenue adjustments'!$A$3:$G$46,5,FALSE)</f>
        <v>0.40008480000000002</v>
      </c>
      <c r="H6" s="88">
        <f>VLOOKUP(A6,'PAI revenue adjustments'!$A$3:$G$46,6,FALSE)</f>
        <v>0</v>
      </c>
      <c r="I6" s="89">
        <f>VLOOKUP(A6,'PAI revenue adjustments'!$A$3:$G$46,7,FALSE)</f>
        <v>0</v>
      </c>
      <c r="J6" s="90">
        <f t="shared" si="0"/>
        <v>1867837</v>
      </c>
      <c r="K6" s="134">
        <f t="shared" si="1"/>
        <v>4.7000005336226254E-3</v>
      </c>
    </row>
    <row r="7" spans="1:11" ht="30.75">
      <c r="A7" s="84">
        <v>210005</v>
      </c>
      <c r="B7" s="85" t="s">
        <v>22</v>
      </c>
      <c r="C7" s="18">
        <f>VLOOKUP(A7,'[7]IP revenue'!$A$2:$E$51,5,FALSE)</f>
        <v>255798612.10245383</v>
      </c>
      <c r="D7" s="86" t="str">
        <f>VLOOKUP(A7,'RRIP Modeling Results'!$A$4:$P$47,16,FALSE)</f>
        <v>Att</v>
      </c>
      <c r="E7" s="19">
        <f>VLOOKUP(A7,'RRIP Modeling Results'!$A$3:$P$47,15,FALSE)</f>
        <v>-1E-4</v>
      </c>
      <c r="F7" s="87">
        <f>VLOOKUP(A7,'RRIP Modeling Results'!$A$4:$P$47,14,FALSE)</f>
        <v>-25579.861210245384</v>
      </c>
      <c r="G7" s="88">
        <f>VLOOKUP(A7,'PAI revenue adjustments'!$A$3:$G$46,5,FALSE)</f>
        <v>0.32854230000000001</v>
      </c>
      <c r="H7" s="88">
        <f>VLOOKUP(A7,'PAI revenue adjustments'!$A$3:$G$46,6,FALSE)</f>
        <v>0</v>
      </c>
      <c r="I7" s="89">
        <f>VLOOKUP(A7,'PAI revenue adjustments'!$A$3:$G$46,7,FALSE)</f>
        <v>0</v>
      </c>
      <c r="J7" s="90">
        <f t="shared" si="0"/>
        <v>-25579.861210245384</v>
      </c>
      <c r="K7" s="134">
        <f t="shared" si="1"/>
        <v>-1E-4</v>
      </c>
    </row>
    <row r="8" spans="1:11" ht="15.75">
      <c r="A8" s="84">
        <v>210006</v>
      </c>
      <c r="B8" s="85" t="s">
        <v>23</v>
      </c>
      <c r="C8" s="18">
        <f>VLOOKUP(A8,'[7]IP revenue'!$A$2:$E$51,5,FALSE)</f>
        <v>68386363.776318178</v>
      </c>
      <c r="D8" s="86" t="str">
        <f>VLOOKUP(A8,'RRIP Modeling Results'!$A$4:$P$47,16,FALSE)</f>
        <v>Att</v>
      </c>
      <c r="E8" s="19">
        <f>VLOOKUP(A8,'RRIP Modeling Results'!$A$3:$P$47,15,FALSE)</f>
        <v>-1.43E-2</v>
      </c>
      <c r="F8" s="87">
        <f>VLOOKUP(A8,'RRIP Modeling Results'!$A$4:$P$47,14,FALSE)</f>
        <v>-977925.00200134993</v>
      </c>
      <c r="G8" s="88">
        <f>VLOOKUP(A8,'PAI revenue adjustments'!$A$3:$G$46,5,FALSE)</f>
        <v>-7.8085000000000002E-2</v>
      </c>
      <c r="H8" s="88">
        <f>VLOOKUP(A8,'PAI revenue adjustments'!$A$3:$G$46,6,FALSE)</f>
        <v>0</v>
      </c>
      <c r="I8" s="89">
        <f>VLOOKUP(A8,'PAI revenue adjustments'!$A$3:$G$46,7,FALSE)</f>
        <v>0</v>
      </c>
      <c r="J8" s="90">
        <f t="shared" si="0"/>
        <v>-977925.00200134993</v>
      </c>
      <c r="K8" s="134">
        <f t="shared" si="1"/>
        <v>-1.43E-2</v>
      </c>
    </row>
    <row r="9" spans="1:11" ht="15.75">
      <c r="A9" s="84">
        <v>210008</v>
      </c>
      <c r="B9" s="85" t="s">
        <v>24</v>
      </c>
      <c r="C9" s="18">
        <f>VLOOKUP(A9,'[7]IP revenue'!$A$2:$E$51,5,FALSE)</f>
        <v>216769130.1950303</v>
      </c>
      <c r="D9" s="86" t="str">
        <f>VLOOKUP(A9,'RRIP Modeling Results'!$A$4:$P$47,16,FALSE)</f>
        <v>Imp</v>
      </c>
      <c r="E9" s="19">
        <f>VLOOKUP(A9,'RRIP Modeling Results'!$A$3:$P$47,15,FALSE)</f>
        <v>1.7999979962504155E-3</v>
      </c>
      <c r="F9" s="87">
        <f>VLOOKUP(A9,'RRIP Modeling Results'!$A$4:$P$47,14,FALSE)</f>
        <v>390184</v>
      </c>
      <c r="G9" s="88">
        <f>VLOOKUP(A9,'PAI revenue adjustments'!$A$3:$G$46,5,FALSE)</f>
        <v>-8.3239999999999998E-3</v>
      </c>
      <c r="H9" s="88">
        <f>VLOOKUP(A9,'PAI revenue adjustments'!$A$3:$G$46,6,FALSE)</f>
        <v>0</v>
      </c>
      <c r="I9" s="89">
        <f>VLOOKUP(A9,'PAI revenue adjustments'!$A$3:$G$46,7,FALSE)</f>
        <v>0</v>
      </c>
      <c r="J9" s="90">
        <f t="shared" si="0"/>
        <v>390184</v>
      </c>
      <c r="K9" s="134">
        <f t="shared" si="1"/>
        <v>1.7999979962504155E-3</v>
      </c>
    </row>
    <row r="10" spans="1:11" ht="30.75">
      <c r="A10" s="84">
        <v>210009</v>
      </c>
      <c r="B10" s="85" t="s">
        <v>25</v>
      </c>
      <c r="C10" s="18">
        <f>VLOOKUP(A10,'[7]IP revenue'!$A$2:$E$51,5,FALSE)</f>
        <v>1702715898.3441095</v>
      </c>
      <c r="D10" s="86" t="str">
        <f>VLOOKUP(A10,'RRIP Modeling Results'!$A$4:$P$47,16,FALSE)</f>
        <v>Imp</v>
      </c>
      <c r="E10" s="19">
        <f>VLOOKUP(A10,'RRIP Modeling Results'!$A$3:$P$47,15,FALSE)</f>
        <v>8.1999997848016225E-3</v>
      </c>
      <c r="F10" s="87">
        <f>VLOOKUP(A10,'RRIP Modeling Results'!$A$4:$P$47,14,FALSE)</f>
        <v>13962270</v>
      </c>
      <c r="G10" s="88">
        <f>VLOOKUP(A10,'PAI revenue adjustments'!$A$3:$G$46,5,FALSE)</f>
        <v>-0.20342299999999999</v>
      </c>
      <c r="H10" s="88">
        <f>VLOOKUP(A10,'PAI revenue adjustments'!$A$3:$G$46,6,FALSE)</f>
        <v>0</v>
      </c>
      <c r="I10" s="89">
        <f>VLOOKUP(A10,'PAI revenue adjustments'!$A$3:$G$46,7,FALSE)</f>
        <v>0</v>
      </c>
      <c r="J10" s="90">
        <f t="shared" si="0"/>
        <v>13962270</v>
      </c>
      <c r="K10" s="134">
        <f t="shared" si="1"/>
        <v>8.1999997848016225E-3</v>
      </c>
    </row>
    <row r="11" spans="1:11" ht="15.75">
      <c r="A11" s="84">
        <v>210011</v>
      </c>
      <c r="B11" s="85" t="s">
        <v>26</v>
      </c>
      <c r="C11" s="18">
        <f>VLOOKUP(A11,'[7]IP revenue'!$A$2:$E$51,5,FALSE)</f>
        <v>233444506.71257403</v>
      </c>
      <c r="D11" s="86" t="str">
        <f>VLOOKUP(A11,'RRIP Modeling Results'!$A$4:$P$47,16,FALSE)</f>
        <v>Imp</v>
      </c>
      <c r="E11" s="19">
        <f>VLOOKUP(A11,'RRIP Modeling Results'!$A$3:$P$47,15,FALSE)</f>
        <v>-3.5999990397492334E-3</v>
      </c>
      <c r="F11" s="87">
        <f>VLOOKUP(A11,'RRIP Modeling Results'!$A$4:$P$47,14,FALSE)</f>
        <v>-840400</v>
      </c>
      <c r="G11" s="88">
        <f>VLOOKUP(A11,'PAI revenue adjustments'!$A$3:$G$46,5,FALSE)</f>
        <v>-0.221861</v>
      </c>
      <c r="H11" s="88">
        <f>VLOOKUP(A11,'PAI revenue adjustments'!$A$3:$G$46,6,FALSE)</f>
        <v>0</v>
      </c>
      <c r="I11" s="89">
        <f>VLOOKUP(A11,'PAI revenue adjustments'!$A$3:$G$46,7,FALSE)</f>
        <v>0</v>
      </c>
      <c r="J11" s="90">
        <f t="shared" si="0"/>
        <v>-840400</v>
      </c>
      <c r="K11" s="134">
        <f t="shared" si="1"/>
        <v>-3.5999990397492334E-3</v>
      </c>
    </row>
    <row r="12" spans="1:11" ht="15.75">
      <c r="A12" s="84">
        <v>210012</v>
      </c>
      <c r="B12" s="85" t="s">
        <v>27</v>
      </c>
      <c r="C12" s="18">
        <f>VLOOKUP(A12,'[7]IP revenue'!$A$2:$E$51,5,FALSE)</f>
        <v>515384552.87013698</v>
      </c>
      <c r="D12" s="86" t="str">
        <f>VLOOKUP(A12,'RRIP Modeling Results'!$A$4:$P$47,16,FALSE)</f>
        <v>Imp</v>
      </c>
      <c r="E12" s="19">
        <f>VLOOKUP(A12,'RRIP Modeling Results'!$A$3:$P$47,15,FALSE)</f>
        <v>2.400000141858484E-3</v>
      </c>
      <c r="F12" s="87">
        <f>VLOOKUP(A12,'RRIP Modeling Results'!$A$4:$P$47,14,FALSE)</f>
        <v>1236923</v>
      </c>
      <c r="G12" s="88">
        <f>VLOOKUP(A12,'PAI revenue adjustments'!$A$3:$G$46,5,FALSE)</f>
        <v>0.2953712</v>
      </c>
      <c r="H12" s="88">
        <f>VLOOKUP(A12,'PAI revenue adjustments'!$A$3:$G$46,6,FALSE)</f>
        <v>0</v>
      </c>
      <c r="I12" s="89">
        <f>VLOOKUP(A12,'PAI revenue adjustments'!$A$3:$G$46,7,FALSE)</f>
        <v>0</v>
      </c>
      <c r="J12" s="90">
        <f t="shared" si="0"/>
        <v>1236923</v>
      </c>
      <c r="K12" s="134">
        <f t="shared" si="1"/>
        <v>2.400000141858484E-3</v>
      </c>
    </row>
    <row r="13" spans="1:11" ht="30.75">
      <c r="A13" s="84">
        <v>210015</v>
      </c>
      <c r="B13" s="85" t="s">
        <v>28</v>
      </c>
      <c r="C13" s="18">
        <f>VLOOKUP(A13,'[7]IP revenue'!$A$2:$E$51,5,FALSE)</f>
        <v>338396054.7926181</v>
      </c>
      <c r="D13" s="86" t="str">
        <f>VLOOKUP(A13,'RRIP Modeling Results'!$A$4:$P$47,16,FALSE)</f>
        <v>Imp</v>
      </c>
      <c r="E13" s="19">
        <f>VLOOKUP(A13,'RRIP Modeling Results'!$A$3:$P$47,15,FALSE)</f>
        <v>1.3800001311663845E-2</v>
      </c>
      <c r="F13" s="87">
        <f>VLOOKUP(A13,'RRIP Modeling Results'!$A$4:$P$47,14,FALSE)</f>
        <v>4669866</v>
      </c>
      <c r="G13" s="88">
        <f>VLOOKUP(A13,'PAI revenue adjustments'!$A$3:$G$46,5,FALSE)</f>
        <v>-0.20128499999999999</v>
      </c>
      <c r="H13" s="88">
        <f>VLOOKUP(A13,'PAI revenue adjustments'!$A$3:$G$46,6,FALSE)</f>
        <v>0</v>
      </c>
      <c r="I13" s="89">
        <f>VLOOKUP(A13,'PAI revenue adjustments'!$A$3:$G$46,7,FALSE)</f>
        <v>0</v>
      </c>
      <c r="J13" s="90">
        <f t="shared" si="0"/>
        <v>4669866</v>
      </c>
      <c r="K13" s="134">
        <f t="shared" si="1"/>
        <v>1.3800001311663845E-2</v>
      </c>
    </row>
    <row r="14" spans="1:11" ht="30.75">
      <c r="A14" s="84">
        <v>210016</v>
      </c>
      <c r="B14" s="85" t="s">
        <v>29</v>
      </c>
      <c r="C14" s="18">
        <f>VLOOKUP(A14,'[7]IP revenue'!$A$2:$E$51,5,FALSE)</f>
        <v>225684639.31156248</v>
      </c>
      <c r="D14" s="86" t="str">
        <f>VLOOKUP(A14,'RRIP Modeling Results'!$A$4:$P$47,16,FALSE)</f>
        <v>Att</v>
      </c>
      <c r="E14" s="19">
        <f>VLOOKUP(A14,'RRIP Modeling Results'!$A$3:$P$47,15,FALSE)</f>
        <v>-2.3999999999999998E-3</v>
      </c>
      <c r="F14" s="87">
        <f>VLOOKUP(A14,'RRIP Modeling Results'!$A$4:$P$47,14,FALSE)</f>
        <v>-541643.13434774987</v>
      </c>
      <c r="G14" s="88">
        <f>VLOOKUP(A14,'PAI revenue adjustments'!$A$3:$G$46,5,FALSE)</f>
        <v>-0.23861599999999999</v>
      </c>
      <c r="H14" s="88">
        <f>VLOOKUP(A14,'PAI revenue adjustments'!$A$3:$G$46,6,FALSE)</f>
        <v>2.6380000000000002E-3</v>
      </c>
      <c r="I14" s="89">
        <f>VLOOKUP(A14,'PAI revenue adjustments'!$A$3:$G$46,7,FALSE)</f>
        <v>595356</v>
      </c>
      <c r="J14" s="90">
        <f t="shared" si="0"/>
        <v>53712.865652250126</v>
      </c>
      <c r="K14" s="134">
        <f t="shared" si="1"/>
        <v>2.3800000000000036E-4</v>
      </c>
    </row>
    <row r="15" spans="1:11" ht="30.75">
      <c r="A15" s="84">
        <v>210017</v>
      </c>
      <c r="B15" s="85" t="s">
        <v>30</v>
      </c>
      <c r="C15" s="18">
        <f>VLOOKUP(A15,'[7]IP revenue'!$A$2:$E$51,5,FALSE)</f>
        <v>25525538.125369154</v>
      </c>
      <c r="D15" s="86" t="str">
        <f>VLOOKUP(A15,'RRIP Modeling Results'!$A$4:$P$47,16,FALSE)</f>
        <v>Att</v>
      </c>
      <c r="E15" s="19">
        <f>VLOOKUP(A15,'RRIP Modeling Results'!$A$3:$P$47,15,FALSE)</f>
        <v>0.02</v>
      </c>
      <c r="F15" s="87">
        <f>VLOOKUP(A15,'RRIP Modeling Results'!$A$4:$P$47,14,FALSE)</f>
        <v>510510.76250738307</v>
      </c>
      <c r="G15" s="88">
        <f>VLOOKUP(A15,'PAI revenue adjustments'!$A$3:$G$46,5,FALSE)</f>
        <v>-3.0003999999999999E-2</v>
      </c>
      <c r="H15" s="88">
        <f>VLOOKUP(A15,'PAI revenue adjustments'!$A$3:$G$46,6,FALSE)</f>
        <v>0</v>
      </c>
      <c r="I15" s="89">
        <f>VLOOKUP(A15,'PAI revenue adjustments'!$A$3:$G$46,7,FALSE)</f>
        <v>0</v>
      </c>
      <c r="J15" s="90">
        <f t="shared" si="0"/>
        <v>510510.76250738307</v>
      </c>
      <c r="K15" s="134">
        <f t="shared" si="1"/>
        <v>0.02</v>
      </c>
    </row>
    <row r="16" spans="1:11" ht="30.75">
      <c r="A16" s="84">
        <v>210018</v>
      </c>
      <c r="B16" s="85" t="s">
        <v>31</v>
      </c>
      <c r="C16" s="18">
        <f>VLOOKUP(A16,'[7]IP revenue'!$A$2:$E$51,5,FALSE)</f>
        <v>88807087.289993331</v>
      </c>
      <c r="D16" s="86" t="str">
        <f>VLOOKUP(A16,'RRIP Modeling Results'!$A$4:$P$47,16,FALSE)</f>
        <v>Imp</v>
      </c>
      <c r="E16" s="19">
        <f>VLOOKUP(A16,'RRIP Modeling Results'!$A$3:$P$47,15,FALSE)</f>
        <v>5.3999969443208617E-3</v>
      </c>
      <c r="F16" s="87">
        <f>VLOOKUP(A16,'RRIP Modeling Results'!$A$4:$P$47,14,FALSE)</f>
        <v>479558</v>
      </c>
      <c r="G16" s="88">
        <f>VLOOKUP(A16,'PAI revenue adjustments'!$A$3:$G$46,5,FALSE)</f>
        <v>-0.25433099999999997</v>
      </c>
      <c r="H16" s="88">
        <f>VLOOKUP(A16,'PAI revenue adjustments'!$A$3:$G$46,6,FALSE)</f>
        <v>2.8600000000000001E-3</v>
      </c>
      <c r="I16" s="89">
        <f>VLOOKUP(A16,'PAI revenue adjustments'!$A$3:$G$46,7,FALSE)</f>
        <v>253988</v>
      </c>
      <c r="J16" s="90">
        <f t="shared" si="0"/>
        <v>733546</v>
      </c>
      <c r="K16" s="134">
        <f t="shared" si="1"/>
        <v>8.2599969443208614E-3</v>
      </c>
    </row>
    <row r="17" spans="1:11" ht="30.75">
      <c r="A17" s="84">
        <v>210019</v>
      </c>
      <c r="B17" s="85" t="s">
        <v>131</v>
      </c>
      <c r="C17" s="18">
        <f>VLOOKUP(A17,'[7]IP revenue'!$A$2:$E$51,5,FALSE)</f>
        <v>308473682.05304885</v>
      </c>
      <c r="D17" s="86" t="str">
        <f>VLOOKUP(A17,'RRIP Modeling Results'!$A$4:$P$47,16,FALSE)</f>
        <v>Att</v>
      </c>
      <c r="E17" s="19">
        <f>VLOOKUP(A17,'RRIP Modeling Results'!$A$3:$P$47,15,FALSE)</f>
        <v>1.1999999999999999E-3</v>
      </c>
      <c r="F17" s="87">
        <f>VLOOKUP(A17,'RRIP Modeling Results'!$A$4:$P$47,14,FALSE)</f>
        <v>370168.4184636586</v>
      </c>
      <c r="G17" s="88">
        <f>VLOOKUP(A17,'PAI revenue adjustments'!$A$3:$G$46,5,FALSE)</f>
        <v>0.32985599999999998</v>
      </c>
      <c r="H17" s="88">
        <f>VLOOKUP(A17,'PAI revenue adjustments'!$A$3:$G$46,6,FALSE)</f>
        <v>0</v>
      </c>
      <c r="I17" s="89">
        <f>VLOOKUP(A17,'PAI revenue adjustments'!$A$3:$G$46,7,FALSE)</f>
        <v>0</v>
      </c>
      <c r="J17" s="90">
        <f t="shared" si="0"/>
        <v>370168.4184636586</v>
      </c>
      <c r="K17" s="134">
        <f t="shared" si="1"/>
        <v>1.1999999999999999E-3</v>
      </c>
    </row>
    <row r="18" spans="1:11" ht="15.75">
      <c r="A18" s="84">
        <v>210022</v>
      </c>
      <c r="B18" s="85" t="s">
        <v>33</v>
      </c>
      <c r="C18" s="18">
        <f>VLOOKUP(A18,'[7]IP revenue'!$A$2:$E$51,5,FALSE)</f>
        <v>227224801.82671461</v>
      </c>
      <c r="D18" s="86" t="str">
        <f>VLOOKUP(A18,'RRIP Modeling Results'!$A$4:$P$47,16,FALSE)</f>
        <v>Imp</v>
      </c>
      <c r="E18" s="19">
        <f>VLOOKUP(A18,'RRIP Modeling Results'!$A$3:$P$47,15,FALSE)</f>
        <v>8.1999983497441451E-3</v>
      </c>
      <c r="F18" s="87">
        <f>VLOOKUP(A18,'RRIP Modeling Results'!$A$4:$P$47,14,FALSE)</f>
        <v>1863243</v>
      </c>
      <c r="G18" s="88">
        <f>VLOOKUP(A18,'PAI revenue adjustments'!$A$3:$G$46,5,FALSE)</f>
        <v>-0.27493200000000001</v>
      </c>
      <c r="H18" s="88">
        <f>VLOOKUP(A18,'PAI revenue adjustments'!$A$3:$G$46,6,FALSE)</f>
        <v>3.1519999999999999E-3</v>
      </c>
      <c r="I18" s="89">
        <f>VLOOKUP(A18,'PAI revenue adjustments'!$A$3:$G$46,7,FALSE)</f>
        <v>716213</v>
      </c>
      <c r="J18" s="90">
        <f t="shared" si="0"/>
        <v>2579456</v>
      </c>
      <c r="K18" s="134">
        <f t="shared" si="1"/>
        <v>1.1351998349744145E-2</v>
      </c>
    </row>
    <row r="19" spans="1:11" ht="30.75">
      <c r="A19" s="84">
        <v>210023</v>
      </c>
      <c r="B19" s="85" t="s">
        <v>34</v>
      </c>
      <c r="C19" s="18">
        <f>VLOOKUP(A19,'[7]IP revenue'!$A$2:$E$51,5,FALSE)</f>
        <v>385505885.1439864</v>
      </c>
      <c r="D19" s="86" t="str">
        <f>VLOOKUP(A19,'RRIP Modeling Results'!$A$4:$P$47,16,FALSE)</f>
        <v>Imp</v>
      </c>
      <c r="E19" s="19">
        <f>VLOOKUP(A19,'RRIP Modeling Results'!$A$3:$P$47,15,FALSE)</f>
        <v>-4.0000011917432961E-3</v>
      </c>
      <c r="F19" s="87">
        <f>VLOOKUP(A19,'RRIP Modeling Results'!$A$4:$P$47,14,FALSE)</f>
        <v>-1542024</v>
      </c>
      <c r="G19" s="88">
        <f>VLOOKUP(A19,'PAI revenue adjustments'!$A$3:$G$46,5,FALSE)</f>
        <v>-1.8370000000000001E-3</v>
      </c>
      <c r="H19" s="88">
        <f>VLOOKUP(A19,'PAI revenue adjustments'!$A$3:$G$46,6,FALSE)</f>
        <v>0</v>
      </c>
      <c r="I19" s="89">
        <f>VLOOKUP(A19,'PAI revenue adjustments'!$A$3:$G$46,7,FALSE)</f>
        <v>0</v>
      </c>
      <c r="J19" s="90">
        <f t="shared" si="0"/>
        <v>-1542024</v>
      </c>
      <c r="K19" s="134">
        <f t="shared" si="1"/>
        <v>-4.0000011917432961E-3</v>
      </c>
    </row>
    <row r="20" spans="1:11" ht="30.75">
      <c r="A20" s="84">
        <v>210024</v>
      </c>
      <c r="B20" s="85" t="s">
        <v>35</v>
      </c>
      <c r="C20" s="18">
        <f>VLOOKUP(A20,'[7]IP revenue'!$A$2:$E$51,5,FALSE)</f>
        <v>283598961.66895705</v>
      </c>
      <c r="D20" s="86" t="str">
        <f>VLOOKUP(A20,'RRIP Modeling Results'!$A$4:$P$47,16,FALSE)</f>
        <v>Imp</v>
      </c>
      <c r="E20" s="19">
        <f>VLOOKUP(A20,'RRIP Modeling Results'!$A$3:$P$47,15,FALSE)</f>
        <v>-1.2000008674123844E-3</v>
      </c>
      <c r="F20" s="87">
        <f>VLOOKUP(A20,'RRIP Modeling Results'!$A$4:$P$47,14,FALSE)</f>
        <v>-340319</v>
      </c>
      <c r="G20" s="88">
        <f>VLOOKUP(A20,'PAI revenue adjustments'!$A$3:$G$46,5,FALSE)</f>
        <v>-0.216414</v>
      </c>
      <c r="H20" s="88">
        <f>VLOOKUP(A20,'PAI revenue adjustments'!$A$3:$G$46,6,FALSE)</f>
        <v>0</v>
      </c>
      <c r="I20" s="89">
        <f>VLOOKUP(A20,'PAI revenue adjustments'!$A$3:$G$46,7,FALSE)</f>
        <v>0</v>
      </c>
      <c r="J20" s="90">
        <f t="shared" si="0"/>
        <v>-340319</v>
      </c>
      <c r="K20" s="134">
        <f t="shared" si="1"/>
        <v>-1.2000008674123844E-3</v>
      </c>
    </row>
    <row r="21" spans="1:11" ht="60.75">
      <c r="A21" s="84">
        <v>210027</v>
      </c>
      <c r="B21" s="85" t="s">
        <v>36</v>
      </c>
      <c r="C21" s="18">
        <f>VLOOKUP(A21,'[7]IP revenue'!$A$2:$E$51,5,FALSE)</f>
        <v>190230034.4365184</v>
      </c>
      <c r="D21" s="86" t="str">
        <f>VLOOKUP(A21,'RRIP Modeling Results'!$A$4:$P$47,16,FALSE)</f>
        <v>Imp</v>
      </c>
      <c r="E21" s="19">
        <f>VLOOKUP(A21,'RRIP Modeling Results'!$A$3:$P$47,15,FALSE)</f>
        <v>2.5999995293332721E-3</v>
      </c>
      <c r="F21" s="87">
        <f>VLOOKUP(A21,'RRIP Modeling Results'!$A$4:$P$47,14,FALSE)</f>
        <v>494598</v>
      </c>
      <c r="G21" s="88">
        <f>VLOOKUP(A21,'PAI revenue adjustments'!$A$3:$G$46,5,FALSE)</f>
        <v>0.25899159999999999</v>
      </c>
      <c r="H21" s="88">
        <f>VLOOKUP(A21,'PAI revenue adjustments'!$A$3:$G$46,6,FALSE)</f>
        <v>0</v>
      </c>
      <c r="I21" s="89">
        <f>VLOOKUP(A21,'PAI revenue adjustments'!$A$3:$G$46,7,FALSE)</f>
        <v>0</v>
      </c>
      <c r="J21" s="90">
        <f t="shared" si="0"/>
        <v>494598</v>
      </c>
      <c r="K21" s="134">
        <f t="shared" si="1"/>
        <v>2.5999995293332721E-3</v>
      </c>
    </row>
    <row r="22" spans="1:11" ht="15.75">
      <c r="A22" s="84">
        <v>210028</v>
      </c>
      <c r="B22" s="85" t="s">
        <v>37</v>
      </c>
      <c r="C22" s="18">
        <f>VLOOKUP(A22,'[7]IP revenue'!$A$2:$E$51,5,FALSE)</f>
        <v>98242475.514136836</v>
      </c>
      <c r="D22" s="86" t="str">
        <f>VLOOKUP(A22,'RRIP Modeling Results'!$A$4:$P$47,16,FALSE)</f>
        <v>Imp</v>
      </c>
      <c r="E22" s="19">
        <f>VLOOKUP(A22,'RRIP Modeling Results'!$A$3:$P$47,15,FALSE)</f>
        <v>-4.700003716147776E-3</v>
      </c>
      <c r="F22" s="87">
        <f>VLOOKUP(A22,'RRIP Modeling Results'!$A$4:$P$47,14,FALSE)</f>
        <v>-461740</v>
      </c>
      <c r="G22" s="88">
        <f>VLOOKUP(A22,'PAI revenue adjustments'!$A$3:$G$46,5,FALSE)</f>
        <v>-0.10305300000000001</v>
      </c>
      <c r="H22" s="88">
        <f>VLOOKUP(A22,'PAI revenue adjustments'!$A$3:$G$46,6,FALSE)</f>
        <v>0</v>
      </c>
      <c r="I22" s="89">
        <f>VLOOKUP(A22,'PAI revenue adjustments'!$A$3:$G$46,7,FALSE)</f>
        <v>0</v>
      </c>
      <c r="J22" s="90">
        <f t="shared" si="0"/>
        <v>-461740</v>
      </c>
      <c r="K22" s="134">
        <f t="shared" si="1"/>
        <v>-4.700003716147776E-3</v>
      </c>
    </row>
    <row r="23" spans="1:11" ht="45.75">
      <c r="A23" s="84">
        <v>210029</v>
      </c>
      <c r="B23" s="85" t="s">
        <v>38</v>
      </c>
      <c r="C23" s="18">
        <f>VLOOKUP(A23,'[7]IP revenue'!$A$2:$E$51,5,FALSE)</f>
        <v>455171792.15993381</v>
      </c>
      <c r="D23" s="86" t="str">
        <f>VLOOKUP(A23,'RRIP Modeling Results'!$A$4:$P$47,16,FALSE)</f>
        <v>Imp</v>
      </c>
      <c r="E23" s="19">
        <f>VLOOKUP(A23,'RRIP Modeling Results'!$A$3:$P$47,15,FALSE)</f>
        <v>1.1299999447665132E-2</v>
      </c>
      <c r="F23" s="87">
        <f>VLOOKUP(A23,'RRIP Modeling Results'!$A$4:$P$47,14,FALSE)</f>
        <v>5143441</v>
      </c>
      <c r="G23" s="88">
        <f>VLOOKUP(A23,'PAI revenue adjustments'!$A$3:$G$46,5,FALSE)</f>
        <v>-0.26389000000000001</v>
      </c>
      <c r="H23" s="88">
        <f>VLOOKUP(A23,'PAI revenue adjustments'!$A$3:$G$46,6,FALSE)</f>
        <v>2.996E-3</v>
      </c>
      <c r="I23" s="89">
        <f>VLOOKUP(A23,'PAI revenue adjustments'!$A$3:$G$46,7,FALSE)</f>
        <v>1363695</v>
      </c>
      <c r="J23" s="90">
        <f t="shared" si="0"/>
        <v>6507136</v>
      </c>
      <c r="K23" s="134">
        <f t="shared" si="1"/>
        <v>1.4295999447665133E-2</v>
      </c>
    </row>
    <row r="24" spans="1:11" ht="30.75">
      <c r="A24" s="84">
        <v>210030</v>
      </c>
      <c r="B24" s="85" t="s">
        <v>39</v>
      </c>
      <c r="C24" s="18">
        <f>VLOOKUP(A24,'[7]IP revenue'!$A$2:$E$51,5,FALSE)</f>
        <v>7023611.8992402488</v>
      </c>
      <c r="D24" s="86" t="str">
        <f>VLOOKUP(A24,'RRIP Modeling Results'!$A$4:$P$47,16,FALSE)</f>
        <v>Att</v>
      </c>
      <c r="E24" s="19">
        <f>VLOOKUP(A24,'RRIP Modeling Results'!$A$3:$P$47,15,FALSE)</f>
        <v>1.9999966116464235E-2</v>
      </c>
      <c r="F24" s="87">
        <f>VLOOKUP(A24,'RRIP Modeling Results'!$A$4:$P$47,14,FALSE)</f>
        <v>140472</v>
      </c>
      <c r="G24" s="88">
        <f>VLOOKUP(A24,'PAI revenue adjustments'!$A$3:$G$46,5,FALSE)</f>
        <v>-0.124499</v>
      </c>
      <c r="H24" s="88">
        <f>VLOOKUP(A24,'PAI revenue adjustments'!$A$3:$G$46,6,FALSE)</f>
        <v>0</v>
      </c>
      <c r="I24" s="89">
        <f>VLOOKUP(A24,'PAI revenue adjustments'!$A$3:$G$46,7,FALSE)</f>
        <v>0</v>
      </c>
      <c r="J24" s="90">
        <f t="shared" si="0"/>
        <v>140472</v>
      </c>
      <c r="K24" s="134">
        <f t="shared" si="1"/>
        <v>1.9999966116464235E-2</v>
      </c>
    </row>
    <row r="25" spans="1:11" ht="45.75">
      <c r="A25" s="84">
        <v>210032</v>
      </c>
      <c r="B25" s="85" t="s">
        <v>40</v>
      </c>
      <c r="C25" s="18">
        <f>VLOOKUP(A25,'[7]IP revenue'!$A$2:$E$51,5,FALSE)</f>
        <v>90564568.874170572</v>
      </c>
      <c r="D25" s="86" t="str">
        <f>VLOOKUP(A25,'RRIP Modeling Results'!$A$4:$P$47,16,FALSE)</f>
        <v>Imp</v>
      </c>
      <c r="E25" s="19">
        <f>VLOOKUP(A25,'RRIP Modeling Results'!$A$3:$P$47,15,FALSE)</f>
        <v>-1.5100000110418727E-2</v>
      </c>
      <c r="F25" s="87">
        <f>VLOOKUP(A25,'RRIP Modeling Results'!$A$4:$P$47,14,FALSE)</f>
        <v>-1367525</v>
      </c>
      <c r="G25" s="88">
        <f>VLOOKUP(A25,'PAI revenue adjustments'!$A$3:$G$46,5,FALSE)</f>
        <v>-9.9260000000000001E-2</v>
      </c>
      <c r="H25" s="88">
        <f>VLOOKUP(A25,'PAI revenue adjustments'!$A$3:$G$46,6,FALSE)</f>
        <v>0</v>
      </c>
      <c r="I25" s="89">
        <f>VLOOKUP(A25,'PAI revenue adjustments'!$A$3:$G$46,7,FALSE)</f>
        <v>0</v>
      </c>
      <c r="J25" s="90">
        <f t="shared" si="0"/>
        <v>-1367525</v>
      </c>
      <c r="K25" s="134">
        <f t="shared" si="1"/>
        <v>-1.5100000110418727E-2</v>
      </c>
    </row>
    <row r="26" spans="1:11" ht="30.75">
      <c r="A26" s="84">
        <v>210033</v>
      </c>
      <c r="B26" s="85" t="s">
        <v>41</v>
      </c>
      <c r="C26" s="18">
        <f>VLOOKUP(A26,'[7]IP revenue'!$A$2:$E$51,5,FALSE)</f>
        <v>157367330.60061771</v>
      </c>
      <c r="D26" s="86" t="str">
        <f>VLOOKUP(A26,'RRIP Modeling Results'!$A$4:$P$47,16,FALSE)</f>
        <v>Imp</v>
      </c>
      <c r="E26" s="19">
        <f>VLOOKUP(A26,'RRIP Modeling Results'!$A$3:$P$47,15,FALSE)</f>
        <v>2.8000030140834732E-3</v>
      </c>
      <c r="F26" s="87">
        <f>VLOOKUP(A26,'RRIP Modeling Results'!$A$4:$P$47,14,FALSE)</f>
        <v>440629</v>
      </c>
      <c r="G26" s="88">
        <f>VLOOKUP(A26,'PAI revenue adjustments'!$A$3:$G$46,5,FALSE)</f>
        <v>-0.33226299999999998</v>
      </c>
      <c r="H26" s="88">
        <f>VLOOKUP(A26,'PAI revenue adjustments'!$A$3:$G$46,6,FALSE)</f>
        <v>3.9639999999999996E-3</v>
      </c>
      <c r="I26" s="89">
        <f>VLOOKUP(A26,'PAI revenue adjustments'!$A$3:$G$46,7,FALSE)</f>
        <v>623804</v>
      </c>
      <c r="J26" s="90">
        <f t="shared" si="0"/>
        <v>1064433</v>
      </c>
      <c r="K26" s="134">
        <f t="shared" si="1"/>
        <v>6.7640030140834733E-3</v>
      </c>
    </row>
    <row r="27" spans="1:11" ht="15.75">
      <c r="A27" s="84">
        <v>210034</v>
      </c>
      <c r="B27" s="85" t="s">
        <v>42</v>
      </c>
      <c r="C27" s="18">
        <f>VLOOKUP(A27,'[7]IP revenue'!$A$2:$E$51,5,FALSE)</f>
        <v>129425148.21810527</v>
      </c>
      <c r="D27" s="86" t="str">
        <f>VLOOKUP(A27,'RRIP Modeling Results'!$A$4:$P$47,16,FALSE)</f>
        <v>Imp</v>
      </c>
      <c r="E27" s="19">
        <f>VLOOKUP(A27,'RRIP Modeling Results'!$A$3:$P$47,15,FALSE)</f>
        <v>9.5000007102792709E-3</v>
      </c>
      <c r="F27" s="87">
        <f>VLOOKUP(A27,'RRIP Modeling Results'!$A$4:$P$47,14,FALSE)</f>
        <v>1229539</v>
      </c>
      <c r="G27" s="88">
        <f>VLOOKUP(A27,'PAI revenue adjustments'!$A$3:$G$46,5,FALSE)</f>
        <v>-0.351914</v>
      </c>
      <c r="H27" s="88">
        <f>VLOOKUP(A27,'PAI revenue adjustments'!$A$3:$G$46,6,FALSE)</f>
        <v>4.2420000000000001E-3</v>
      </c>
      <c r="I27" s="89">
        <f>VLOOKUP(A27,'PAI revenue adjustments'!$A$3:$G$46,7,FALSE)</f>
        <v>549021</v>
      </c>
      <c r="J27" s="90">
        <f t="shared" si="0"/>
        <v>1778560</v>
      </c>
      <c r="K27" s="134">
        <f t="shared" si="1"/>
        <v>1.374200071027927E-2</v>
      </c>
    </row>
    <row r="28" spans="1:11" ht="30.75">
      <c r="A28" s="84">
        <v>210035</v>
      </c>
      <c r="B28" s="85" t="s">
        <v>43</v>
      </c>
      <c r="C28" s="18">
        <f>VLOOKUP(A28,'[7]IP revenue'!$A$2:$E$51,5,FALSE)</f>
        <v>98358514.483739927</v>
      </c>
      <c r="D28" s="86" t="str">
        <f>VLOOKUP(A28,'RRIP Modeling Results'!$A$4:$P$47,16,FALSE)</f>
        <v>Imp</v>
      </c>
      <c r="E28" s="19">
        <f>VLOOKUP(A28,'RRIP Modeling Results'!$A$3:$P$47,15,FALSE)</f>
        <v>2.5999986004493405E-3</v>
      </c>
      <c r="F28" s="87">
        <f>VLOOKUP(A28,'RRIP Modeling Results'!$A$4:$P$47,14,FALSE)</f>
        <v>255732</v>
      </c>
      <c r="G28" s="88">
        <f>VLOOKUP(A28,'PAI revenue adjustments'!$A$3:$G$46,5,FALSE)</f>
        <v>-0.12002699999999999</v>
      </c>
      <c r="H28" s="88">
        <f>VLOOKUP(A28,'PAI revenue adjustments'!$A$3:$G$46,6,FALSE)</f>
        <v>0</v>
      </c>
      <c r="I28" s="89">
        <f>VLOOKUP(A28,'PAI revenue adjustments'!$A$3:$G$46,7,FALSE)</f>
        <v>0</v>
      </c>
      <c r="J28" s="90">
        <f t="shared" si="0"/>
        <v>255732</v>
      </c>
      <c r="K28" s="134">
        <f t="shared" si="1"/>
        <v>2.5999986004493405E-3</v>
      </c>
    </row>
    <row r="29" spans="1:11" ht="15.75">
      <c r="A29" s="84">
        <v>210037</v>
      </c>
      <c r="B29" s="85" t="s">
        <v>44</v>
      </c>
      <c r="C29" s="18">
        <f>VLOOKUP(A29,'[7]IP revenue'!$A$2:$E$51,5,FALSE)</f>
        <v>119931603.01886743</v>
      </c>
      <c r="D29" s="86" t="str">
        <f>VLOOKUP(A29,'RRIP Modeling Results'!$A$4:$P$47,16,FALSE)</f>
        <v>Att</v>
      </c>
      <c r="E29" s="19">
        <f>VLOOKUP(A29,'RRIP Modeling Results'!$A$3:$P$47,15,FALSE)</f>
        <v>1.0799997393482948E-2</v>
      </c>
      <c r="F29" s="87">
        <f>VLOOKUP(A29,'RRIP Modeling Results'!$A$4:$P$47,14,FALSE)</f>
        <v>1295261</v>
      </c>
      <c r="G29" s="88">
        <f>VLOOKUP(A29,'PAI revenue adjustments'!$A$3:$G$46,5,FALSE)</f>
        <v>-4.9353000000000001E-2</v>
      </c>
      <c r="H29" s="88">
        <f>VLOOKUP(A29,'PAI revenue adjustments'!$A$3:$G$46,6,FALSE)</f>
        <v>0</v>
      </c>
      <c r="I29" s="89">
        <f>VLOOKUP(A29,'PAI revenue adjustments'!$A$3:$G$46,7,FALSE)</f>
        <v>0</v>
      </c>
      <c r="J29" s="90">
        <f t="shared" si="0"/>
        <v>1295261</v>
      </c>
      <c r="K29" s="134">
        <f t="shared" si="1"/>
        <v>1.0799997393482948E-2</v>
      </c>
    </row>
    <row r="30" spans="1:11" ht="30.75">
      <c r="A30" s="84">
        <v>210038</v>
      </c>
      <c r="B30" s="85" t="s">
        <v>45</v>
      </c>
      <c r="C30" s="18">
        <f>VLOOKUP(A30,'[7]IP revenue'!$A$2:$E$51,5,FALSE)</f>
        <v>137864556.68863067</v>
      </c>
      <c r="D30" s="86" t="str">
        <f>VLOOKUP(A30,'RRIP Modeling Results'!$A$4:$P$47,16,FALSE)</f>
        <v>Imp</v>
      </c>
      <c r="E30" s="19">
        <f>VLOOKUP(A30,'RRIP Modeling Results'!$A$3:$P$47,15,FALSE)</f>
        <v>1.5300002050301815E-2</v>
      </c>
      <c r="F30" s="87">
        <f>VLOOKUP(A30,'RRIP Modeling Results'!$A$4:$P$47,14,FALSE)</f>
        <v>2109328</v>
      </c>
      <c r="G30" s="88">
        <f>VLOOKUP(A30,'PAI revenue adjustments'!$A$3:$G$46,5,FALSE)</f>
        <v>0.48545270000000001</v>
      </c>
      <c r="H30" s="88">
        <f>VLOOKUP(A30,'PAI revenue adjustments'!$A$3:$G$46,6,FALSE)</f>
        <v>0</v>
      </c>
      <c r="I30" s="89">
        <f>VLOOKUP(A30,'PAI revenue adjustments'!$A$3:$G$46,7,FALSE)</f>
        <v>0</v>
      </c>
      <c r="J30" s="90">
        <f t="shared" si="0"/>
        <v>2109328</v>
      </c>
      <c r="K30" s="134">
        <f t="shared" si="1"/>
        <v>1.5300002050301815E-2</v>
      </c>
    </row>
    <row r="31" spans="1:11" ht="15.75">
      <c r="A31" s="84">
        <v>210039</v>
      </c>
      <c r="B31" s="85" t="s">
        <v>46</v>
      </c>
      <c r="C31" s="18">
        <f>VLOOKUP(A31,'[7]IP revenue'!$A$2:$E$51,5,FALSE)</f>
        <v>82099976.517627656</v>
      </c>
      <c r="D31" s="86" t="str">
        <f>VLOOKUP(A31,'RRIP Modeling Results'!$A$4:$P$47,16,FALSE)</f>
        <v>Att</v>
      </c>
      <c r="E31" s="19">
        <f>VLOOKUP(A31,'RRIP Modeling Results'!$A$3:$P$47,15,FALSE)</f>
        <v>6.5000018591408514E-3</v>
      </c>
      <c r="F31" s="87">
        <f>VLOOKUP(A31,'RRIP Modeling Results'!$A$4:$P$47,14,FALSE)</f>
        <v>533650</v>
      </c>
      <c r="G31" s="88">
        <f>VLOOKUP(A31,'PAI revenue adjustments'!$A$3:$G$46,5,FALSE)</f>
        <v>0.24061199999999999</v>
      </c>
      <c r="H31" s="88">
        <f>VLOOKUP(A31,'PAI revenue adjustments'!$A$3:$G$46,6,FALSE)</f>
        <v>0</v>
      </c>
      <c r="I31" s="89">
        <f>VLOOKUP(A31,'PAI revenue adjustments'!$A$3:$G$46,7,FALSE)</f>
        <v>0</v>
      </c>
      <c r="J31" s="90">
        <f t="shared" si="0"/>
        <v>533650</v>
      </c>
      <c r="K31" s="134">
        <f t="shared" si="1"/>
        <v>6.5000018591408514E-3</v>
      </c>
    </row>
    <row r="32" spans="1:11" ht="15.75">
      <c r="A32" s="84">
        <v>210040</v>
      </c>
      <c r="B32" s="85" t="s">
        <v>47</v>
      </c>
      <c r="C32" s="18">
        <f>VLOOKUP(A32,'[7]IP revenue'!$A$2:$E$51,5,FALSE)</f>
        <v>157220825.01024193</v>
      </c>
      <c r="D32" s="86" t="str">
        <f>VLOOKUP(A32,'RRIP Modeling Results'!$A$4:$P$47,16,FALSE)</f>
        <v>Att</v>
      </c>
      <c r="E32" s="19">
        <f>VLOOKUP(A32,'RRIP Modeling Results'!$A$3:$P$47,15,FALSE)</f>
        <v>-2.4999996023071067E-3</v>
      </c>
      <c r="F32" s="87">
        <f>VLOOKUP(A32,'RRIP Modeling Results'!$A$4:$P$47,14,FALSE)</f>
        <v>-393052</v>
      </c>
      <c r="G32" s="88">
        <f>VLOOKUP(A32,'PAI revenue adjustments'!$A$3:$G$46,5,FALSE)</f>
        <v>-0.22598399999999999</v>
      </c>
      <c r="H32" s="88">
        <f>VLOOKUP(A32,'PAI revenue adjustments'!$A$3:$G$46,6,FALSE)</f>
        <v>0</v>
      </c>
      <c r="I32" s="89">
        <f>VLOOKUP(A32,'PAI revenue adjustments'!$A$3:$G$46,7,FALSE)</f>
        <v>0</v>
      </c>
      <c r="J32" s="90">
        <f t="shared" si="0"/>
        <v>-393052</v>
      </c>
      <c r="K32" s="134">
        <f t="shared" si="1"/>
        <v>-2.4999996023071067E-3</v>
      </c>
    </row>
    <row r="33" spans="1:11" ht="15.75">
      <c r="A33" s="84">
        <v>210043</v>
      </c>
      <c r="B33" s="85" t="s">
        <v>48</v>
      </c>
      <c r="C33" s="18">
        <f>VLOOKUP(A33,'[7]IP revenue'!$A$2:$E$51,5,FALSE)</f>
        <v>326459953.60958123</v>
      </c>
      <c r="D33" s="86" t="str">
        <f>VLOOKUP(A33,'RRIP Modeling Results'!$A$4:$P$47,16,FALSE)</f>
        <v>Imp</v>
      </c>
      <c r="E33" s="19">
        <f>VLOOKUP(A33,'RRIP Modeling Results'!$A$3:$P$47,15,FALSE)</f>
        <v>3.2000004547245026E-3</v>
      </c>
      <c r="F33" s="87">
        <f>VLOOKUP(A33,'RRIP Modeling Results'!$A$4:$P$47,14,FALSE)</f>
        <v>1044672</v>
      </c>
      <c r="G33" s="88">
        <f>VLOOKUP(A33,'PAI revenue adjustments'!$A$3:$G$46,5,FALSE)</f>
        <v>-3.5446999999999999E-2</v>
      </c>
      <c r="H33" s="88">
        <f>VLOOKUP(A33,'PAI revenue adjustments'!$A$3:$G$46,6,FALSE)</f>
        <v>0</v>
      </c>
      <c r="I33" s="89">
        <f>VLOOKUP(A33,'PAI revenue adjustments'!$A$3:$G$46,7,FALSE)</f>
        <v>0</v>
      </c>
      <c r="J33" s="90">
        <f t="shared" si="0"/>
        <v>1044672</v>
      </c>
      <c r="K33" s="134">
        <f t="shared" si="1"/>
        <v>3.2000004547245026E-3</v>
      </c>
    </row>
    <row r="34" spans="1:11" ht="15.75">
      <c r="A34" s="84">
        <v>210044</v>
      </c>
      <c r="B34" s="85" t="s">
        <v>49</v>
      </c>
      <c r="C34" s="18">
        <f>VLOOKUP(A34,'[7]IP revenue'!$A$2:$E$51,5,FALSE)</f>
        <v>254895212.92070058</v>
      </c>
      <c r="D34" s="86" t="str">
        <f>VLOOKUP(A34,'RRIP Modeling Results'!$A$4:$P$47,16,FALSE)</f>
        <v>Att</v>
      </c>
      <c r="E34" s="19">
        <f>VLOOKUP(A34,'RRIP Modeling Results'!$A$3:$P$47,15,FALSE)</f>
        <v>6.1999987441570996E-3</v>
      </c>
      <c r="F34" s="87">
        <f>VLOOKUP(A34,'RRIP Modeling Results'!$A$4:$P$47,14,FALSE)</f>
        <v>1580350</v>
      </c>
      <c r="G34" s="88">
        <f>VLOOKUP(A34,'PAI revenue adjustments'!$A$3:$G$46,5,FALSE)</f>
        <v>-0.24010400000000001</v>
      </c>
      <c r="H34" s="88">
        <f>VLOOKUP(A34,'PAI revenue adjustments'!$A$3:$G$46,6,FALSE)</f>
        <v>2.6589999999999999E-3</v>
      </c>
      <c r="I34" s="89">
        <f>VLOOKUP(A34,'PAI revenue adjustments'!$A$3:$G$46,7,FALSE)</f>
        <v>677766</v>
      </c>
      <c r="J34" s="90">
        <f t="shared" si="0"/>
        <v>2258116</v>
      </c>
      <c r="K34" s="134">
        <f t="shared" si="1"/>
        <v>8.8589987441571004E-3</v>
      </c>
    </row>
    <row r="35" spans="1:11" ht="30.75">
      <c r="A35" s="84">
        <v>210048</v>
      </c>
      <c r="B35" s="85" t="s">
        <v>50</v>
      </c>
      <c r="C35" s="18">
        <f>VLOOKUP(A35,'[7]IP revenue'!$A$2:$E$51,5,FALSE)</f>
        <v>214071731.70784119</v>
      </c>
      <c r="D35" s="86" t="str">
        <f>VLOOKUP(A35,'RRIP Modeling Results'!$A$4:$P$47,16,FALSE)</f>
        <v>Att</v>
      </c>
      <c r="E35" s="19">
        <f>VLOOKUP(A35,'RRIP Modeling Results'!$A$3:$P$47,15,FALSE)</f>
        <v>-9.3999987011189889E-3</v>
      </c>
      <c r="F35" s="87">
        <f>VLOOKUP(A35,'RRIP Modeling Results'!$A$4:$P$47,14,FALSE)</f>
        <v>-2012274</v>
      </c>
      <c r="G35" s="88">
        <f>VLOOKUP(A35,'PAI revenue adjustments'!$A$3:$G$46,5,FALSE)</f>
        <v>4.65987E-2</v>
      </c>
      <c r="H35" s="88">
        <f>VLOOKUP(A35,'PAI revenue adjustments'!$A$3:$G$46,6,FALSE)</f>
        <v>0</v>
      </c>
      <c r="I35" s="89">
        <f>VLOOKUP(A35,'PAI revenue adjustments'!$A$3:$G$46,7,FALSE)</f>
        <v>0</v>
      </c>
      <c r="J35" s="90">
        <f t="shared" si="0"/>
        <v>-2012274</v>
      </c>
      <c r="K35" s="134">
        <f t="shared" si="1"/>
        <v>-9.3999987011189889E-3</v>
      </c>
    </row>
    <row r="36" spans="1:11" ht="45.75">
      <c r="A36" s="84">
        <v>210049</v>
      </c>
      <c r="B36" s="85" t="s">
        <v>51</v>
      </c>
      <c r="C36" s="18">
        <f>VLOOKUP(A36,'[7]IP revenue'!$A$2:$E$51,5,FALSE)</f>
        <v>201124138.71816137</v>
      </c>
      <c r="D36" s="86" t="str">
        <f>VLOOKUP(A36,'RRIP Modeling Results'!$A$4:$P$47,16,FALSE)</f>
        <v>Att</v>
      </c>
      <c r="E36" s="19">
        <f>VLOOKUP(A36,'RRIP Modeling Results'!$A$3:$P$47,15,FALSE)</f>
        <v>-3.4999975860005271E-3</v>
      </c>
      <c r="F36" s="87">
        <f>VLOOKUP(A36,'RRIP Modeling Results'!$A$4:$P$47,14,FALSE)</f>
        <v>-703934</v>
      </c>
      <c r="G36" s="88">
        <f>VLOOKUP(A36,'PAI revenue adjustments'!$A$3:$G$46,5,FALSE)</f>
        <v>0.24549670000000001</v>
      </c>
      <c r="H36" s="88">
        <f>VLOOKUP(A36,'PAI revenue adjustments'!$A$3:$G$46,6,FALSE)</f>
        <v>0</v>
      </c>
      <c r="I36" s="89">
        <f>VLOOKUP(A36,'PAI revenue adjustments'!$A$3:$G$46,7,FALSE)</f>
        <v>0</v>
      </c>
      <c r="J36" s="90">
        <f t="shared" si="0"/>
        <v>-703934</v>
      </c>
      <c r="K36" s="134">
        <f t="shared" si="1"/>
        <v>-3.4999975860005271E-3</v>
      </c>
    </row>
    <row r="37" spans="1:11" ht="30.75">
      <c r="A37" s="84">
        <v>210051</v>
      </c>
      <c r="B37" s="85" t="s">
        <v>52</v>
      </c>
      <c r="C37" s="18">
        <f>VLOOKUP(A37,'[7]IP revenue'!$A$2:$E$51,5,FALSE)</f>
        <v>176421776.5508185</v>
      </c>
      <c r="D37" s="86" t="str">
        <f>VLOOKUP(A37,'RRIP Modeling Results'!$A$4:$P$47,16,FALSE)</f>
        <v>Imp</v>
      </c>
      <c r="E37" s="19">
        <f>VLOOKUP(A37,'RRIP Modeling Results'!$A$3:$P$47,15,FALSE)</f>
        <v>3.8000014119962656E-3</v>
      </c>
      <c r="F37" s="87">
        <f>VLOOKUP(A37,'RRIP Modeling Results'!$A$4:$P$47,14,FALSE)</f>
        <v>670403</v>
      </c>
      <c r="G37" s="88">
        <f>VLOOKUP(A37,'PAI revenue adjustments'!$A$3:$G$46,5,FALSE)</f>
        <v>-0.124434</v>
      </c>
      <c r="H37" s="88">
        <f>VLOOKUP(A37,'PAI revenue adjustments'!$A$3:$G$46,6,FALSE)</f>
        <v>0</v>
      </c>
      <c r="I37" s="89">
        <f>VLOOKUP(A37,'PAI revenue adjustments'!$A$3:$G$46,7,FALSE)</f>
        <v>0</v>
      </c>
      <c r="J37" s="90">
        <f t="shared" si="0"/>
        <v>670403</v>
      </c>
      <c r="K37" s="134">
        <f t="shared" si="1"/>
        <v>3.8000014119962656E-3</v>
      </c>
    </row>
    <row r="38" spans="1:11" ht="30.75">
      <c r="A38" s="84">
        <v>210056</v>
      </c>
      <c r="B38" s="85" t="s">
        <v>53</v>
      </c>
      <c r="C38" s="18">
        <f>VLOOKUP(A38,'[7]IP revenue'!$A$2:$E$51,5,FALSE)</f>
        <v>191497543.9445892</v>
      </c>
      <c r="D38" s="86" t="str">
        <f>VLOOKUP(A38,'RRIP Modeling Results'!$A$4:$P$47,16,FALSE)</f>
        <v>Imp</v>
      </c>
      <c r="E38" s="19">
        <f>VLOOKUP(A38,'RRIP Modeling Results'!$A$3:$P$47,15,FALSE)</f>
        <v>-4.1000003646374924E-3</v>
      </c>
      <c r="F38" s="87">
        <f>VLOOKUP(A38,'RRIP Modeling Results'!$A$4:$P$47,14,FALSE)</f>
        <v>-785140</v>
      </c>
      <c r="G38" s="88">
        <f>VLOOKUP(A38,'PAI revenue adjustments'!$A$3:$G$46,5,FALSE)</f>
        <v>1.63144E-2</v>
      </c>
      <c r="H38" s="88">
        <f>VLOOKUP(A38,'PAI revenue adjustments'!$A$3:$G$46,6,FALSE)</f>
        <v>0</v>
      </c>
      <c r="I38" s="89">
        <f>VLOOKUP(A38,'PAI revenue adjustments'!$A$3:$G$46,7,FALSE)</f>
        <v>0</v>
      </c>
      <c r="J38" s="90">
        <f t="shared" si="0"/>
        <v>-785140</v>
      </c>
      <c r="K38" s="134">
        <f t="shared" si="1"/>
        <v>-4.1000003646374924E-3</v>
      </c>
    </row>
    <row r="39" spans="1:11" ht="15.75">
      <c r="A39" s="84">
        <v>210057</v>
      </c>
      <c r="B39" s="85" t="s">
        <v>54</v>
      </c>
      <c r="C39" s="18">
        <f>VLOOKUP(A39,'[7]IP revenue'!$A$2:$E$51,5,FALSE)</f>
        <v>321044392.86646461</v>
      </c>
      <c r="D39" s="86" t="str">
        <f>VLOOKUP(A39,'RRIP Modeling Results'!$A$4:$P$47,16,FALSE)</f>
        <v>Att</v>
      </c>
      <c r="E39" s="19">
        <f>VLOOKUP(A39,'RRIP Modeling Results'!$A$3:$P$47,15,FALSE)</f>
        <v>7.799999176567385E-3</v>
      </c>
      <c r="F39" s="87">
        <f>VLOOKUP(A39,'RRIP Modeling Results'!$A$4:$P$47,14,FALSE)</f>
        <v>2504146</v>
      </c>
      <c r="G39" s="88">
        <f>VLOOKUP(A39,'PAI revenue adjustments'!$A$3:$G$46,5,FALSE)</f>
        <v>-0.615429</v>
      </c>
      <c r="H39" s="88">
        <f>VLOOKUP(A39,'PAI revenue adjustments'!$A$3:$G$46,6,FALSE)</f>
        <v>5.0000000000000001E-3</v>
      </c>
      <c r="I39" s="89">
        <f>VLOOKUP(A39,'PAI revenue adjustments'!$A$3:$G$46,7,FALSE)</f>
        <v>1605222</v>
      </c>
      <c r="J39" s="90">
        <f t="shared" si="0"/>
        <v>4109368</v>
      </c>
      <c r="K39" s="134">
        <f t="shared" si="1"/>
        <v>1.2799999176567385E-2</v>
      </c>
    </row>
    <row r="40" spans="1:11" ht="30.75">
      <c r="A40" s="84">
        <v>210058</v>
      </c>
      <c r="B40" s="85" t="s">
        <v>55</v>
      </c>
      <c r="C40" s="18">
        <f>VLOOKUP(A40,'[7]IP revenue'!$A$2:$E$51,5,FALSE)</f>
        <v>74199748.680663943</v>
      </c>
      <c r="D40" s="86" t="str">
        <f>VLOOKUP(A40,'RRIP Modeling Results'!$A$4:$P$47,16,FALSE)</f>
        <v>Att</v>
      </c>
      <c r="E40" s="19">
        <f>VLOOKUP(A40,'RRIP Modeling Results'!$A$3:$P$47,15,FALSE)</f>
        <v>1.1699991110970321E-3</v>
      </c>
      <c r="F40" s="87">
        <f>VLOOKUP(A40,'RRIP Modeling Results'!$A$4:$P$47,14,FALSE)</f>
        <v>86813.64</v>
      </c>
      <c r="G40" s="88">
        <f>VLOOKUP(A40,'PAI revenue adjustments'!$A$3:$G$46,5,FALSE)</f>
        <v>7.0120500000000002E-2</v>
      </c>
      <c r="H40" s="88">
        <f>VLOOKUP(A40,'PAI revenue adjustments'!$A$3:$G$46,6,FALSE)</f>
        <v>0</v>
      </c>
      <c r="I40" s="89">
        <f>VLOOKUP(A40,'PAI revenue adjustments'!$A$3:$G$46,7,FALSE)</f>
        <v>0</v>
      </c>
      <c r="J40" s="90">
        <f t="shared" si="0"/>
        <v>86813.64</v>
      </c>
      <c r="K40" s="134">
        <f t="shared" si="1"/>
        <v>1.1699991110970321E-3</v>
      </c>
    </row>
    <row r="41" spans="1:11" ht="30.75">
      <c r="A41" s="84">
        <v>210060</v>
      </c>
      <c r="B41" s="85" t="s">
        <v>56</v>
      </c>
      <c r="C41" s="18">
        <f>VLOOKUP(A41,'[7]IP revenue'!$A$2:$E$51,5,FALSE)</f>
        <v>31642518.132036917</v>
      </c>
      <c r="D41" s="86" t="str">
        <f>VLOOKUP(A41,'RRIP Modeling Results'!$A$4:$P$47,16,FALSE)</f>
        <v>Imp</v>
      </c>
      <c r="E41" s="19">
        <f>VLOOKUP(A41,'RRIP Modeling Results'!$A$3:$P$47,15,FALSE)</f>
        <v>-4.7000052075320238E-3</v>
      </c>
      <c r="F41" s="87">
        <f>VLOOKUP(A41,'RRIP Modeling Results'!$A$4:$P$47,14,FALSE)</f>
        <v>-148720</v>
      </c>
      <c r="G41" s="88">
        <f>VLOOKUP(A41,'PAI revenue adjustments'!$A$3:$G$46,5,FALSE)</f>
        <v>-0.21068300000000001</v>
      </c>
      <c r="H41" s="88">
        <f>VLOOKUP(A41,'PAI revenue adjustments'!$A$3:$G$46,6,FALSE)</f>
        <v>0</v>
      </c>
      <c r="I41" s="89">
        <f>VLOOKUP(A41,'PAI revenue adjustments'!$A$3:$G$46,7,FALSE)</f>
        <v>0</v>
      </c>
      <c r="J41" s="90">
        <f t="shared" si="0"/>
        <v>-148720</v>
      </c>
      <c r="K41" s="134">
        <f t="shared" si="1"/>
        <v>-4.7000052075320238E-3</v>
      </c>
    </row>
    <row r="42" spans="1:11" ht="30.75">
      <c r="A42" s="84">
        <v>210061</v>
      </c>
      <c r="B42" s="85" t="s">
        <v>57</v>
      </c>
      <c r="C42" s="18">
        <f>VLOOKUP(A42,'[7]IP revenue'!$A$2:$E$51,5,FALSE)</f>
        <v>45367140.905673936</v>
      </c>
      <c r="D42" s="86" t="str">
        <f>VLOOKUP(A42,'RRIP Modeling Results'!$A$4:$P$47,16,FALSE)</f>
        <v>Att</v>
      </c>
      <c r="E42" s="19">
        <f>VLOOKUP(A42,'RRIP Modeling Results'!$A$3:$P$47,15,FALSE)</f>
        <v>8.5000066634521258E-3</v>
      </c>
      <c r="F42" s="87">
        <f>VLOOKUP(A42,'RRIP Modeling Results'!$A$4:$P$47,14,FALSE)</f>
        <v>385621</v>
      </c>
      <c r="G42" s="88">
        <f>VLOOKUP(A42,'PAI revenue adjustments'!$A$3:$G$46,5,FALSE)</f>
        <v>3.5096700000000002E-2</v>
      </c>
      <c r="H42" s="88">
        <f>VLOOKUP(A42,'PAI revenue adjustments'!$A$3:$G$46,6,FALSE)</f>
        <v>0</v>
      </c>
      <c r="I42" s="89">
        <f>VLOOKUP(A42,'PAI revenue adjustments'!$A$3:$G$46,7,FALSE)</f>
        <v>0</v>
      </c>
      <c r="J42" s="90">
        <f t="shared" si="0"/>
        <v>385621</v>
      </c>
      <c r="K42" s="134">
        <f t="shared" si="1"/>
        <v>8.5000066634521258E-3</v>
      </c>
    </row>
    <row r="43" spans="1:11" ht="30.75">
      <c r="A43" s="84">
        <v>210062</v>
      </c>
      <c r="B43" s="85" t="s">
        <v>58</v>
      </c>
      <c r="C43" s="18">
        <f>VLOOKUP(A43,'[7]IP revenue'!$A$2:$E$51,5,FALSE)</f>
        <v>196475930.16038722</v>
      </c>
      <c r="D43" s="86" t="str">
        <f>VLOOKUP(A43,'RRIP Modeling Results'!$A$4:$P$47,16,FALSE)</f>
        <v>Imp</v>
      </c>
      <c r="E43" s="19">
        <f>VLOOKUP(A43,'RRIP Modeling Results'!$A$3:$P$47,15,FALSE)</f>
        <v>8.000013023055293E-4</v>
      </c>
      <c r="F43" s="87">
        <f>VLOOKUP(A43,'RRIP Modeling Results'!$A$4:$P$47,14,FALSE)</f>
        <v>157181</v>
      </c>
      <c r="G43" s="88">
        <f>VLOOKUP(A43,'PAI revenue adjustments'!$A$3:$G$46,5,FALSE)</f>
        <v>-1.2841E-2</v>
      </c>
      <c r="H43" s="88">
        <f>VLOOKUP(A43,'PAI revenue adjustments'!$A$3:$G$46,6,FALSE)</f>
        <v>0</v>
      </c>
      <c r="I43" s="89">
        <f>VLOOKUP(A43,'PAI revenue adjustments'!$A$3:$G$46,7,FALSE)</f>
        <v>0</v>
      </c>
      <c r="J43" s="90">
        <f t="shared" si="0"/>
        <v>157181</v>
      </c>
      <c r="K43" s="134">
        <f t="shared" si="1"/>
        <v>8.000013023055293E-4</v>
      </c>
    </row>
    <row r="44" spans="1:11" ht="30.75">
      <c r="A44" s="84">
        <v>210063</v>
      </c>
      <c r="B44" s="85" t="s">
        <v>59</v>
      </c>
      <c r="C44" s="18">
        <f>VLOOKUP(A44,'[7]IP revenue'!$A$2:$E$51,5,FALSE)</f>
        <v>280257927.04977566</v>
      </c>
      <c r="D44" s="86" t="str">
        <f>VLOOKUP(A44,'RRIP Modeling Results'!$A$4:$P$47,16,FALSE)</f>
        <v>Att</v>
      </c>
      <c r="E44" s="19">
        <f>VLOOKUP(A44,'RRIP Modeling Results'!$A$3:$P$47,15,FALSE)</f>
        <v>-4.2999996920192905E-3</v>
      </c>
      <c r="F44" s="87">
        <f>VLOOKUP(A44,'RRIP Modeling Results'!$A$4:$P$47,14,FALSE)</f>
        <v>-1205109</v>
      </c>
      <c r="G44" s="88">
        <f>VLOOKUP(A44,'PAI revenue adjustments'!$A$3:$G$46,5,FALSE)</f>
        <v>-0.26023600000000002</v>
      </c>
      <c r="H44" s="88">
        <f>VLOOKUP(A44,'PAI revenue adjustments'!$A$3:$G$46,6,FALSE)</f>
        <v>0</v>
      </c>
      <c r="I44" s="89">
        <f>VLOOKUP(A44,'PAI revenue adjustments'!$A$3:$G$46,7,FALSE)</f>
        <v>0</v>
      </c>
      <c r="J44" s="90">
        <f t="shared" si="0"/>
        <v>-1205109</v>
      </c>
      <c r="K44" s="134">
        <f t="shared" si="1"/>
        <v>-4.2999996920192905E-3</v>
      </c>
    </row>
    <row r="45" spans="1:11" ht="15.75">
      <c r="A45" s="84">
        <v>210064</v>
      </c>
      <c r="B45" s="85" t="s">
        <v>60</v>
      </c>
      <c r="C45" s="18">
        <f>VLOOKUP(A45,'[7]IP revenue'!$A$2:$E$51,5,FALSE)</f>
        <v>66200891.472133711</v>
      </c>
      <c r="D45" s="86" t="str">
        <f>VLOOKUP(A45,'RRIP Modeling Results'!$A$4:$P$47,16,FALSE)</f>
        <v>Imp</v>
      </c>
      <c r="E45" s="19">
        <f>VLOOKUP(A45,'RRIP Modeling Results'!$A$3:$P$47,15,FALSE)</f>
        <v>1.5400004098572312E-2</v>
      </c>
      <c r="F45" s="87">
        <f>VLOOKUP(A45,'RRIP Modeling Results'!$A$4:$P$47,14,FALSE)</f>
        <v>1019494</v>
      </c>
      <c r="G45" s="88">
        <f>VLOOKUP(A45,'PAI revenue adjustments'!$A$3:$G$46,5,FALSE)</f>
        <v>-0.29744599999999999</v>
      </c>
      <c r="H45" s="88">
        <f>VLOOKUP(A45,'PAI revenue adjustments'!$A$3:$G$46,6,FALSE)</f>
        <v>3.4710000000000001E-3</v>
      </c>
      <c r="I45" s="89">
        <f>VLOOKUP(A45,'PAI revenue adjustments'!$A$3:$G$46,7,FALSE)</f>
        <v>229783</v>
      </c>
      <c r="J45" s="90">
        <f t="shared" si="0"/>
        <v>1249277</v>
      </c>
      <c r="K45" s="134">
        <f t="shared" si="1"/>
        <v>1.8871004098572314E-2</v>
      </c>
    </row>
    <row r="46" spans="1:11" ht="30.75">
      <c r="A46" s="84">
        <v>210065</v>
      </c>
      <c r="B46" s="85" t="s">
        <v>61</v>
      </c>
      <c r="C46" s="18">
        <f>VLOOKUP(A46,'[7]IP revenue'!$A$2:$E$51,5,FALSE)</f>
        <v>79412195.1085798</v>
      </c>
      <c r="D46" s="86" t="str">
        <f>VLOOKUP(A46,'RRIP Modeling Results'!$A$4:$P$47,16,FALSE)</f>
        <v>Imp</v>
      </c>
      <c r="E46" s="19">
        <f>VLOOKUP(A46,'RRIP Modeling Results'!$A$3:$P$47,15,FALSE)</f>
        <v>2.2999993861177936E-3</v>
      </c>
      <c r="F46" s="87">
        <f>VLOOKUP(A46,'RRIP Modeling Results'!$A$4:$P$47,14,FALSE)</f>
        <v>182648</v>
      </c>
      <c r="G46" s="88">
        <f>VLOOKUP(A46,'PAI revenue adjustments'!$A$3:$G$46,5,FALSE)</f>
        <v>-0.29644399999999999</v>
      </c>
      <c r="H46" s="88">
        <f>VLOOKUP(A46,'PAI revenue adjustments'!$A$3:$G$46,6,FALSE)</f>
        <v>3.457E-3</v>
      </c>
      <c r="I46" s="89">
        <f>VLOOKUP(A46,'PAI revenue adjustments'!$A$3:$G$46,7,FALSE)</f>
        <v>274528</v>
      </c>
      <c r="J46" s="90">
        <f t="shared" si="0"/>
        <v>457176</v>
      </c>
      <c r="K46" s="134">
        <f t="shared" si="1"/>
        <v>5.7569993861177936E-3</v>
      </c>
    </row>
    <row r="49" spans="1:11" ht="45">
      <c r="F49" s="97" t="s">
        <v>141</v>
      </c>
      <c r="G49" s="98" t="s">
        <v>142</v>
      </c>
      <c r="H49" s="98" t="s">
        <v>140</v>
      </c>
      <c r="I49" s="98" t="s">
        <v>139</v>
      </c>
      <c r="J49" s="98" t="s">
        <v>143</v>
      </c>
      <c r="K49" s="98"/>
    </row>
    <row r="50" spans="1:11" ht="15.75">
      <c r="A50" s="30" t="s">
        <v>62</v>
      </c>
      <c r="B50" s="30"/>
      <c r="C50" s="92">
        <f>SUM(C3:C46)</f>
        <v>11393598819.627283</v>
      </c>
      <c r="D50" s="30"/>
      <c r="E50" s="30"/>
      <c r="F50" s="92">
        <f>SUM(F3:F46)</f>
        <v>56176032.805809811</v>
      </c>
      <c r="G50" s="93">
        <f>F50/$C$50</f>
        <v>4.9304906812268718E-3</v>
      </c>
      <c r="H50" s="30"/>
      <c r="I50" s="92">
        <f>SUM(I3:I46)</f>
        <v>7782485</v>
      </c>
      <c r="J50" s="37">
        <f>SUM(J3:J46)</f>
        <v>63958517.805809811</v>
      </c>
      <c r="K50" s="37"/>
    </row>
    <row r="51" spans="1:11" ht="15.75">
      <c r="A51" s="30" t="s">
        <v>63</v>
      </c>
      <c r="B51" s="30"/>
      <c r="C51" s="30"/>
      <c r="D51" s="30"/>
      <c r="E51" s="30"/>
      <c r="F51" s="91">
        <f>SUMIF(F3:F46,"&lt;0",F3:F46)</f>
        <v>-12811324.015161239</v>
      </c>
      <c r="G51" s="93">
        <f>F51/$C$50</f>
        <v>-1.1244317285502188E-3</v>
      </c>
      <c r="H51" s="30" t="s">
        <v>144</v>
      </c>
      <c r="I51" t="s">
        <v>144</v>
      </c>
      <c r="J51" s="91">
        <f>SUMIF(J3:J46,"&lt;0",J3:J46)</f>
        <v>-12269680.880813489</v>
      </c>
      <c r="K51" s="91"/>
    </row>
    <row r="52" spans="1:11" ht="15.75">
      <c r="A52" s="30" t="s">
        <v>64</v>
      </c>
      <c r="B52" s="30"/>
      <c r="C52" s="30"/>
      <c r="D52" s="30"/>
      <c r="E52" s="30"/>
      <c r="F52" s="91">
        <f>SUMIF(F3:F46,"&gt;0",F3:F46)</f>
        <v>68987356.820971057</v>
      </c>
      <c r="G52" s="93">
        <f>F52/$C$50</f>
        <v>6.0549224097770915E-3</v>
      </c>
      <c r="H52" s="94">
        <f>I50/C50</f>
        <v>6.8305766450135438E-4</v>
      </c>
      <c r="I52" s="92">
        <f>SUM(I5:I48)</f>
        <v>7782485</v>
      </c>
      <c r="J52" s="91">
        <f>SUMIF(J3:J46,"&gt;0",J3:J46)</f>
        <v>76228198.68662329</v>
      </c>
      <c r="K52" s="91"/>
    </row>
    <row r="56" spans="1:11" ht="15.75">
      <c r="A56" s="95"/>
    </row>
    <row r="57" spans="1:11" ht="15.75">
      <c r="A57" s="96"/>
    </row>
    <row r="58" spans="1:11" ht="15.75">
      <c r="A58" s="96"/>
    </row>
  </sheetData>
  <autoFilter ref="A2:K2" xr:uid="{732E8FCD-3068-4FC7-8685-F8D06ED697EC}">
    <sortState xmlns:xlrd2="http://schemas.microsoft.com/office/spreadsheetml/2017/richdata2" ref="A3:K46">
      <sortCondition ref="A2"/>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B2F0-547C-4709-95BD-77A8F1239172}">
  <dimension ref="A1:S66"/>
  <sheetViews>
    <sheetView workbookViewId="0">
      <pane xSplit="2" ySplit="3" topLeftCell="C30" activePane="bottomRight" state="frozen"/>
      <selection pane="topRight" activeCell="C1" sqref="C1"/>
      <selection pane="bottomLeft" activeCell="A3" sqref="A3"/>
      <selection pane="bottomRight" activeCell="M42" sqref="M42"/>
    </sheetView>
  </sheetViews>
  <sheetFormatPr defaultColWidth="9.28515625" defaultRowHeight="15"/>
  <cols>
    <col min="1" max="1" width="10" style="3" customWidth="1"/>
    <col min="2" max="2" width="41.42578125" style="2" customWidth="1"/>
    <col min="3" max="3" width="18.7109375" style="3" bestFit="1" customWidth="1"/>
    <col min="4" max="4" width="16.7109375" style="3" customWidth="1"/>
    <col min="5" max="6" width="17.140625" style="3" customWidth="1"/>
    <col min="7" max="7" width="8.7109375" style="3" customWidth="1"/>
    <col min="8" max="8" width="12.5703125" style="3" customWidth="1"/>
    <col min="9" max="9" width="15" style="3" customWidth="1"/>
    <col min="10" max="10" width="16" style="3" customWidth="1"/>
    <col min="11" max="11" width="9.140625" style="3" customWidth="1"/>
    <col min="12" max="12" width="13" style="3" customWidth="1"/>
    <col min="13" max="13" width="16.140625" style="3" customWidth="1"/>
    <col min="14" max="14" width="18" style="4" customWidth="1"/>
    <col min="15" max="15" width="13.140625" style="3" customWidth="1"/>
    <col min="16" max="16" width="14.5703125" style="3" customWidth="1"/>
    <col min="17" max="17" width="10.28515625" style="3" bestFit="1" customWidth="1"/>
    <col min="18" max="18" width="28.140625" style="3" bestFit="1" customWidth="1"/>
    <col min="19" max="19" width="10.5703125" style="3" bestFit="1" customWidth="1"/>
    <col min="20" max="16384" width="9.28515625" style="3"/>
  </cols>
  <sheetData>
    <row r="1" spans="1:19" ht="15.75">
      <c r="A1" s="1" t="s">
        <v>75</v>
      </c>
    </row>
    <row r="2" spans="1:19" ht="18.75" customHeight="1">
      <c r="A2" s="148"/>
      <c r="B2" s="148"/>
      <c r="C2" s="148"/>
      <c r="D2" s="148"/>
      <c r="E2" s="148"/>
      <c r="F2" s="149"/>
      <c r="G2" s="150" t="s">
        <v>0</v>
      </c>
      <c r="H2" s="151"/>
      <c r="I2" s="152"/>
      <c r="J2" s="153" t="s">
        <v>1</v>
      </c>
      <c r="K2" s="154"/>
      <c r="L2" s="154"/>
      <c r="M2" s="155"/>
      <c r="N2" s="156" t="s">
        <v>2</v>
      </c>
      <c r="O2" s="157"/>
      <c r="P2" s="157"/>
      <c r="R2" s="5" t="s">
        <v>3</v>
      </c>
      <c r="S2" s="3" t="s">
        <v>138</v>
      </c>
    </row>
    <row r="3" spans="1:19" s="13" customFormat="1" ht="75">
      <c r="A3" s="6" t="s">
        <v>4</v>
      </c>
      <c r="B3" s="7" t="s">
        <v>5</v>
      </c>
      <c r="C3" s="8" t="s">
        <v>74</v>
      </c>
      <c r="D3" s="9" t="s">
        <v>6</v>
      </c>
      <c r="E3" s="9" t="s">
        <v>7</v>
      </c>
      <c r="F3" s="9" t="s">
        <v>8</v>
      </c>
      <c r="G3" s="10" t="s">
        <v>9</v>
      </c>
      <c r="H3" s="10" t="s">
        <v>10</v>
      </c>
      <c r="I3" s="10" t="s">
        <v>11</v>
      </c>
      <c r="J3" s="11" t="s">
        <v>77</v>
      </c>
      <c r="K3" s="11" t="s">
        <v>12</v>
      </c>
      <c r="L3" s="11" t="s">
        <v>10</v>
      </c>
      <c r="M3" s="11" t="s">
        <v>11</v>
      </c>
      <c r="N3" s="12" t="s">
        <v>13</v>
      </c>
      <c r="O3" s="12" t="s">
        <v>14</v>
      </c>
      <c r="P3" s="12" t="s">
        <v>15</v>
      </c>
      <c r="R3" s="14" t="s">
        <v>16</v>
      </c>
      <c r="S3" s="15" t="s">
        <v>222</v>
      </c>
    </row>
    <row r="4" spans="1:19">
      <c r="A4" s="16">
        <v>210001</v>
      </c>
      <c r="B4" s="17" t="s">
        <v>17</v>
      </c>
      <c r="C4" s="18">
        <f>VLOOKUP(A4,'[7]IP revenue'!$A$2:$E$51,5,FALSE)</f>
        <v>236441777.03256336</v>
      </c>
      <c r="D4" s="19">
        <f>VLOOKUP(A4,'4.CY2022 Improve All Payers'!A7:O56,8,FALSE)</f>
        <v>0.1179</v>
      </c>
      <c r="E4" s="20">
        <f>VLOOKUP(A4,'4.CY2022 Improve All Payers'!A7:O56,14,FALSE)</f>
        <v>0.12039999999999999</v>
      </c>
      <c r="F4" s="20">
        <f>VLOOKUP(A4,'4.CY2022 Improve All Payers'!A7:O56,15,FALSE)</f>
        <v>2.12E-2</v>
      </c>
      <c r="G4" s="21">
        <f t="shared" ref="G4:G18" si="0">ImpTarget</f>
        <v>-6.0499999999999998E-2</v>
      </c>
      <c r="H4" s="22">
        <f t="shared" ref="H4:H35" si="1">ROUND(IF(F4&lt;=ImpMaxRewardScore,MaxReward,IF(F4&gt;=ImpMaxPenaltyScore,MaxPenalty,IF(F4&lt;=ImpTarget,MaxReward*((F4-ImpTarget)/(ImpMaxRewardScore-ImpTarget)),MaxPenalty*((F4-ImpTarget)/(ImpMaxPenaltyScore-ImpTarget))))),4)</f>
        <v>-7.7999999999999996E-3</v>
      </c>
      <c r="I4" s="23">
        <f t="shared" ref="I4:I47" si="2">ROUND($C4*H4,0)</f>
        <v>-1844246</v>
      </c>
      <c r="J4" s="20">
        <f>VLOOKUP(A4,'8.  CY22 Readmit Attainment'!A4:E47,5,FALSE)</f>
        <v>0.12565823068309068</v>
      </c>
      <c r="K4" s="24">
        <f t="shared" ref="K4:K47" si="3">AttTarget</f>
        <v>0.1159</v>
      </c>
      <c r="L4" s="22">
        <f t="shared" ref="L4:L35" si="4">ROUND(IF(J4&lt;=AttMaxRewardScore,MaxReward,IF(J4&gt;=AttMaxPenaltyScore,MaxPenalty,IF(J4&lt;=AttTarget,MaxReward*((J4-AttTarget)/(AttMaxRewardScore-AttTarget)),MaxPenalty*((J4-AttTarget)/(AttMaxPenaltyScore-AttTarget))))),4)</f>
        <v>-6.1999999999999998E-3</v>
      </c>
      <c r="M4" s="23">
        <f>$C4*L4</f>
        <v>-1465939.0176018928</v>
      </c>
      <c r="N4" s="25">
        <f t="shared" ref="N4:N47" si="5">MAX(I4,M4)</f>
        <v>-1465939.0176018928</v>
      </c>
      <c r="O4" s="20">
        <f t="shared" ref="O4:O47" si="6">N4/C4</f>
        <v>-6.1999999999999998E-3</v>
      </c>
      <c r="P4" s="26" t="str">
        <f>IF(N4=M4,"Att",IF(N4=I4,"Imp"))</f>
        <v>Att</v>
      </c>
      <c r="Q4" s="27"/>
      <c r="R4" s="28" t="s">
        <v>18</v>
      </c>
      <c r="S4" s="3" t="s">
        <v>78</v>
      </c>
    </row>
    <row r="5" spans="1:19">
      <c r="A5" s="16">
        <v>210002</v>
      </c>
      <c r="B5" s="17" t="s">
        <v>19</v>
      </c>
      <c r="C5" s="18">
        <f>VLOOKUP(A5,'[7]IP revenue'!$A$2:$E$51,5,FALSE)</f>
        <v>1419452964.0897801</v>
      </c>
      <c r="D5" s="19">
        <f>VLOOKUP(A5,'4.CY2022 Improve All Payers'!A8:O57,8,FALSE)</f>
        <v>0.13700000000000001</v>
      </c>
      <c r="E5" s="20">
        <f>VLOOKUP(A5,'4.CY2022 Improve All Payers'!A8:O57,14,FALSE)</f>
        <v>0.1075</v>
      </c>
      <c r="F5" s="20">
        <f>VLOOKUP(A5,'4.CY2022 Improve All Payers'!A8:O57,15,FALSE)</f>
        <v>-0.21529999999999999</v>
      </c>
      <c r="G5" s="21">
        <f t="shared" si="0"/>
        <v>-6.0499999999999998E-2</v>
      </c>
      <c r="H5" s="22">
        <f t="shared" si="1"/>
        <v>1.47E-2</v>
      </c>
      <c r="I5" s="23">
        <f t="shared" si="2"/>
        <v>20865959</v>
      </c>
      <c r="J5" s="20">
        <f>VLOOKUP(A5,'8.  CY22 Readmit Attainment'!A5:E48,5,FALSE)</f>
        <v>0.11215605095541401</v>
      </c>
      <c r="K5" s="24">
        <f t="shared" si="3"/>
        <v>0.1159</v>
      </c>
      <c r="L5" s="22">
        <f t="shared" si="4"/>
        <v>2.3999999999999998E-3</v>
      </c>
      <c r="M5" s="23">
        <f t="shared" ref="M5:M17" si="7">$C5*L5</f>
        <v>3406687.113815472</v>
      </c>
      <c r="N5" s="25">
        <f t="shared" si="5"/>
        <v>20865959</v>
      </c>
      <c r="O5" s="20">
        <f t="shared" si="6"/>
        <v>1.4700000301440233E-2</v>
      </c>
      <c r="P5" s="26" t="str">
        <f t="shared" ref="P5:P47" si="8">IF(N5=M5,"Att",IF(N5=I5,"Imp"))</f>
        <v>Imp</v>
      </c>
      <c r="Q5" s="27"/>
      <c r="R5" s="14"/>
      <c r="S5" s="29"/>
    </row>
    <row r="6" spans="1:19">
      <c r="A6" s="16">
        <v>210003</v>
      </c>
      <c r="B6" s="17" t="s">
        <v>20</v>
      </c>
      <c r="C6" s="18">
        <f>VLOOKUP(A6,'[7]IP revenue'!$A$2:$E$51,5,FALSE)</f>
        <v>282004742.50411975</v>
      </c>
      <c r="D6" s="19">
        <f>VLOOKUP(A6,'4.CY2022 Improve All Payers'!A9:O58,8,FALSE)</f>
        <v>0.11559999999999999</v>
      </c>
      <c r="E6" s="20">
        <f>VLOOKUP(A6,'4.CY2022 Improve All Payers'!A9:O58,14,FALSE)</f>
        <v>9.3600000000000003E-2</v>
      </c>
      <c r="F6" s="20">
        <f>VLOOKUP(A6,'4.CY2022 Improve All Payers'!A9:O58,15,FALSE)</f>
        <v>-0.1903</v>
      </c>
      <c r="G6" s="21">
        <f t="shared" si="0"/>
        <v>-6.0499999999999998E-2</v>
      </c>
      <c r="H6" s="22">
        <f t="shared" si="1"/>
        <v>1.24E-2</v>
      </c>
      <c r="I6" s="23">
        <f t="shared" si="2"/>
        <v>3496859</v>
      </c>
      <c r="J6" s="20">
        <f>VLOOKUP(A6,'8.  CY22 Readmit Attainment'!A6:E49,5,FALSE)</f>
        <v>0.11612030075187967</v>
      </c>
      <c r="K6" s="24">
        <f t="shared" si="3"/>
        <v>0.1159</v>
      </c>
      <c r="L6" s="22">
        <f t="shared" si="4"/>
        <v>-1E-4</v>
      </c>
      <c r="M6" s="23">
        <f t="shared" si="7"/>
        <v>-28200.474250411975</v>
      </c>
      <c r="N6" s="25">
        <f t="shared" si="5"/>
        <v>3496859</v>
      </c>
      <c r="O6" s="20">
        <f t="shared" si="6"/>
        <v>1.2400000684204505E-2</v>
      </c>
      <c r="P6" s="26" t="str">
        <f t="shared" si="8"/>
        <v>Imp</v>
      </c>
      <c r="Q6" s="27"/>
      <c r="R6" s="28"/>
    </row>
    <row r="7" spans="1:19">
      <c r="A7" s="16">
        <v>210004</v>
      </c>
      <c r="B7" s="17" t="s">
        <v>21</v>
      </c>
      <c r="C7" s="18">
        <f>VLOOKUP(A7,'[7]IP revenue'!$A$2:$E$51,5,FALSE)</f>
        <v>397412082.53870666</v>
      </c>
      <c r="D7" s="19">
        <f>VLOOKUP(A7,'4.CY2022 Improve All Payers'!A10:O59,8,FALSE)</f>
        <v>0.12180000000000001</v>
      </c>
      <c r="E7" s="20">
        <f>VLOOKUP(A7,'4.CY2022 Improve All Payers'!A10:O59,14,FALSE)</f>
        <v>0.1084</v>
      </c>
      <c r="F7" s="20">
        <f>VLOOKUP(A7,'4.CY2022 Improve All Payers'!A10:O59,15,FALSE)</f>
        <v>-0.11</v>
      </c>
      <c r="G7" s="21">
        <f t="shared" si="0"/>
        <v>-6.0499999999999998E-2</v>
      </c>
      <c r="H7" s="22">
        <f t="shared" si="1"/>
        <v>4.7000000000000002E-3</v>
      </c>
      <c r="I7" s="23">
        <f t="shared" si="2"/>
        <v>1867837</v>
      </c>
      <c r="J7" s="20">
        <f>VLOOKUP(A7,'8.  CY22 Readmit Attainment'!A7:E50,5,FALSE)</f>
        <v>0.12029756097560979</v>
      </c>
      <c r="K7" s="24">
        <f t="shared" si="3"/>
        <v>0.1159</v>
      </c>
      <c r="L7" s="22">
        <f t="shared" si="4"/>
        <v>-2.8E-3</v>
      </c>
      <c r="M7" s="23">
        <f t="shared" si="7"/>
        <v>-1112753.8311083787</v>
      </c>
      <c r="N7" s="25">
        <f t="shared" si="5"/>
        <v>1867837</v>
      </c>
      <c r="O7" s="20">
        <f t="shared" si="6"/>
        <v>4.7000005336226254E-3</v>
      </c>
      <c r="P7" s="26" t="str">
        <f t="shared" si="8"/>
        <v>Imp</v>
      </c>
      <c r="Q7" s="27"/>
    </row>
    <row r="8" spans="1:19" s="30" customFormat="1">
      <c r="A8" s="16">
        <v>210005</v>
      </c>
      <c r="B8" s="17" t="s">
        <v>22</v>
      </c>
      <c r="C8" s="18">
        <f>VLOOKUP(A8,'[7]IP revenue'!$A$2:$E$51,5,FALSE)</f>
        <v>255798612.10245383</v>
      </c>
      <c r="D8" s="19">
        <f>VLOOKUP(A8,'4.CY2022 Improve All Payers'!A11:O60,8,FALSE)</f>
        <v>0.1108</v>
      </c>
      <c r="E8" s="20">
        <f>VLOOKUP(A8,'4.CY2022 Improve All Payers'!A11:O60,14,FALSE)</f>
        <v>0.11070000000000001</v>
      </c>
      <c r="F8" s="20">
        <f>VLOOKUP(A8,'4.CY2022 Improve All Payers'!A11:O60,15,FALSE)</f>
        <v>-8.9999999999999998E-4</v>
      </c>
      <c r="G8" s="21">
        <f t="shared" si="0"/>
        <v>-6.0499999999999998E-2</v>
      </c>
      <c r="H8" s="20">
        <f t="shared" si="1"/>
        <v>-5.7000000000000002E-3</v>
      </c>
      <c r="I8" s="23">
        <f t="shared" si="2"/>
        <v>-1458052</v>
      </c>
      <c r="J8" s="20">
        <f>VLOOKUP(A8,'8.  CY22 Readmit Attainment'!A8:E51,5,FALSE)</f>
        <v>0.11599434782608699</v>
      </c>
      <c r="K8" s="24">
        <f t="shared" si="3"/>
        <v>0.1159</v>
      </c>
      <c r="L8" s="20">
        <f t="shared" si="4"/>
        <v>-1E-4</v>
      </c>
      <c r="M8" s="23">
        <f t="shared" si="7"/>
        <v>-25579.861210245384</v>
      </c>
      <c r="N8" s="25">
        <f t="shared" si="5"/>
        <v>-25579.861210245384</v>
      </c>
      <c r="O8" s="20">
        <f t="shared" si="6"/>
        <v>-1E-4</v>
      </c>
      <c r="P8" s="26" t="str">
        <f t="shared" si="8"/>
        <v>Att</v>
      </c>
      <c r="Q8" s="27"/>
    </row>
    <row r="9" spans="1:19">
      <c r="A9" s="16">
        <v>210006</v>
      </c>
      <c r="B9" s="17" t="s">
        <v>23</v>
      </c>
      <c r="C9" s="18">
        <f>VLOOKUP(A9,'[7]IP revenue'!$A$2:$E$51,5,FALSE)</f>
        <v>68386363.776318178</v>
      </c>
      <c r="D9" s="19">
        <f>VLOOKUP(A9,'4.CY2022 Improve All Payers'!A12:O61,8,FALSE)</f>
        <v>0.1206</v>
      </c>
      <c r="E9" s="20">
        <f>VLOOKUP(A9,'4.CY2022 Improve All Payers'!A12:O61,14,FALSE)</f>
        <v>0.13159999999999999</v>
      </c>
      <c r="F9" s="20">
        <f>VLOOKUP(A9,'4.CY2022 Improve All Payers'!A12:O61,15,FALSE)</f>
        <v>9.1200000000000003E-2</v>
      </c>
      <c r="G9" s="21">
        <f t="shared" si="0"/>
        <v>-6.0499999999999998E-2</v>
      </c>
      <c r="H9" s="22">
        <f t="shared" si="1"/>
        <v>-1.44E-2</v>
      </c>
      <c r="I9" s="23">
        <f t="shared" si="2"/>
        <v>-984764</v>
      </c>
      <c r="J9" s="20">
        <f>VLOOKUP(A9,'8.  CY22 Readmit Attainment'!A9:E52,5,FALSE)</f>
        <v>0.13825393258426966</v>
      </c>
      <c r="K9" s="24">
        <f t="shared" si="3"/>
        <v>0.1159</v>
      </c>
      <c r="L9" s="22">
        <f t="shared" si="4"/>
        <v>-1.43E-2</v>
      </c>
      <c r="M9" s="23">
        <f t="shared" si="7"/>
        <v>-977925.00200134993</v>
      </c>
      <c r="N9" s="25">
        <f t="shared" si="5"/>
        <v>-977925.00200134993</v>
      </c>
      <c r="O9" s="20">
        <f t="shared" si="6"/>
        <v>-1.43E-2</v>
      </c>
      <c r="P9" s="26" t="str">
        <f t="shared" si="8"/>
        <v>Att</v>
      </c>
      <c r="Q9" s="27"/>
    </row>
    <row r="10" spans="1:19">
      <c r="A10" s="16">
        <v>210008</v>
      </c>
      <c r="B10" s="17" t="s">
        <v>24</v>
      </c>
      <c r="C10" s="18">
        <f>VLOOKUP(A10,'[7]IP revenue'!$A$2:$E$51,5,FALSE)</f>
        <v>216769130.1950303</v>
      </c>
      <c r="D10" s="19">
        <f>VLOOKUP(A10,'4.CY2022 Improve All Payers'!A13:O62,8,FALSE)</f>
        <v>0.13089999999999999</v>
      </c>
      <c r="E10" s="20">
        <f>VLOOKUP(A10,'4.CY2022 Improve All Payers'!A13:O62,14,FALSE)</f>
        <v>0.1205</v>
      </c>
      <c r="F10" s="20">
        <f>VLOOKUP(A10,'4.CY2022 Improve All Payers'!A13:O62,15,FALSE)</f>
        <v>-7.9399999999999998E-2</v>
      </c>
      <c r="G10" s="21">
        <f t="shared" si="0"/>
        <v>-6.0499999999999998E-2</v>
      </c>
      <c r="H10" s="22">
        <f t="shared" si="1"/>
        <v>1.8E-3</v>
      </c>
      <c r="I10" s="23">
        <f t="shared" si="2"/>
        <v>390184</v>
      </c>
      <c r="J10" s="20">
        <f>VLOOKUP(A10,'8.  CY22 Readmit Attainment'!A10:E53,5,FALSE)</f>
        <v>0.12460795454545452</v>
      </c>
      <c r="K10" s="24">
        <f t="shared" si="3"/>
        <v>0.1159</v>
      </c>
      <c r="L10" s="22">
        <f t="shared" si="4"/>
        <v>-5.5999999999999999E-3</v>
      </c>
      <c r="M10" s="23">
        <f t="shared" si="7"/>
        <v>-1213907.1290921697</v>
      </c>
      <c r="N10" s="25">
        <f t="shared" si="5"/>
        <v>390184</v>
      </c>
      <c r="O10" s="20">
        <f t="shared" si="6"/>
        <v>1.7999979962504155E-3</v>
      </c>
      <c r="P10" s="26" t="str">
        <f t="shared" si="8"/>
        <v>Imp</v>
      </c>
      <c r="Q10" s="27"/>
    </row>
    <row r="11" spans="1:19" s="30" customFormat="1">
      <c r="A11" s="16">
        <v>210009</v>
      </c>
      <c r="B11" s="17" t="s">
        <v>25</v>
      </c>
      <c r="C11" s="18">
        <f>VLOOKUP(A11,'[7]IP revenue'!$A$2:$E$51,5,FALSE)</f>
        <v>1702715898.3441095</v>
      </c>
      <c r="D11" s="19">
        <f>VLOOKUP(A11,'4.CY2022 Improve All Payers'!A14:O63,8,FALSE)</f>
        <v>0.13589999999999999</v>
      </c>
      <c r="E11" s="20">
        <f>VLOOKUP(A11,'4.CY2022 Improve All Payers'!A14:O63,14,FALSE)</f>
        <v>0.11600000000000001</v>
      </c>
      <c r="F11" s="20">
        <f>VLOOKUP(A11,'4.CY2022 Improve All Payers'!A14:O63,15,FALSE)</f>
        <v>-0.1464</v>
      </c>
      <c r="G11" s="21">
        <f t="shared" si="0"/>
        <v>-6.0499999999999998E-2</v>
      </c>
      <c r="H11" s="22">
        <f t="shared" si="1"/>
        <v>8.2000000000000007E-3</v>
      </c>
      <c r="I11" s="23">
        <f t="shared" si="2"/>
        <v>13962270</v>
      </c>
      <c r="J11" s="20">
        <f>VLOOKUP(A11,'8.  CY22 Readmit Attainment'!A11:E54,5,FALSE)</f>
        <v>0.12509322033898299</v>
      </c>
      <c r="K11" s="24">
        <f t="shared" si="3"/>
        <v>0.1159</v>
      </c>
      <c r="L11" s="22">
        <f t="shared" si="4"/>
        <v>-5.8999999999999999E-3</v>
      </c>
      <c r="M11" s="23">
        <f t="shared" si="7"/>
        <v>-10046023.800230246</v>
      </c>
      <c r="N11" s="25">
        <f t="shared" si="5"/>
        <v>13962270</v>
      </c>
      <c r="O11" s="20">
        <f t="shared" si="6"/>
        <v>8.1999997848016225E-3</v>
      </c>
      <c r="P11" s="26" t="str">
        <f t="shared" si="8"/>
        <v>Imp</v>
      </c>
      <c r="Q11" s="27"/>
    </row>
    <row r="12" spans="1:19">
      <c r="A12" s="16">
        <v>210011</v>
      </c>
      <c r="B12" s="17" t="s">
        <v>26</v>
      </c>
      <c r="C12" s="18">
        <f>VLOOKUP(A12,'[7]IP revenue'!$A$2:$E$51,5,FALSE)</f>
        <v>233444506.71257403</v>
      </c>
      <c r="D12" s="19">
        <f>VLOOKUP(A12,'4.CY2022 Improve All Payers'!A15:O64,8,FALSE)</f>
        <v>0.1242</v>
      </c>
      <c r="E12" s="20">
        <f>VLOOKUP(A12,'4.CY2022 Improve All Payers'!A15:O64,14,FALSE)</f>
        <v>0.12139999999999999</v>
      </c>
      <c r="F12" s="20">
        <f>VLOOKUP(A12,'4.CY2022 Improve All Payers'!A15:O64,15,FALSE)</f>
        <v>-2.2499999999999999E-2</v>
      </c>
      <c r="G12" s="21">
        <f t="shared" si="0"/>
        <v>-6.0499999999999998E-2</v>
      </c>
      <c r="H12" s="22">
        <f t="shared" si="1"/>
        <v>-3.5999999999999999E-3</v>
      </c>
      <c r="I12" s="23">
        <f t="shared" si="2"/>
        <v>-840400</v>
      </c>
      <c r="J12" s="20">
        <f>VLOOKUP(A12,'8.  CY22 Readmit Attainment'!A12:E55,5,FALSE)</f>
        <v>0.12290807453416146</v>
      </c>
      <c r="K12" s="24">
        <f t="shared" si="3"/>
        <v>0.1159</v>
      </c>
      <c r="L12" s="22">
        <f t="shared" si="4"/>
        <v>-4.4999999999999997E-3</v>
      </c>
      <c r="M12" s="23">
        <f t="shared" si="7"/>
        <v>-1050500.280206583</v>
      </c>
      <c r="N12" s="25">
        <f t="shared" si="5"/>
        <v>-840400</v>
      </c>
      <c r="O12" s="20">
        <f t="shared" si="6"/>
        <v>-3.5999990397492334E-3</v>
      </c>
      <c r="P12" s="26" t="str">
        <f t="shared" si="8"/>
        <v>Imp</v>
      </c>
      <c r="Q12" s="27"/>
    </row>
    <row r="13" spans="1:19">
      <c r="A13" s="16">
        <v>210012</v>
      </c>
      <c r="B13" s="17" t="s">
        <v>27</v>
      </c>
      <c r="C13" s="18">
        <f>VLOOKUP(A13,'[7]IP revenue'!$A$2:$E$51,5,FALSE)</f>
        <v>515384552.87013698</v>
      </c>
      <c r="D13" s="19">
        <f>VLOOKUP(A13,'4.CY2022 Improve All Payers'!A16:O65,8,FALSE)</f>
        <v>0.1217</v>
      </c>
      <c r="E13" s="20">
        <f>VLOOKUP(A13,'4.CY2022 Improve All Payers'!A16:O65,14,FALSE)</f>
        <v>0.1113</v>
      </c>
      <c r="F13" s="20">
        <f>VLOOKUP(A13,'4.CY2022 Improve All Payers'!A16:O65,15,FALSE)</f>
        <v>-8.5500000000000007E-2</v>
      </c>
      <c r="G13" s="21">
        <f t="shared" si="0"/>
        <v>-6.0499999999999998E-2</v>
      </c>
      <c r="H13" s="22">
        <f t="shared" si="1"/>
        <v>2.3999999999999998E-3</v>
      </c>
      <c r="I13" s="23">
        <f t="shared" si="2"/>
        <v>1236923</v>
      </c>
      <c r="J13" s="20">
        <f>VLOOKUP(A13,'8.  CY22 Readmit Attainment'!A13:E56,5,FALSE)</f>
        <v>0.11454371584699452</v>
      </c>
      <c r="K13" s="24">
        <f t="shared" si="3"/>
        <v>0.1159</v>
      </c>
      <c r="L13" s="22">
        <f t="shared" si="4"/>
        <v>8.9999999999999998E-4</v>
      </c>
      <c r="M13" s="23">
        <f t="shared" si="7"/>
        <v>463846.09758312325</v>
      </c>
      <c r="N13" s="25">
        <f t="shared" si="5"/>
        <v>1236923</v>
      </c>
      <c r="O13" s="20">
        <f t="shared" si="6"/>
        <v>2.400000141858484E-3</v>
      </c>
      <c r="P13" s="26" t="str">
        <f t="shared" si="8"/>
        <v>Imp</v>
      </c>
      <c r="Q13" s="27"/>
    </row>
    <row r="14" spans="1:19">
      <c r="A14" s="16">
        <v>210015</v>
      </c>
      <c r="B14" s="17" t="s">
        <v>28</v>
      </c>
      <c r="C14" s="18">
        <f>VLOOKUP(A14,'[7]IP revenue'!$A$2:$E$51,5,FALSE)</f>
        <v>338396054.7926181</v>
      </c>
      <c r="D14" s="19">
        <f>VLOOKUP(A14,'4.CY2022 Improve All Payers'!A17:O66,8,FALSE)</f>
        <v>0.1399</v>
      </c>
      <c r="E14" s="20">
        <f>VLOOKUP(A14,'4.CY2022 Improve All Payers'!A17:O66,14,FALSE)</f>
        <v>0.11119999999999999</v>
      </c>
      <c r="F14" s="20">
        <f>VLOOKUP(A14,'4.CY2022 Improve All Payers'!A17:O66,15,FALSE)</f>
        <v>-0.2051</v>
      </c>
      <c r="G14" s="21">
        <f t="shared" si="0"/>
        <v>-6.0499999999999998E-2</v>
      </c>
      <c r="H14" s="22">
        <f t="shared" si="1"/>
        <v>1.38E-2</v>
      </c>
      <c r="I14" s="23">
        <f t="shared" si="2"/>
        <v>4669866</v>
      </c>
      <c r="J14" s="20">
        <f>VLOOKUP(A14,'8.  CY22 Readmit Attainment'!A14:E57,5,FALSE)</f>
        <v>0.11278479809976244</v>
      </c>
      <c r="K14" s="24">
        <f t="shared" si="3"/>
        <v>0.1159</v>
      </c>
      <c r="L14" s="22">
        <f t="shared" si="4"/>
        <v>2E-3</v>
      </c>
      <c r="M14" s="23">
        <f t="shared" si="7"/>
        <v>676792.10958523618</v>
      </c>
      <c r="N14" s="25">
        <f t="shared" si="5"/>
        <v>4669866</v>
      </c>
      <c r="O14" s="20">
        <f t="shared" si="6"/>
        <v>1.3800001311663845E-2</v>
      </c>
      <c r="P14" s="26" t="str">
        <f t="shared" si="8"/>
        <v>Imp</v>
      </c>
      <c r="Q14" s="27"/>
      <c r="R14" s="31"/>
    </row>
    <row r="15" spans="1:19">
      <c r="A15" s="16">
        <v>210016</v>
      </c>
      <c r="B15" s="32" t="s">
        <v>29</v>
      </c>
      <c r="C15" s="18">
        <f>VLOOKUP(A15,'[7]IP revenue'!$A$2:$E$51,5,FALSE)</f>
        <v>225684639.31156248</v>
      </c>
      <c r="D15" s="19">
        <f>VLOOKUP(A15,'4.CY2022 Improve All Payers'!A18:O67,8,FALSE)</f>
        <v>0.1109</v>
      </c>
      <c r="E15" s="20">
        <f>VLOOKUP(A15,'4.CY2022 Improve All Payers'!A18:O67,14,FALSE)</f>
        <v>0.108</v>
      </c>
      <c r="F15" s="20">
        <f>VLOOKUP(A15,'4.CY2022 Improve All Payers'!A18:O67,15,FALSE)</f>
        <v>-2.6100000000000002E-2</v>
      </c>
      <c r="G15" s="21">
        <f t="shared" si="0"/>
        <v>-6.0499999999999998E-2</v>
      </c>
      <c r="H15" s="22">
        <f t="shared" si="1"/>
        <v>-3.3E-3</v>
      </c>
      <c r="I15" s="23">
        <f t="shared" si="2"/>
        <v>-744759</v>
      </c>
      <c r="J15" s="20">
        <f>VLOOKUP(A15,'8.  CY22 Readmit Attainment'!A15:E58,5,FALSE)</f>
        <v>0.11959731543624166</v>
      </c>
      <c r="K15" s="24">
        <f t="shared" si="3"/>
        <v>0.1159</v>
      </c>
      <c r="L15" s="22">
        <f t="shared" si="4"/>
        <v>-2.3999999999999998E-3</v>
      </c>
      <c r="M15" s="23">
        <f t="shared" si="7"/>
        <v>-541643.13434774987</v>
      </c>
      <c r="N15" s="25">
        <f t="shared" si="5"/>
        <v>-541643.13434774987</v>
      </c>
      <c r="O15" s="20">
        <f t="shared" si="6"/>
        <v>-2.3999999999999998E-3</v>
      </c>
      <c r="P15" s="32" t="str">
        <f t="shared" si="8"/>
        <v>Att</v>
      </c>
      <c r="Q15" s="27"/>
      <c r="R15" s="33"/>
    </row>
    <row r="16" spans="1:19">
      <c r="A16" s="16">
        <v>210017</v>
      </c>
      <c r="B16" s="17" t="s">
        <v>30</v>
      </c>
      <c r="C16" s="18">
        <f>VLOOKUP(A16,'[7]IP revenue'!$A$2:$E$51,5,FALSE)</f>
        <v>25525538.125369154</v>
      </c>
      <c r="D16" s="19">
        <f>VLOOKUP(A16,'4.CY2022 Improve All Payers'!A19:O68,8,FALSE)</f>
        <v>7.2999999999999995E-2</v>
      </c>
      <c r="E16" s="20">
        <f>VLOOKUP(A16,'4.CY2022 Improve All Payers'!A19:O68,14,FALSE)</f>
        <v>5.4100000000000002E-2</v>
      </c>
      <c r="F16" s="20">
        <f>VLOOKUP(A16,'4.CY2022 Improve All Payers'!A19:O68,15,FALSE)</f>
        <v>-0.25890000000000002</v>
      </c>
      <c r="G16" s="21">
        <f t="shared" si="0"/>
        <v>-6.0499999999999998E-2</v>
      </c>
      <c r="H16" s="22">
        <f t="shared" si="1"/>
        <v>1.89E-2</v>
      </c>
      <c r="I16" s="23">
        <f t="shared" si="2"/>
        <v>482433</v>
      </c>
      <c r="J16" s="20">
        <f>VLOOKUP(A16,'8.  CY22 Readmit Attainment'!A16:E59,5,FALSE)</f>
        <v>7.2133333333333327E-2</v>
      </c>
      <c r="K16" s="24">
        <f t="shared" si="3"/>
        <v>0.1159</v>
      </c>
      <c r="L16" s="22">
        <f t="shared" si="4"/>
        <v>0.02</v>
      </c>
      <c r="M16" s="23">
        <f t="shared" si="7"/>
        <v>510510.76250738307</v>
      </c>
      <c r="N16" s="25">
        <f t="shared" si="5"/>
        <v>510510.76250738307</v>
      </c>
      <c r="O16" s="20">
        <f t="shared" si="6"/>
        <v>0.02</v>
      </c>
      <c r="P16" s="26" t="str">
        <f t="shared" si="8"/>
        <v>Att</v>
      </c>
      <c r="Q16" s="27"/>
      <c r="R16" s="34"/>
    </row>
    <row r="17" spans="1:18">
      <c r="A17" s="16">
        <v>210018</v>
      </c>
      <c r="B17" s="17" t="s">
        <v>31</v>
      </c>
      <c r="C17" s="18">
        <f>VLOOKUP(A17,'[7]IP revenue'!$A$2:$E$51,5,FALSE)</f>
        <v>88807087.289993331</v>
      </c>
      <c r="D17" s="19">
        <f>VLOOKUP(A17,'4.CY2022 Improve All Payers'!A20:O69,8,FALSE)</f>
        <v>0.1239</v>
      </c>
      <c r="E17" s="20">
        <f>VLOOKUP(A17,'4.CY2022 Improve All Payers'!A20:O69,14,FALSE)</f>
        <v>0.1094</v>
      </c>
      <c r="F17" s="20">
        <f>VLOOKUP(A17,'4.CY2022 Improve All Payers'!A20:O69,15,FALSE)</f>
        <v>-0.11700000000000001</v>
      </c>
      <c r="G17" s="21">
        <f t="shared" si="0"/>
        <v>-6.0499999999999998E-2</v>
      </c>
      <c r="H17" s="22">
        <f t="shared" si="1"/>
        <v>5.4000000000000003E-3</v>
      </c>
      <c r="I17" s="23">
        <f t="shared" si="2"/>
        <v>479558</v>
      </c>
      <c r="J17" s="20">
        <f>VLOOKUP(A17,'8.  CY22 Readmit Attainment'!A17:E60,5,FALSE)</f>
        <v>0.1158606299212598</v>
      </c>
      <c r="K17" s="24">
        <f t="shared" si="3"/>
        <v>0.1159</v>
      </c>
      <c r="L17" s="22">
        <f t="shared" si="4"/>
        <v>0</v>
      </c>
      <c r="M17" s="23">
        <f t="shared" si="7"/>
        <v>0</v>
      </c>
      <c r="N17" s="25">
        <f t="shared" si="5"/>
        <v>479558</v>
      </c>
      <c r="O17" s="20">
        <f t="shared" si="6"/>
        <v>5.3999969443208617E-3</v>
      </c>
      <c r="P17" s="26" t="str">
        <f t="shared" si="8"/>
        <v>Imp</v>
      </c>
      <c r="Q17" s="27"/>
      <c r="R17" s="35"/>
    </row>
    <row r="18" spans="1:18" s="30" customFormat="1">
      <c r="A18" s="16">
        <v>210019</v>
      </c>
      <c r="B18" s="17" t="s">
        <v>32</v>
      </c>
      <c r="C18" s="18">
        <f>VLOOKUP(A18,'[7]IP revenue'!$A$2:$E$51,5,FALSE)</f>
        <v>308473682.05304885</v>
      </c>
      <c r="D18" s="19">
        <f>VLOOKUP(A18,'4.CY2022 Improve All Payers'!A21:O70,8,FALSE)</f>
        <v>0.1129</v>
      </c>
      <c r="E18" s="20">
        <f>VLOOKUP(A18,'4.CY2022 Improve All Payers'!A21:O70,14,FALSE)</f>
        <v>0.1074</v>
      </c>
      <c r="F18" s="20">
        <f>VLOOKUP(A18,'4.CY2022 Improve All Payers'!A21:O70,15,FALSE)</f>
        <v>-4.87E-2</v>
      </c>
      <c r="G18" s="21">
        <f t="shared" si="0"/>
        <v>-6.0499999999999998E-2</v>
      </c>
      <c r="H18" s="22">
        <f t="shared" si="1"/>
        <v>-1.1000000000000001E-3</v>
      </c>
      <c r="I18" s="23">
        <f t="shared" si="2"/>
        <v>-339321</v>
      </c>
      <c r="J18" s="20">
        <f>VLOOKUP(A18,'8.  CY22 Readmit Attainment'!A18:E61,5,FALSE)</f>
        <v>0.11398819444444448</v>
      </c>
      <c r="K18" s="24">
        <f t="shared" si="3"/>
        <v>0.1159</v>
      </c>
      <c r="L18" s="22">
        <f t="shared" si="4"/>
        <v>1.1999999999999999E-3</v>
      </c>
      <c r="M18" s="23">
        <f>$C18*L18</f>
        <v>370168.4184636586</v>
      </c>
      <c r="N18" s="25">
        <f t="shared" si="5"/>
        <v>370168.4184636586</v>
      </c>
      <c r="O18" s="20">
        <f t="shared" si="6"/>
        <v>1.1999999999999999E-3</v>
      </c>
      <c r="P18" s="26" t="str">
        <f t="shared" si="8"/>
        <v>Att</v>
      </c>
      <c r="Q18" s="36"/>
      <c r="R18" s="37"/>
    </row>
    <row r="19" spans="1:18">
      <c r="A19" s="16">
        <v>210022</v>
      </c>
      <c r="B19" s="17" t="s">
        <v>33</v>
      </c>
      <c r="C19" s="18">
        <f>VLOOKUP(A19,'[7]IP revenue'!$A$2:$E$51,5,FALSE)</f>
        <v>227224801.82671461</v>
      </c>
      <c r="D19" s="19">
        <f>VLOOKUP(A19,'4.CY2022 Improve All Payers'!A22:O71,8,FALSE)</f>
        <v>0.11840000000000001</v>
      </c>
      <c r="E19" s="20">
        <f>VLOOKUP(A19,'4.CY2022 Improve All Payers'!A22:O71,14,FALSE)</f>
        <v>0.10100000000000001</v>
      </c>
      <c r="F19" s="20">
        <f>VLOOKUP(A19,'4.CY2022 Improve All Payers'!A22:O71,15,FALSE)</f>
        <v>-0.14699999999999999</v>
      </c>
      <c r="G19" s="21">
        <f t="shared" ref="G19:G47" si="9">ImpTarget</f>
        <v>-6.0499999999999998E-2</v>
      </c>
      <c r="H19" s="22">
        <f t="shared" si="1"/>
        <v>8.2000000000000007E-3</v>
      </c>
      <c r="I19" s="23">
        <f t="shared" si="2"/>
        <v>1863243</v>
      </c>
      <c r="J19" s="20">
        <f>VLOOKUP(A19,'8.  CY22 Readmit Attainment'!A19:E62,5,FALSE)</f>
        <v>0.11447775947281712</v>
      </c>
      <c r="K19" s="24">
        <f t="shared" si="3"/>
        <v>0.1159</v>
      </c>
      <c r="L19" s="22">
        <f t="shared" si="4"/>
        <v>8.9999999999999998E-4</v>
      </c>
      <c r="M19" s="23">
        <f t="shared" ref="M19:M47" si="10">ROUND($C19*L19,0)</f>
        <v>204502</v>
      </c>
      <c r="N19" s="25">
        <f t="shared" si="5"/>
        <v>1863243</v>
      </c>
      <c r="O19" s="20">
        <f t="shared" si="6"/>
        <v>8.1999983497441451E-3</v>
      </c>
      <c r="P19" s="26" t="str">
        <f t="shared" si="8"/>
        <v>Imp</v>
      </c>
      <c r="Q19" s="27"/>
    </row>
    <row r="20" spans="1:18">
      <c r="A20" s="16">
        <v>210023</v>
      </c>
      <c r="B20" s="17" t="s">
        <v>34</v>
      </c>
      <c r="C20" s="18">
        <f>VLOOKUP(A20,'[7]IP revenue'!$A$2:$E$51,5,FALSE)</f>
        <v>385505885.1439864</v>
      </c>
      <c r="D20" s="19">
        <f>VLOOKUP(A20,'4.CY2022 Improve All Payers'!A23:O72,8,FALSE)</f>
        <v>0.1198</v>
      </c>
      <c r="E20" s="20">
        <f>VLOOKUP(A20,'4.CY2022 Improve All Payers'!A23:O72,14,FALSE)</f>
        <v>0.1176</v>
      </c>
      <c r="F20" s="20">
        <f>VLOOKUP(A20,'4.CY2022 Improve All Payers'!A23:O72,15,FALSE)</f>
        <v>-1.84E-2</v>
      </c>
      <c r="G20" s="21">
        <f t="shared" si="9"/>
        <v>-6.0499999999999998E-2</v>
      </c>
      <c r="H20" s="22">
        <f t="shared" si="1"/>
        <v>-4.0000000000000001E-3</v>
      </c>
      <c r="I20" s="23">
        <f t="shared" si="2"/>
        <v>-1542024</v>
      </c>
      <c r="J20" s="20">
        <f>VLOOKUP(A20,'8.  CY22 Readmit Attainment'!A20:E63,5,FALSE)</f>
        <v>0.12251306666666668</v>
      </c>
      <c r="K20" s="24">
        <f t="shared" si="3"/>
        <v>0.1159</v>
      </c>
      <c r="L20" s="22">
        <f t="shared" si="4"/>
        <v>-4.1999999999999997E-3</v>
      </c>
      <c r="M20" s="23">
        <f t="shared" si="10"/>
        <v>-1619125</v>
      </c>
      <c r="N20" s="25">
        <f t="shared" si="5"/>
        <v>-1542024</v>
      </c>
      <c r="O20" s="20">
        <f t="shared" si="6"/>
        <v>-4.0000011917432961E-3</v>
      </c>
      <c r="P20" s="26" t="str">
        <f t="shared" si="8"/>
        <v>Imp</v>
      </c>
      <c r="Q20" s="27"/>
    </row>
    <row r="21" spans="1:18">
      <c r="A21" s="16">
        <v>210024</v>
      </c>
      <c r="B21" s="17" t="s">
        <v>35</v>
      </c>
      <c r="C21" s="18">
        <f>VLOOKUP(A21,'[7]IP revenue'!$A$2:$E$51,5,FALSE)</f>
        <v>283598961.66895705</v>
      </c>
      <c r="D21" s="19">
        <f>VLOOKUP(A21,'4.CY2022 Improve All Payers'!A24:O73,8,FALSE)</f>
        <v>0.1278</v>
      </c>
      <c r="E21" s="20">
        <f>VLOOKUP(A21,'4.CY2022 Improve All Payers'!A24:O73,14,FALSE)</f>
        <v>0.1217</v>
      </c>
      <c r="F21" s="20">
        <f>VLOOKUP(A21,'4.CY2022 Improve All Payers'!A24:O73,15,FALSE)</f>
        <v>-4.7699999999999999E-2</v>
      </c>
      <c r="G21" s="21">
        <f t="shared" si="9"/>
        <v>-6.0499999999999998E-2</v>
      </c>
      <c r="H21" s="22">
        <f t="shared" si="1"/>
        <v>-1.1999999999999999E-3</v>
      </c>
      <c r="I21" s="23">
        <f t="shared" si="2"/>
        <v>-340319</v>
      </c>
      <c r="J21" s="20">
        <f>VLOOKUP(A21,'8.  CY22 Readmit Attainment'!A21:E64,5,FALSE)</f>
        <v>0.1233319923371648</v>
      </c>
      <c r="K21" s="24">
        <f t="shared" si="3"/>
        <v>0.1159</v>
      </c>
      <c r="L21" s="22">
        <f t="shared" si="4"/>
        <v>-4.7000000000000002E-3</v>
      </c>
      <c r="M21" s="23">
        <f t="shared" si="10"/>
        <v>-1332915</v>
      </c>
      <c r="N21" s="25">
        <f t="shared" si="5"/>
        <v>-340319</v>
      </c>
      <c r="O21" s="20">
        <f t="shared" si="6"/>
        <v>-1.2000008674123844E-3</v>
      </c>
      <c r="P21" s="26" t="str">
        <f t="shared" si="8"/>
        <v>Imp</v>
      </c>
      <c r="Q21" s="27"/>
    </row>
    <row r="22" spans="1:18" ht="30">
      <c r="A22" s="16">
        <v>210027</v>
      </c>
      <c r="B22" s="17" t="s">
        <v>36</v>
      </c>
      <c r="C22" s="18">
        <f>VLOOKUP(A22,'[7]IP revenue'!$A$2:$E$51,5,FALSE)</f>
        <v>190230034.4365184</v>
      </c>
      <c r="D22" s="19">
        <f>VLOOKUP(A22,'4.CY2022 Improve All Payers'!A25:O74,8,FALSE)</f>
        <v>0.1139</v>
      </c>
      <c r="E22" s="20">
        <f>VLOOKUP(A22,'4.CY2022 Improve All Payers'!A25:O74,14,FALSE)</f>
        <v>0.10390000000000001</v>
      </c>
      <c r="F22" s="20">
        <f>VLOOKUP(A22,'4.CY2022 Improve All Payers'!A25:O74,15,FALSE)</f>
        <v>-8.7800000000000003E-2</v>
      </c>
      <c r="G22" s="21">
        <f t="shared" si="9"/>
        <v>-6.0499999999999998E-2</v>
      </c>
      <c r="H22" s="22">
        <f t="shared" si="1"/>
        <v>2.5999999999999999E-3</v>
      </c>
      <c r="I22" s="23">
        <f t="shared" si="2"/>
        <v>494598</v>
      </c>
      <c r="J22" s="20">
        <f>VLOOKUP(A22,'8.  CY22 Readmit Attainment'!A22:E65,5,FALSE)</f>
        <v>0.11694573991031393</v>
      </c>
      <c r="K22" s="24">
        <f t="shared" si="3"/>
        <v>0.1159</v>
      </c>
      <c r="L22" s="22">
        <f t="shared" si="4"/>
        <v>-6.9999999999999999E-4</v>
      </c>
      <c r="M22" s="23">
        <f t="shared" si="10"/>
        <v>-133161</v>
      </c>
      <c r="N22" s="25">
        <f t="shared" si="5"/>
        <v>494598</v>
      </c>
      <c r="O22" s="20">
        <f t="shared" si="6"/>
        <v>2.5999995293332721E-3</v>
      </c>
      <c r="P22" s="26" t="str">
        <f t="shared" si="8"/>
        <v>Imp</v>
      </c>
      <c r="Q22" s="27"/>
    </row>
    <row r="23" spans="1:18">
      <c r="A23" s="16">
        <v>210028</v>
      </c>
      <c r="B23" s="17" t="s">
        <v>37</v>
      </c>
      <c r="C23" s="18">
        <f>VLOOKUP(A23,'[7]IP revenue'!$A$2:$E$51,5,FALSE)</f>
        <v>98242475.514136836</v>
      </c>
      <c r="D23" s="19">
        <f>VLOOKUP(A23,'4.CY2022 Improve All Payers'!A26:O75,8,FALSE)</f>
        <v>0.1181</v>
      </c>
      <c r="E23" s="20">
        <f>VLOOKUP(A23,'4.CY2022 Improve All Payers'!A26:O75,14,FALSE)</f>
        <v>0.1168</v>
      </c>
      <c r="F23" s="20">
        <f>VLOOKUP(A23,'4.CY2022 Improve All Payers'!A26:O75,15,FALSE)</f>
        <v>-1.0999999999999999E-2</v>
      </c>
      <c r="G23" s="21">
        <f t="shared" si="9"/>
        <v>-6.0499999999999998E-2</v>
      </c>
      <c r="H23" s="22">
        <f t="shared" si="1"/>
        <v>-4.7000000000000002E-3</v>
      </c>
      <c r="I23" s="23">
        <f t="shared" si="2"/>
        <v>-461740</v>
      </c>
      <c r="J23" s="20">
        <f>VLOOKUP(A23,'8.  CY22 Readmit Attainment'!A23:E66,5,FALSE)</f>
        <v>0.13082905027932956</v>
      </c>
      <c r="K23" s="24">
        <f t="shared" si="3"/>
        <v>0.1159</v>
      </c>
      <c r="L23" s="22">
        <f t="shared" si="4"/>
        <v>-9.4999999999999998E-3</v>
      </c>
      <c r="M23" s="23">
        <f t="shared" si="10"/>
        <v>-933304</v>
      </c>
      <c r="N23" s="25">
        <f t="shared" si="5"/>
        <v>-461740</v>
      </c>
      <c r="O23" s="20">
        <f t="shared" si="6"/>
        <v>-4.700003716147776E-3</v>
      </c>
      <c r="P23" s="26" t="str">
        <f t="shared" si="8"/>
        <v>Imp</v>
      </c>
      <c r="Q23" s="27"/>
    </row>
    <row r="24" spans="1:18">
      <c r="A24" s="16">
        <v>210029</v>
      </c>
      <c r="B24" s="17" t="s">
        <v>38</v>
      </c>
      <c r="C24" s="18">
        <f>VLOOKUP(A24,'[7]IP revenue'!$A$2:$E$51,5,FALSE)</f>
        <v>455171792.15993381</v>
      </c>
      <c r="D24" s="19">
        <f>VLOOKUP(A24,'4.CY2022 Improve All Payers'!A27:O76,8,FALSE)</f>
        <v>0.14710000000000001</v>
      </c>
      <c r="E24" s="20">
        <f>VLOOKUP(A24,'4.CY2022 Improve All Payers'!A27:O76,14,FALSE)</f>
        <v>0.1207</v>
      </c>
      <c r="F24" s="20">
        <f>VLOOKUP(A24,'4.CY2022 Improve All Payers'!A27:O76,15,FALSE)</f>
        <v>-0.17949999999999999</v>
      </c>
      <c r="G24" s="21">
        <f t="shared" si="9"/>
        <v>-6.0499999999999998E-2</v>
      </c>
      <c r="H24" s="22">
        <f t="shared" si="1"/>
        <v>1.1299999999999999E-2</v>
      </c>
      <c r="I24" s="23">
        <f t="shared" si="2"/>
        <v>5143441</v>
      </c>
      <c r="J24" s="20">
        <f>VLOOKUP(A24,'8.  CY22 Readmit Attainment'!A24:E67,5,FALSE)</f>
        <v>0.12332011577424018</v>
      </c>
      <c r="K24" s="24">
        <f t="shared" si="3"/>
        <v>0.1159</v>
      </c>
      <c r="L24" s="22">
        <f t="shared" si="4"/>
        <v>-4.7000000000000002E-3</v>
      </c>
      <c r="M24" s="23">
        <f t="shared" si="10"/>
        <v>-2139307</v>
      </c>
      <c r="N24" s="25">
        <f t="shared" si="5"/>
        <v>5143441</v>
      </c>
      <c r="O24" s="20">
        <f t="shared" si="6"/>
        <v>1.1299999447665132E-2</v>
      </c>
      <c r="P24" s="26" t="str">
        <f t="shared" si="8"/>
        <v>Imp</v>
      </c>
      <c r="Q24" s="27"/>
    </row>
    <row r="25" spans="1:18">
      <c r="A25" s="16">
        <v>210030</v>
      </c>
      <c r="B25" s="17" t="s">
        <v>39</v>
      </c>
      <c r="C25" s="18">
        <f>VLOOKUP(A25,'[7]IP revenue'!$A$2:$E$51,5,FALSE)</f>
        <v>7023611.8992402488</v>
      </c>
      <c r="D25" s="19">
        <f>VLOOKUP(A25,'4.CY2022 Improve All Payers'!A28:O77,8,FALSE)</f>
        <v>7.5200000000000003E-2</v>
      </c>
      <c r="E25" s="20">
        <f>VLOOKUP(A25,'4.CY2022 Improve All Payers'!A28:O77,14,FALSE)</f>
        <v>5.79E-2</v>
      </c>
      <c r="F25" s="20">
        <f>VLOOKUP(A25,'4.CY2022 Improve All Payers'!A28:O77,15,FALSE)</f>
        <v>-0.2301</v>
      </c>
      <c r="G25" s="21">
        <f t="shared" si="9"/>
        <v>-6.0499999999999998E-2</v>
      </c>
      <c r="H25" s="22">
        <f t="shared" si="1"/>
        <v>1.6199999999999999E-2</v>
      </c>
      <c r="I25" s="23">
        <f t="shared" si="2"/>
        <v>113783</v>
      </c>
      <c r="J25" s="20">
        <f>VLOOKUP(A25,'8.  CY22 Readmit Attainment'!A25:E68,5,FALSE)</f>
        <v>5.79E-2</v>
      </c>
      <c r="K25" s="24">
        <f t="shared" si="3"/>
        <v>0.1159</v>
      </c>
      <c r="L25" s="22">
        <f t="shared" si="4"/>
        <v>0.02</v>
      </c>
      <c r="M25" s="23">
        <f t="shared" si="10"/>
        <v>140472</v>
      </c>
      <c r="N25" s="25">
        <f t="shared" si="5"/>
        <v>140472</v>
      </c>
      <c r="O25" s="20">
        <f t="shared" si="6"/>
        <v>1.9999966116464235E-2</v>
      </c>
      <c r="P25" s="26" t="str">
        <f t="shared" si="8"/>
        <v>Att</v>
      </c>
      <c r="Q25" s="27"/>
    </row>
    <row r="26" spans="1:18">
      <c r="A26" s="16">
        <v>210032</v>
      </c>
      <c r="B26" s="17" t="s">
        <v>40</v>
      </c>
      <c r="C26" s="18">
        <f>VLOOKUP(A26,'[7]IP revenue'!$A$2:$E$51,5,FALSE)</f>
        <v>90564568.874170572</v>
      </c>
      <c r="D26" s="19">
        <f>VLOOKUP(A26,'4.CY2022 Improve All Payers'!A29:O78,8,FALSE)</f>
        <v>0.11070000000000001</v>
      </c>
      <c r="E26" s="20">
        <f>VLOOKUP(A26,'4.CY2022 Improve All Payers'!A29:O78,14,FALSE)</f>
        <v>0.1215</v>
      </c>
      <c r="F26" s="20">
        <f>VLOOKUP(A26,'4.CY2022 Improve All Payers'!A29:O78,15,FALSE)</f>
        <v>9.7600000000000006E-2</v>
      </c>
      <c r="G26" s="21">
        <f t="shared" si="9"/>
        <v>-6.0499999999999998E-2</v>
      </c>
      <c r="H26" s="22">
        <f t="shared" si="1"/>
        <v>-1.5100000000000001E-2</v>
      </c>
      <c r="I26" s="23">
        <f t="shared" si="2"/>
        <v>-1367525</v>
      </c>
      <c r="J26" s="20">
        <f>VLOOKUP(A26,'8.  CY22 Readmit Attainment'!A26:E69,5,FALSE)</f>
        <v>0.15011262798634811</v>
      </c>
      <c r="K26" s="24">
        <f t="shared" si="3"/>
        <v>0.1159</v>
      </c>
      <c r="L26" s="22">
        <f t="shared" si="4"/>
        <v>-0.02</v>
      </c>
      <c r="M26" s="23">
        <f t="shared" si="10"/>
        <v>-1811291</v>
      </c>
      <c r="N26" s="25">
        <f t="shared" si="5"/>
        <v>-1367525</v>
      </c>
      <c r="O26" s="20">
        <f t="shared" si="6"/>
        <v>-1.5100000110418727E-2</v>
      </c>
      <c r="P26" s="26" t="str">
        <f t="shared" si="8"/>
        <v>Imp</v>
      </c>
      <c r="Q26" s="27"/>
    </row>
    <row r="27" spans="1:18">
      <c r="A27" s="16">
        <v>210033</v>
      </c>
      <c r="B27" s="17" t="s">
        <v>41</v>
      </c>
      <c r="C27" s="18">
        <f>VLOOKUP(A27,'[7]IP revenue'!$A$2:$E$51,5,FALSE)</f>
        <v>157367330.60061771</v>
      </c>
      <c r="D27" s="19">
        <f>VLOOKUP(A27,'4.CY2022 Improve All Payers'!A30:O79,8,FALSE)</f>
        <v>0.1241</v>
      </c>
      <c r="E27" s="20">
        <f>VLOOKUP(A27,'4.CY2022 Improve All Payers'!A30:O79,14,FALSE)</f>
        <v>0.1129</v>
      </c>
      <c r="F27" s="20">
        <f>VLOOKUP(A27,'4.CY2022 Improve All Payers'!A30:O79,15,FALSE)</f>
        <v>-9.0200000000000002E-2</v>
      </c>
      <c r="G27" s="21">
        <f t="shared" si="9"/>
        <v>-6.0499999999999998E-2</v>
      </c>
      <c r="H27" s="22">
        <f t="shared" si="1"/>
        <v>2.8E-3</v>
      </c>
      <c r="I27" s="23">
        <f t="shared" si="2"/>
        <v>440629</v>
      </c>
      <c r="J27" s="20">
        <f>VLOOKUP(A27,'8.  CY22 Readmit Attainment'!A27:E70,5,FALSE)</f>
        <v>0.11859052419354843</v>
      </c>
      <c r="K27" s="24">
        <f t="shared" si="3"/>
        <v>0.1159</v>
      </c>
      <c r="L27" s="22">
        <f t="shared" si="4"/>
        <v>-1.6999999999999999E-3</v>
      </c>
      <c r="M27" s="23">
        <f t="shared" si="10"/>
        <v>-267524</v>
      </c>
      <c r="N27" s="25">
        <f t="shared" si="5"/>
        <v>440629</v>
      </c>
      <c r="O27" s="20">
        <f t="shared" si="6"/>
        <v>2.8000030140834732E-3</v>
      </c>
      <c r="P27" s="26" t="str">
        <f t="shared" si="8"/>
        <v>Imp</v>
      </c>
      <c r="Q27" s="27"/>
    </row>
    <row r="28" spans="1:18">
      <c r="A28" s="16">
        <v>210034</v>
      </c>
      <c r="B28" s="17" t="s">
        <v>42</v>
      </c>
      <c r="C28" s="18">
        <f>VLOOKUP(A28,'[7]IP revenue'!$A$2:$E$51,5,FALSE)</f>
        <v>129425148.21810527</v>
      </c>
      <c r="D28" s="19">
        <f>VLOOKUP(A28,'4.CY2022 Improve All Payers'!A31:O80,8,FALSE)</f>
        <v>0.1489</v>
      </c>
      <c r="E28" s="20">
        <f>VLOOKUP(A28,'4.CY2022 Improve All Payers'!A31:O80,14,FALSE)</f>
        <v>0.125</v>
      </c>
      <c r="F28" s="20">
        <f>VLOOKUP(A28,'4.CY2022 Improve All Payers'!A31:O80,15,FALSE)</f>
        <v>-0.1605</v>
      </c>
      <c r="G28" s="21">
        <f t="shared" si="9"/>
        <v>-6.0499999999999998E-2</v>
      </c>
      <c r="H28" s="22">
        <f t="shared" si="1"/>
        <v>9.4999999999999998E-3</v>
      </c>
      <c r="I28" s="23">
        <f t="shared" si="2"/>
        <v>1229539</v>
      </c>
      <c r="J28" s="20">
        <f>VLOOKUP(A28,'8.  CY22 Readmit Attainment'!A28:E71,5,FALSE)</f>
        <v>0.1274900398406375</v>
      </c>
      <c r="K28" s="24">
        <f t="shared" si="3"/>
        <v>0.1159</v>
      </c>
      <c r="L28" s="22">
        <f t="shared" si="4"/>
        <v>-7.4000000000000003E-3</v>
      </c>
      <c r="M28" s="23">
        <f t="shared" si="10"/>
        <v>-957746</v>
      </c>
      <c r="N28" s="25">
        <f t="shared" si="5"/>
        <v>1229539</v>
      </c>
      <c r="O28" s="20">
        <f t="shared" si="6"/>
        <v>9.5000007102792709E-3</v>
      </c>
      <c r="P28" s="26" t="str">
        <f t="shared" si="8"/>
        <v>Imp</v>
      </c>
      <c r="Q28" s="27"/>
    </row>
    <row r="29" spans="1:18">
      <c r="A29" s="16">
        <v>210035</v>
      </c>
      <c r="B29" s="17" t="s">
        <v>43</v>
      </c>
      <c r="C29" s="18">
        <f>VLOOKUP(A29,'[7]IP revenue'!$A$2:$E$51,5,FALSE)</f>
        <v>98358514.483739927</v>
      </c>
      <c r="D29" s="19">
        <f>VLOOKUP(A29,'4.CY2022 Improve All Payers'!A32:O81,8,FALSE)</f>
        <v>0.1077</v>
      </c>
      <c r="E29" s="20">
        <f>VLOOKUP(A29,'4.CY2022 Improve All Payers'!A32:O81,14,FALSE)</f>
        <v>9.8299999999999998E-2</v>
      </c>
      <c r="F29" s="20">
        <f>VLOOKUP(A29,'4.CY2022 Improve All Payers'!A32:O81,15,FALSE)</f>
        <v>-8.7300000000000003E-2</v>
      </c>
      <c r="G29" s="21">
        <f t="shared" si="9"/>
        <v>-6.0499999999999998E-2</v>
      </c>
      <c r="H29" s="22">
        <f t="shared" si="1"/>
        <v>2.5999999999999999E-3</v>
      </c>
      <c r="I29" s="23">
        <f t="shared" si="2"/>
        <v>255732</v>
      </c>
      <c r="J29" s="20">
        <f>VLOOKUP(A29,'8.  CY22 Readmit Attainment'!A29:E72,5,FALSE)</f>
        <v>0.11299252669039141</v>
      </c>
      <c r="K29" s="24">
        <f t="shared" si="3"/>
        <v>0.1159</v>
      </c>
      <c r="L29" s="22">
        <f t="shared" si="4"/>
        <v>1.9E-3</v>
      </c>
      <c r="M29" s="23">
        <f t="shared" si="10"/>
        <v>186881</v>
      </c>
      <c r="N29" s="25">
        <f t="shared" si="5"/>
        <v>255732</v>
      </c>
      <c r="O29" s="20">
        <f t="shared" si="6"/>
        <v>2.5999986004493405E-3</v>
      </c>
      <c r="P29" s="26" t="str">
        <f t="shared" si="8"/>
        <v>Imp</v>
      </c>
      <c r="Q29" s="27"/>
    </row>
    <row r="30" spans="1:18">
      <c r="A30" s="16">
        <v>210037</v>
      </c>
      <c r="B30" s="17" t="s">
        <v>44</v>
      </c>
      <c r="C30" s="18">
        <f>VLOOKUP(A30,'[7]IP revenue'!$A$2:$E$51,5,FALSE)</f>
        <v>119931603.01886743</v>
      </c>
      <c r="D30" s="19">
        <f>VLOOKUP(A30,'4.CY2022 Improve All Payers'!A33:O82,8,FALSE)</f>
        <v>9.3299999999999994E-2</v>
      </c>
      <c r="E30" s="20">
        <f>VLOOKUP(A30,'4.CY2022 Improve All Payers'!A33:O82,14,FALSE)</f>
        <v>0.09</v>
      </c>
      <c r="F30" s="20">
        <f>VLOOKUP(A30,'4.CY2022 Improve All Payers'!A33:O82,15,FALSE)</f>
        <v>-3.5400000000000001E-2</v>
      </c>
      <c r="G30" s="21">
        <f t="shared" si="9"/>
        <v>-6.0499999999999998E-2</v>
      </c>
      <c r="H30" s="22">
        <f t="shared" si="1"/>
        <v>-2.3999999999999998E-3</v>
      </c>
      <c r="I30" s="23">
        <f t="shared" si="2"/>
        <v>-287836</v>
      </c>
      <c r="J30" s="20">
        <f>VLOOKUP(A30,'8.  CY22 Readmit Attainment'!A30:E73,5,FALSE)</f>
        <v>9.8955223880597007E-2</v>
      </c>
      <c r="K30" s="24">
        <f t="shared" si="3"/>
        <v>0.1159</v>
      </c>
      <c r="L30" s="22">
        <f t="shared" si="4"/>
        <v>1.0800000000000001E-2</v>
      </c>
      <c r="M30" s="23">
        <f t="shared" si="10"/>
        <v>1295261</v>
      </c>
      <c r="N30" s="25">
        <f t="shared" si="5"/>
        <v>1295261</v>
      </c>
      <c r="O30" s="20">
        <f t="shared" si="6"/>
        <v>1.0799997393482948E-2</v>
      </c>
      <c r="P30" s="26" t="str">
        <f t="shared" si="8"/>
        <v>Att</v>
      </c>
      <c r="Q30" s="27"/>
    </row>
    <row r="31" spans="1:18">
      <c r="A31" s="16">
        <v>210038</v>
      </c>
      <c r="B31" s="17" t="s">
        <v>45</v>
      </c>
      <c r="C31" s="18">
        <f>VLOOKUP(A31,'[7]IP revenue'!$A$2:$E$51,5,FALSE)</f>
        <v>137864556.68863067</v>
      </c>
      <c r="D31" s="19">
        <f>VLOOKUP(A31,'4.CY2022 Improve All Payers'!A34:O83,8,FALSE)</f>
        <v>0.15129999999999999</v>
      </c>
      <c r="E31" s="20">
        <f>VLOOKUP(A31,'4.CY2022 Improve All Payers'!A34:O83,14,FALSE)</f>
        <v>0.1178</v>
      </c>
      <c r="F31" s="20">
        <f>VLOOKUP(A31,'4.CY2022 Improve All Payers'!A34:O83,15,FALSE)</f>
        <v>-0.22140000000000001</v>
      </c>
      <c r="G31" s="21">
        <f t="shared" si="9"/>
        <v>-6.0499999999999998E-2</v>
      </c>
      <c r="H31" s="22">
        <f t="shared" si="1"/>
        <v>1.5299999999999999E-2</v>
      </c>
      <c r="I31" s="23">
        <f t="shared" si="2"/>
        <v>2109328</v>
      </c>
      <c r="J31" s="20">
        <f>VLOOKUP(A31,'8.  CY22 Readmit Attainment'!A31:E74,5,FALSE)</f>
        <v>0.12235580110497235</v>
      </c>
      <c r="K31" s="24">
        <f t="shared" si="3"/>
        <v>0.1159</v>
      </c>
      <c r="L31" s="22">
        <f t="shared" si="4"/>
        <v>-4.1000000000000003E-3</v>
      </c>
      <c r="M31" s="23">
        <f t="shared" si="10"/>
        <v>-565245</v>
      </c>
      <c r="N31" s="25">
        <f t="shared" si="5"/>
        <v>2109328</v>
      </c>
      <c r="O31" s="20">
        <f t="shared" si="6"/>
        <v>1.5300002050301815E-2</v>
      </c>
      <c r="P31" s="26" t="str">
        <f t="shared" si="8"/>
        <v>Imp</v>
      </c>
      <c r="Q31" s="27"/>
    </row>
    <row r="32" spans="1:18">
      <c r="A32" s="16">
        <v>210039</v>
      </c>
      <c r="B32" s="17" t="s">
        <v>46</v>
      </c>
      <c r="C32" s="18">
        <f>VLOOKUP(A32,'[7]IP revenue'!$A$2:$E$51,5,FALSE)</f>
        <v>82099976.517627656</v>
      </c>
      <c r="D32" s="19">
        <f>VLOOKUP(A32,'4.CY2022 Improve All Payers'!A35:O84,8,FALSE)</f>
        <v>0.1079</v>
      </c>
      <c r="E32" s="20">
        <f>VLOOKUP(A32,'4.CY2022 Improve All Payers'!A35:O84,14,FALSE)</f>
        <v>9.8000000000000004E-2</v>
      </c>
      <c r="F32" s="20">
        <f>VLOOKUP(A32,'4.CY2022 Improve All Payers'!A35:O84,15,FALSE)</f>
        <v>-9.1800000000000007E-2</v>
      </c>
      <c r="G32" s="21">
        <f t="shared" si="9"/>
        <v>-6.0499999999999998E-2</v>
      </c>
      <c r="H32" s="22">
        <f t="shared" si="1"/>
        <v>3.0000000000000001E-3</v>
      </c>
      <c r="I32" s="23">
        <f t="shared" si="2"/>
        <v>246300</v>
      </c>
      <c r="J32" s="20">
        <f>VLOOKUP(A32,'8.  CY22 Readmit Attainment'!A32:E75,5,FALSE)</f>
        <v>0.10576603773584906</v>
      </c>
      <c r="K32" s="24">
        <f t="shared" si="3"/>
        <v>0.1159</v>
      </c>
      <c r="L32" s="22">
        <f t="shared" si="4"/>
        <v>6.4999999999999997E-3</v>
      </c>
      <c r="M32" s="23">
        <f t="shared" si="10"/>
        <v>533650</v>
      </c>
      <c r="N32" s="25">
        <f t="shared" si="5"/>
        <v>533650</v>
      </c>
      <c r="O32" s="20">
        <f t="shared" si="6"/>
        <v>6.5000018591408514E-3</v>
      </c>
      <c r="P32" s="26" t="str">
        <f t="shared" si="8"/>
        <v>Att</v>
      </c>
      <c r="Q32" s="27"/>
    </row>
    <row r="33" spans="1:17">
      <c r="A33" s="16">
        <v>210040</v>
      </c>
      <c r="B33" s="17" t="s">
        <v>47</v>
      </c>
      <c r="C33" s="18">
        <f>VLOOKUP(A33,'[7]IP revenue'!$A$2:$E$51,5,FALSE)</f>
        <v>157220825.01024193</v>
      </c>
      <c r="D33" s="19">
        <f>VLOOKUP(A33,'4.CY2022 Improve All Payers'!A36:O85,8,FALSE)</f>
        <v>0.1207</v>
      </c>
      <c r="E33" s="20">
        <f>VLOOKUP(A33,'4.CY2022 Improve All Payers'!A36:O85,14,FALSE)</f>
        <v>0.1192</v>
      </c>
      <c r="F33" s="20">
        <f>VLOOKUP(A33,'4.CY2022 Improve All Payers'!A36:O85,15,FALSE)</f>
        <v>-1.24E-2</v>
      </c>
      <c r="G33" s="21">
        <f t="shared" si="9"/>
        <v>-6.0499999999999998E-2</v>
      </c>
      <c r="H33" s="22">
        <f t="shared" si="1"/>
        <v>-4.5999999999999999E-3</v>
      </c>
      <c r="I33" s="23">
        <f t="shared" si="2"/>
        <v>-723216</v>
      </c>
      <c r="J33" s="20">
        <f>VLOOKUP(A33,'8.  CY22 Readmit Attainment'!A33:E76,5,FALSE)</f>
        <v>0.11988309455587393</v>
      </c>
      <c r="K33" s="24">
        <f t="shared" si="3"/>
        <v>0.1159</v>
      </c>
      <c r="L33" s="22">
        <f t="shared" si="4"/>
        <v>-2.5000000000000001E-3</v>
      </c>
      <c r="M33" s="23">
        <f t="shared" si="10"/>
        <v>-393052</v>
      </c>
      <c r="N33" s="25">
        <f t="shared" si="5"/>
        <v>-393052</v>
      </c>
      <c r="O33" s="20">
        <f t="shared" si="6"/>
        <v>-2.4999996023071067E-3</v>
      </c>
      <c r="P33" s="26" t="str">
        <f t="shared" si="8"/>
        <v>Att</v>
      </c>
      <c r="Q33" s="27"/>
    </row>
    <row r="34" spans="1:17">
      <c r="A34" s="16">
        <v>210043</v>
      </c>
      <c r="B34" s="17" t="s">
        <v>48</v>
      </c>
      <c r="C34" s="18">
        <f>VLOOKUP(A34,'[7]IP revenue'!$A$2:$E$51,5,FALSE)</f>
        <v>326459953.60958123</v>
      </c>
      <c r="D34" s="19">
        <f>VLOOKUP(A34,'4.CY2022 Improve All Payers'!A37:O86,8,FALSE)</f>
        <v>0.1226</v>
      </c>
      <c r="E34" s="20">
        <f>VLOOKUP(A34,'4.CY2022 Improve All Payers'!A37:O86,14,FALSE)</f>
        <v>0.1111</v>
      </c>
      <c r="F34" s="20">
        <f>VLOOKUP(A34,'4.CY2022 Improve All Payers'!A37:O86,15,FALSE)</f>
        <v>-9.3799999999999994E-2</v>
      </c>
      <c r="G34" s="21">
        <f t="shared" si="9"/>
        <v>-6.0499999999999998E-2</v>
      </c>
      <c r="H34" s="22">
        <f t="shared" si="1"/>
        <v>3.2000000000000002E-3</v>
      </c>
      <c r="I34" s="23">
        <f t="shared" si="2"/>
        <v>1044672</v>
      </c>
      <c r="J34" s="20">
        <f>VLOOKUP(A34,'8.  CY22 Readmit Attainment'!A34:E77,5,FALSE)</f>
        <v>0.112573474801061</v>
      </c>
      <c r="K34" s="24">
        <f t="shared" si="3"/>
        <v>0.1159</v>
      </c>
      <c r="L34" s="22">
        <f t="shared" si="4"/>
        <v>2.0999999999999999E-3</v>
      </c>
      <c r="M34" s="23">
        <f t="shared" si="10"/>
        <v>685566</v>
      </c>
      <c r="N34" s="25">
        <f t="shared" si="5"/>
        <v>1044672</v>
      </c>
      <c r="O34" s="20">
        <f t="shared" si="6"/>
        <v>3.2000004547245026E-3</v>
      </c>
      <c r="P34" s="26" t="str">
        <f t="shared" si="8"/>
        <v>Imp</v>
      </c>
      <c r="Q34" s="27"/>
    </row>
    <row r="35" spans="1:17">
      <c r="A35" s="16">
        <v>210044</v>
      </c>
      <c r="B35" s="17" t="s">
        <v>49</v>
      </c>
      <c r="C35" s="18">
        <f>VLOOKUP(A35,'[7]IP revenue'!$A$2:$E$51,5,FALSE)</f>
        <v>254895212.92070058</v>
      </c>
      <c r="D35" s="19">
        <f>VLOOKUP(A35,'4.CY2022 Improve All Payers'!A38:O87,8,FALSE)</f>
        <v>0.1106</v>
      </c>
      <c r="E35" s="20">
        <f>VLOOKUP(A35,'4.CY2022 Improve All Payers'!A38:O87,14,FALSE)</f>
        <v>0.105</v>
      </c>
      <c r="F35" s="20">
        <f>VLOOKUP(A35,'4.CY2022 Improve All Payers'!A38:O87,15,FALSE)</f>
        <v>-5.0599999999999999E-2</v>
      </c>
      <c r="G35" s="21">
        <f t="shared" si="9"/>
        <v>-6.0499999999999998E-2</v>
      </c>
      <c r="H35" s="22">
        <f t="shared" si="1"/>
        <v>-8.9999999999999998E-4</v>
      </c>
      <c r="I35" s="23">
        <f t="shared" si="2"/>
        <v>-229406</v>
      </c>
      <c r="J35" s="20">
        <f>VLOOKUP(A35,'8.  CY22 Readmit Attainment'!A35:E78,5,FALSE)</f>
        <v>0.10617187499999996</v>
      </c>
      <c r="K35" s="24">
        <f t="shared" si="3"/>
        <v>0.1159</v>
      </c>
      <c r="L35" s="22">
        <f t="shared" si="4"/>
        <v>6.1999999999999998E-3</v>
      </c>
      <c r="M35" s="23">
        <f t="shared" si="10"/>
        <v>1580350</v>
      </c>
      <c r="N35" s="25">
        <f t="shared" si="5"/>
        <v>1580350</v>
      </c>
      <c r="O35" s="20">
        <f t="shared" si="6"/>
        <v>6.1999987441570996E-3</v>
      </c>
      <c r="P35" s="26" t="str">
        <f t="shared" si="8"/>
        <v>Att</v>
      </c>
      <c r="Q35" s="27"/>
    </row>
    <row r="36" spans="1:17">
      <c r="A36" s="16">
        <v>210048</v>
      </c>
      <c r="B36" s="17" t="s">
        <v>50</v>
      </c>
      <c r="C36" s="18">
        <f>VLOOKUP(A36,'[7]IP revenue'!$A$2:$E$51,5,FALSE)</f>
        <v>214071731.70784119</v>
      </c>
      <c r="D36" s="19">
        <f>VLOOKUP(A36,'4.CY2022 Improve All Payers'!A39:O88,8,FALSE)</f>
        <v>0.11650000000000001</v>
      </c>
      <c r="E36" s="20">
        <f>VLOOKUP(A36,'4.CY2022 Improve All Payers'!A39:O88,14,FALSE)</f>
        <v>0.12640000000000001</v>
      </c>
      <c r="F36" s="20">
        <f>VLOOKUP(A36,'4.CY2022 Improve All Payers'!A39:O88,15,FALSE)</f>
        <v>8.5000000000000006E-2</v>
      </c>
      <c r="G36" s="21">
        <f t="shared" si="9"/>
        <v>-6.0499999999999998E-2</v>
      </c>
      <c r="H36" s="22">
        <f t="shared" ref="H36" si="11">ROUND(IF(F36&lt;=ImpMaxRewardScore,MaxReward,IF(F36&gt;=ImpMaxPenaltyScore,MaxPenalty,IF(F36&lt;=ImpTarget,MaxReward*((F36-ImpTarget)/(ImpMaxRewardScore-ImpTarget)),MaxPenalty*((F36-ImpTarget)/(ImpMaxPenaltyScore-ImpTarget))))),4)</f>
        <v>-1.3899999999999999E-2</v>
      </c>
      <c r="I36" s="23">
        <f t="shared" si="2"/>
        <v>-2975597</v>
      </c>
      <c r="J36" s="20">
        <f>VLOOKUP(A36,'8.  CY22 Readmit Attainment'!A36:E79,5,FALSE)</f>
        <v>0.13056703296703298</v>
      </c>
      <c r="K36" s="24">
        <f t="shared" si="3"/>
        <v>0.1159</v>
      </c>
      <c r="L36" s="22">
        <f t="shared" ref="L36" si="12">ROUND(IF(J36&lt;=AttMaxRewardScore,MaxReward,IF(J36&gt;=AttMaxPenaltyScore,MaxPenalty,IF(J36&lt;=AttTarget,MaxReward*((J36-AttTarget)/(AttMaxRewardScore-AttTarget)),MaxPenalty*((J36-AttTarget)/(AttMaxPenaltyScore-AttTarget))))),4)</f>
        <v>-9.4000000000000004E-3</v>
      </c>
      <c r="M36" s="23">
        <f t="shared" si="10"/>
        <v>-2012274</v>
      </c>
      <c r="N36" s="25">
        <f t="shared" si="5"/>
        <v>-2012274</v>
      </c>
      <c r="O36" s="20">
        <f t="shared" si="6"/>
        <v>-9.3999987011189889E-3</v>
      </c>
      <c r="P36" s="26" t="str">
        <f t="shared" si="8"/>
        <v>Att</v>
      </c>
      <c r="Q36" s="27"/>
    </row>
    <row r="37" spans="1:17">
      <c r="A37" s="16">
        <v>210049</v>
      </c>
      <c r="B37" s="17" t="s">
        <v>51</v>
      </c>
      <c r="C37" s="18">
        <f>VLOOKUP(A37,'[7]IP revenue'!$A$2:$E$51,5,FALSE)</f>
        <v>201124138.71816137</v>
      </c>
      <c r="D37" s="19">
        <f>VLOOKUP(A37,'4.CY2022 Improve All Payers'!A40:O89,8,FALSE)</f>
        <v>0.121</v>
      </c>
      <c r="E37" s="20">
        <f>VLOOKUP(A37,'4.CY2022 Improve All Payers'!A40:O89,14,FALSE)</f>
        <v>0.1182</v>
      </c>
      <c r="F37" s="20">
        <f>VLOOKUP(A37,'4.CY2022 Improve All Payers'!A40:O89,15,FALSE)</f>
        <v>-2.3099999999999999E-2</v>
      </c>
      <c r="G37" s="21">
        <f t="shared" si="9"/>
        <v>-6.0499999999999998E-2</v>
      </c>
      <c r="H37" s="22">
        <f t="shared" ref="H37:H47" si="13">ROUND(IF(F37&lt;=ImpMaxRewardScore,MaxReward,IF(F37&gt;=ImpMaxPenaltyScore,MaxPenalty,IF(F37&lt;=ImpTarget,MaxReward*((F37-ImpTarget)/(ImpMaxRewardScore-ImpTarget)),MaxPenalty*((F37-ImpTarget)/(ImpMaxPenaltyScore-ImpTarget))))),4)</f>
        <v>-3.5999999999999999E-3</v>
      </c>
      <c r="I37" s="23">
        <f t="shared" si="2"/>
        <v>-724047</v>
      </c>
      <c r="J37" s="20">
        <f>VLOOKUP(A37,'8.  CY22 Readmit Attainment'!A37:E80,5,FALSE)</f>
        <v>0.1213544740973313</v>
      </c>
      <c r="K37" s="24">
        <f t="shared" si="3"/>
        <v>0.1159</v>
      </c>
      <c r="L37" s="22">
        <f t="shared" ref="L37:L47" si="14">ROUND(IF(J37&lt;=AttMaxRewardScore,MaxReward,IF(J37&gt;=AttMaxPenaltyScore,MaxPenalty,IF(J37&lt;=AttTarget,MaxReward*((J37-AttTarget)/(AttMaxRewardScore-AttTarget)),MaxPenalty*((J37-AttTarget)/(AttMaxPenaltyScore-AttTarget))))),4)</f>
        <v>-3.5000000000000001E-3</v>
      </c>
      <c r="M37" s="23">
        <f t="shared" si="10"/>
        <v>-703934</v>
      </c>
      <c r="N37" s="25">
        <f t="shared" si="5"/>
        <v>-703934</v>
      </c>
      <c r="O37" s="20">
        <f t="shared" si="6"/>
        <v>-3.4999975860005271E-3</v>
      </c>
      <c r="P37" s="26" t="str">
        <f t="shared" si="8"/>
        <v>Att</v>
      </c>
      <c r="Q37" s="27"/>
    </row>
    <row r="38" spans="1:17">
      <c r="A38" s="16">
        <v>210051</v>
      </c>
      <c r="B38" s="17" t="s">
        <v>52</v>
      </c>
      <c r="C38" s="18">
        <f>VLOOKUP(A38,'[7]IP revenue'!$A$2:$E$51,5,FALSE)</f>
        <v>176421776.5508185</v>
      </c>
      <c r="D38" s="19">
        <f>VLOOKUP(A38,'4.CY2022 Improve All Payers'!A41:O90,8,FALSE)</f>
        <v>0.104</v>
      </c>
      <c r="E38" s="20">
        <f>VLOOKUP(A38,'4.CY2022 Improve All Payers'!A41:O90,14,FALSE)</f>
        <v>9.3600000000000003E-2</v>
      </c>
      <c r="F38" s="20">
        <f>VLOOKUP(A38,'4.CY2022 Improve All Payers'!A41:O90,15,FALSE)</f>
        <v>-0.1</v>
      </c>
      <c r="G38" s="21">
        <f t="shared" si="9"/>
        <v>-6.0499999999999998E-2</v>
      </c>
      <c r="H38" s="22">
        <f t="shared" si="13"/>
        <v>3.8E-3</v>
      </c>
      <c r="I38" s="23">
        <f t="shared" si="2"/>
        <v>670403</v>
      </c>
      <c r="J38" s="20">
        <f>VLOOKUP(A38,'8.  CY22 Readmit Attainment'!A38:E81,5,FALSE)</f>
        <v>0.1111796954314721</v>
      </c>
      <c r="K38" s="24">
        <f t="shared" si="3"/>
        <v>0.1159</v>
      </c>
      <c r="L38" s="22">
        <f t="shared" si="14"/>
        <v>3.0000000000000001E-3</v>
      </c>
      <c r="M38" s="23">
        <f t="shared" si="10"/>
        <v>529265</v>
      </c>
      <c r="N38" s="25">
        <f t="shared" si="5"/>
        <v>670403</v>
      </c>
      <c r="O38" s="20">
        <f t="shared" si="6"/>
        <v>3.8000014119962656E-3</v>
      </c>
      <c r="P38" s="26" t="str">
        <f t="shared" si="8"/>
        <v>Imp</v>
      </c>
      <c r="Q38" s="27"/>
    </row>
    <row r="39" spans="1:17">
      <c r="A39" s="16">
        <v>210056</v>
      </c>
      <c r="B39" s="17" t="s">
        <v>53</v>
      </c>
      <c r="C39" s="18">
        <f>VLOOKUP(A39,'[7]IP revenue'!$A$2:$E$51,5,FALSE)</f>
        <v>191497543.9445892</v>
      </c>
      <c r="D39" s="19">
        <f>VLOOKUP(A39,'4.CY2022 Improve All Payers'!A42:O91,8,FALSE)</f>
        <v>0.14549999999999999</v>
      </c>
      <c r="E39" s="20">
        <f>VLOOKUP(A39,'4.CY2022 Improve All Payers'!A42:O91,14,FALSE)</f>
        <v>0.1429</v>
      </c>
      <c r="F39" s="20">
        <f>VLOOKUP(A39,'4.CY2022 Improve All Payers'!A42:O91,15,FALSE)</f>
        <v>-1.7899999999999999E-2</v>
      </c>
      <c r="G39" s="21">
        <f t="shared" si="9"/>
        <v>-6.0499999999999998E-2</v>
      </c>
      <c r="H39" s="22">
        <f t="shared" si="13"/>
        <v>-4.1000000000000003E-3</v>
      </c>
      <c r="I39" s="23">
        <f t="shared" si="2"/>
        <v>-785140</v>
      </c>
      <c r="J39" s="20">
        <f>VLOOKUP(A39,'8.  CY22 Readmit Attainment'!A39:E82,5,FALSE)</f>
        <v>0.14393363471971068</v>
      </c>
      <c r="K39" s="24">
        <f t="shared" si="3"/>
        <v>0.1159</v>
      </c>
      <c r="L39" s="22">
        <f t="shared" si="14"/>
        <v>-1.7899999999999999E-2</v>
      </c>
      <c r="M39" s="23">
        <f t="shared" si="10"/>
        <v>-3427806</v>
      </c>
      <c r="N39" s="25">
        <f t="shared" si="5"/>
        <v>-785140</v>
      </c>
      <c r="O39" s="20">
        <f t="shared" si="6"/>
        <v>-4.1000003646374924E-3</v>
      </c>
      <c r="P39" s="26" t="str">
        <f t="shared" si="8"/>
        <v>Imp</v>
      </c>
      <c r="Q39" s="27"/>
    </row>
    <row r="40" spans="1:17">
      <c r="A40" s="16">
        <v>210057</v>
      </c>
      <c r="B40" s="17" t="s">
        <v>54</v>
      </c>
      <c r="C40" s="18">
        <f>VLOOKUP(A40,'[7]IP revenue'!$A$2:$E$51,5,FALSE)</f>
        <v>321044392.86646461</v>
      </c>
      <c r="D40" s="19">
        <f>VLOOKUP(A40,'4.CY2022 Improve All Payers'!A43:O92,8,FALSE)</f>
        <v>0.1103</v>
      </c>
      <c r="E40" s="20">
        <f>VLOOKUP(A40,'4.CY2022 Improve All Payers'!A43:O92,14,FALSE)</f>
        <v>9.74E-2</v>
      </c>
      <c r="F40" s="20">
        <f>VLOOKUP(A40,'4.CY2022 Improve All Payers'!A43:O92,15,FALSE)</f>
        <v>-0.11700000000000001</v>
      </c>
      <c r="G40" s="21">
        <f t="shared" si="9"/>
        <v>-6.0499999999999998E-2</v>
      </c>
      <c r="H40" s="22">
        <f t="shared" si="13"/>
        <v>5.4000000000000003E-3</v>
      </c>
      <c r="I40" s="23">
        <f t="shared" si="2"/>
        <v>1733640</v>
      </c>
      <c r="J40" s="20">
        <f>VLOOKUP(A40,'8.  CY22 Readmit Attainment'!A40:E83,5,FALSE)</f>
        <v>0.10369838337182445</v>
      </c>
      <c r="K40" s="24">
        <f t="shared" si="3"/>
        <v>0.1159</v>
      </c>
      <c r="L40" s="22">
        <f t="shared" si="14"/>
        <v>7.7999999999999996E-3</v>
      </c>
      <c r="M40" s="23">
        <f t="shared" si="10"/>
        <v>2504146</v>
      </c>
      <c r="N40" s="25">
        <f t="shared" si="5"/>
        <v>2504146</v>
      </c>
      <c r="O40" s="20">
        <f t="shared" si="6"/>
        <v>7.799999176567385E-3</v>
      </c>
      <c r="P40" s="26" t="str">
        <f t="shared" si="8"/>
        <v>Att</v>
      </c>
      <c r="Q40" s="27"/>
    </row>
    <row r="41" spans="1:17">
      <c r="A41" s="16">
        <v>210058</v>
      </c>
      <c r="B41" s="17" t="s">
        <v>55</v>
      </c>
      <c r="C41" s="18">
        <f>VLOOKUP(A41,'[7]IP revenue'!$A$2:$E$51,5,FALSE)</f>
        <v>74199748.680663943</v>
      </c>
      <c r="D41" s="19">
        <f>VLOOKUP(A41,'4.CY2022 Improve All Payers'!A44:O93,8,FALSE)</f>
        <v>8.3599999999999994E-2</v>
      </c>
      <c r="E41" s="20">
        <f>VLOOKUP(A41,'4.CY2022 Improve All Payers'!A44:O93,14,FALSE)</f>
        <v>0.1057</v>
      </c>
      <c r="F41" s="20">
        <f>VLOOKUP(A41,'4.CY2022 Improve All Payers'!A44:O93,15,FALSE)</f>
        <v>0.26440000000000002</v>
      </c>
      <c r="G41" s="21">
        <f t="shared" si="9"/>
        <v>-6.0499999999999998E-2</v>
      </c>
      <c r="H41" s="22">
        <f t="shared" si="13"/>
        <v>-0.02</v>
      </c>
      <c r="I41" s="23">
        <f t="shared" si="2"/>
        <v>-1483995</v>
      </c>
      <c r="J41" s="20">
        <f>VLOOKUP(A41,'8.  CY22 Readmit Attainment'!A41:E84,5,FALSE)</f>
        <v>0.1057</v>
      </c>
      <c r="K41" s="24">
        <f t="shared" si="3"/>
        <v>0.1159</v>
      </c>
      <c r="L41" s="22">
        <f t="shared" si="14"/>
        <v>6.4999999999999997E-3</v>
      </c>
      <c r="M41" s="23">
        <f>ROUND($C41*L41,0)*0.18</f>
        <v>86813.64</v>
      </c>
      <c r="N41" s="25">
        <f t="shared" si="5"/>
        <v>86813.64</v>
      </c>
      <c r="O41" s="20">
        <f t="shared" si="6"/>
        <v>1.1699991110970321E-3</v>
      </c>
      <c r="P41" s="26" t="str">
        <f t="shared" si="8"/>
        <v>Att</v>
      </c>
      <c r="Q41" s="27"/>
    </row>
    <row r="42" spans="1:17">
      <c r="A42" s="16">
        <v>210060</v>
      </c>
      <c r="B42" s="17" t="s">
        <v>56</v>
      </c>
      <c r="C42" s="18">
        <f>VLOOKUP(A42,'[7]IP revenue'!$A$2:$E$51,5,FALSE)</f>
        <v>31642518.132036917</v>
      </c>
      <c r="D42" s="19">
        <f>VLOOKUP(A42,'4.CY2022 Improve All Payers'!A45:O94,8,FALSE)</f>
        <v>9.2600000000000002E-2</v>
      </c>
      <c r="E42" s="20">
        <f>VLOOKUP(A42,'4.CY2022 Improve All Payers'!A45:O94,14,FALSE)</f>
        <v>9.1600000000000001E-2</v>
      </c>
      <c r="F42" s="20">
        <f>VLOOKUP(A42,'4.CY2022 Improve All Payers'!A45:O94,15,FALSE)</f>
        <v>-1.0800000000000001E-2</v>
      </c>
      <c r="G42" s="21">
        <f t="shared" si="9"/>
        <v>-6.0499999999999998E-2</v>
      </c>
      <c r="H42" s="22">
        <f t="shared" si="13"/>
        <v>-4.7000000000000002E-3</v>
      </c>
      <c r="I42" s="23">
        <f t="shared" si="2"/>
        <v>-148720</v>
      </c>
      <c r="J42" s="20">
        <f>VLOOKUP(A42,'8.  CY22 Readmit Attainment'!A42:E85,5,FALSE)</f>
        <v>0.12901408450704224</v>
      </c>
      <c r="K42" s="24">
        <f t="shared" si="3"/>
        <v>0.1159</v>
      </c>
      <c r="L42" s="22">
        <f t="shared" si="14"/>
        <v>-8.3999999999999995E-3</v>
      </c>
      <c r="M42" s="23">
        <f t="shared" si="10"/>
        <v>-265797</v>
      </c>
      <c r="N42" s="25">
        <f t="shared" si="5"/>
        <v>-148720</v>
      </c>
      <c r="O42" s="20">
        <f t="shared" si="6"/>
        <v>-4.7000052075320238E-3</v>
      </c>
      <c r="P42" s="26" t="str">
        <f t="shared" si="8"/>
        <v>Imp</v>
      </c>
      <c r="Q42" s="27"/>
    </row>
    <row r="43" spans="1:17">
      <c r="A43" s="16">
        <v>210061</v>
      </c>
      <c r="B43" s="17" t="s">
        <v>57</v>
      </c>
      <c r="C43" s="18">
        <f>VLOOKUP(A43,'[7]IP revenue'!$A$2:$E$51,5,FALSE)</f>
        <v>45367140.905673936</v>
      </c>
      <c r="D43" s="19">
        <f>VLOOKUP(A43,'4.CY2022 Improve All Payers'!A46:O95,8,FALSE)</f>
        <v>9.8900000000000002E-2</v>
      </c>
      <c r="E43" s="20">
        <f>VLOOKUP(A43,'4.CY2022 Improve All Payers'!A46:O95,14,FALSE)</f>
        <v>9.5899999999999999E-2</v>
      </c>
      <c r="F43" s="20">
        <f>VLOOKUP(A43,'4.CY2022 Improve All Payers'!A46:O95,15,FALSE)</f>
        <v>-3.0300000000000001E-2</v>
      </c>
      <c r="G43" s="21">
        <f t="shared" si="9"/>
        <v>-6.0499999999999998E-2</v>
      </c>
      <c r="H43" s="22">
        <f t="shared" si="13"/>
        <v>-2.8999999999999998E-3</v>
      </c>
      <c r="I43" s="23">
        <f t="shared" si="2"/>
        <v>-131565</v>
      </c>
      <c r="J43" s="20">
        <f>VLOOKUP(A43,'8.  CY22 Readmit Attainment'!A43:E86,5,FALSE)</f>
        <v>0.10257658227848103</v>
      </c>
      <c r="K43" s="24">
        <f t="shared" si="3"/>
        <v>0.1159</v>
      </c>
      <c r="L43" s="22">
        <f t="shared" si="14"/>
        <v>8.5000000000000006E-3</v>
      </c>
      <c r="M43" s="23">
        <f t="shared" si="10"/>
        <v>385621</v>
      </c>
      <c r="N43" s="25">
        <f t="shared" si="5"/>
        <v>385621</v>
      </c>
      <c r="O43" s="20">
        <f t="shared" si="6"/>
        <v>8.5000066634521258E-3</v>
      </c>
      <c r="P43" s="26" t="str">
        <f t="shared" si="8"/>
        <v>Att</v>
      </c>
      <c r="Q43" s="27"/>
    </row>
    <row r="44" spans="1:17">
      <c r="A44" s="16">
        <v>210062</v>
      </c>
      <c r="B44" s="17" t="s">
        <v>58</v>
      </c>
      <c r="C44" s="18">
        <f>VLOOKUP(A44,'[7]IP revenue'!$A$2:$E$51,5,FALSE)</f>
        <v>196475930.16038722</v>
      </c>
      <c r="D44" s="19">
        <f>VLOOKUP(A44,'4.CY2022 Improve All Payers'!A47:O96,8,FALSE)</f>
        <v>0.10349999999999999</v>
      </c>
      <c r="E44" s="20">
        <f>VLOOKUP(A44,'4.CY2022 Improve All Payers'!A47:O96,14,FALSE)</f>
        <v>9.64E-2</v>
      </c>
      <c r="F44" s="20">
        <f>VLOOKUP(A44,'4.CY2022 Improve All Payers'!A47:O96,15,FALSE)</f>
        <v>-6.8599999999999994E-2</v>
      </c>
      <c r="G44" s="21">
        <f t="shared" si="9"/>
        <v>-6.0499999999999998E-2</v>
      </c>
      <c r="H44" s="22">
        <f t="shared" si="13"/>
        <v>8.0000000000000004E-4</v>
      </c>
      <c r="I44" s="23">
        <f t="shared" si="2"/>
        <v>157181</v>
      </c>
      <c r="J44" s="20">
        <f>VLOOKUP(A44,'8.  CY22 Readmit Attainment'!A44:E87,5,FALSE)</f>
        <v>0.1199459770114942</v>
      </c>
      <c r="K44" s="24">
        <f t="shared" si="3"/>
        <v>0.1159</v>
      </c>
      <c r="L44" s="22">
        <f t="shared" si="14"/>
        <v>-2.5999999999999999E-3</v>
      </c>
      <c r="M44" s="23">
        <f t="shared" si="10"/>
        <v>-510837</v>
      </c>
      <c r="N44" s="25">
        <f t="shared" si="5"/>
        <v>157181</v>
      </c>
      <c r="O44" s="20">
        <f t="shared" si="6"/>
        <v>8.000013023055293E-4</v>
      </c>
      <c r="P44" s="26" t="str">
        <f t="shared" si="8"/>
        <v>Imp</v>
      </c>
      <c r="Q44" s="27"/>
    </row>
    <row r="45" spans="1:17" s="30" customFormat="1">
      <c r="A45" s="16">
        <v>210063</v>
      </c>
      <c r="B45" s="17" t="s">
        <v>59</v>
      </c>
      <c r="C45" s="18">
        <f>VLOOKUP(A45,'[7]IP revenue'!$A$2:$E$51,5,FALSE)</f>
        <v>280257927.04977566</v>
      </c>
      <c r="D45" s="19">
        <f>VLOOKUP(A45,'4.CY2022 Improve All Payers'!A48:O97,8,FALSE)</f>
        <v>0.1196</v>
      </c>
      <c r="E45" s="20">
        <f>VLOOKUP(A45,'4.CY2022 Improve All Payers'!A48:O97,14,FALSE)</f>
        <v>0.12039999999999999</v>
      </c>
      <c r="F45" s="20">
        <f>VLOOKUP(A45,'4.CY2022 Improve All Payers'!A48:O97,15,FALSE)</f>
        <v>6.7000000000000002E-3</v>
      </c>
      <c r="G45" s="21">
        <f t="shared" si="9"/>
        <v>-6.0499999999999998E-2</v>
      </c>
      <c r="H45" s="22">
        <f t="shared" si="13"/>
        <v>-6.4000000000000003E-3</v>
      </c>
      <c r="I45" s="23">
        <f t="shared" si="2"/>
        <v>-1793651</v>
      </c>
      <c r="J45" s="20">
        <f>VLOOKUP(A45,'8.  CY22 Readmit Attainment'!A45:E88,5,FALSE)</f>
        <v>0.12264094754653128</v>
      </c>
      <c r="K45" s="24">
        <f t="shared" si="3"/>
        <v>0.1159</v>
      </c>
      <c r="L45" s="22">
        <f t="shared" si="14"/>
        <v>-4.3E-3</v>
      </c>
      <c r="M45" s="23">
        <f t="shared" si="10"/>
        <v>-1205109</v>
      </c>
      <c r="N45" s="25">
        <f t="shared" si="5"/>
        <v>-1205109</v>
      </c>
      <c r="O45" s="20">
        <f t="shared" si="6"/>
        <v>-4.2999996920192905E-3</v>
      </c>
      <c r="P45" s="26" t="str">
        <f t="shared" si="8"/>
        <v>Att</v>
      </c>
      <c r="Q45" s="27"/>
    </row>
    <row r="46" spans="1:17" s="30" customFormat="1">
      <c r="A46" s="16">
        <v>210064</v>
      </c>
      <c r="B46" s="17" t="s">
        <v>60</v>
      </c>
      <c r="C46" s="18">
        <f>VLOOKUP(A46,'[7]IP revenue'!$A$2:$E$51,5,FALSE)</f>
        <v>66200891.472133711</v>
      </c>
      <c r="D46" s="19">
        <f>VLOOKUP(A46,'4.CY2022 Improve All Payers'!A49:O98,8,FALSE)</f>
        <v>0.1217</v>
      </c>
      <c r="E46" s="20">
        <f>VLOOKUP(A46,'4.CY2022 Improve All Payers'!A49:O98,14,FALSE)</f>
        <v>9.4600000000000004E-2</v>
      </c>
      <c r="F46" s="20">
        <f>VLOOKUP(A46,'4.CY2022 Improve All Payers'!A49:O98,15,FALSE)</f>
        <v>-0.22270000000000001</v>
      </c>
      <c r="G46" s="21">
        <f t="shared" si="9"/>
        <v>-6.0499999999999998E-2</v>
      </c>
      <c r="H46" s="22">
        <f t="shared" si="13"/>
        <v>1.54E-2</v>
      </c>
      <c r="I46" s="23">
        <f t="shared" si="2"/>
        <v>1019494</v>
      </c>
      <c r="J46" s="20">
        <f>VLOOKUP(A46,'8.  CY22 Readmit Attainment'!A46:E89,5,FALSE)</f>
        <v>9.4600000000000004E-2</v>
      </c>
      <c r="K46" s="24">
        <f t="shared" si="3"/>
        <v>0.1159</v>
      </c>
      <c r="L46" s="22">
        <f t="shared" si="14"/>
        <v>1.3599999999999999E-2</v>
      </c>
      <c r="M46" s="23">
        <f t="shared" si="10"/>
        <v>900332</v>
      </c>
      <c r="N46" s="25">
        <f t="shared" si="5"/>
        <v>1019494</v>
      </c>
      <c r="O46" s="20">
        <f t="shared" si="6"/>
        <v>1.5400004098572312E-2</v>
      </c>
      <c r="P46" s="26" t="str">
        <f t="shared" si="8"/>
        <v>Imp</v>
      </c>
      <c r="Q46" s="27"/>
    </row>
    <row r="47" spans="1:17" s="30" customFormat="1">
      <c r="A47" s="16">
        <v>210065</v>
      </c>
      <c r="B47" s="17" t="s">
        <v>61</v>
      </c>
      <c r="C47" s="18">
        <f>VLOOKUP(A47,'[7]IP revenue'!$A$2:$E$51,5,FALSE)</f>
        <v>79412195.1085798</v>
      </c>
      <c r="D47" s="19">
        <f>VLOOKUP(A47,'4.CY2022 Improve All Payers'!A50:O99,8,FALSE)</f>
        <v>0.12559999999999999</v>
      </c>
      <c r="E47" s="20">
        <f>VLOOKUP(A47,'4.CY2022 Improve All Payers'!A50:O99,14,FALSE)</f>
        <v>0.115</v>
      </c>
      <c r="F47" s="20">
        <f>VLOOKUP(A47,'4.CY2022 Improve All Payers'!A50:O99,15,FALSE)</f>
        <v>-8.4400000000000003E-2</v>
      </c>
      <c r="G47" s="21">
        <f t="shared" si="9"/>
        <v>-6.0499999999999998E-2</v>
      </c>
      <c r="H47" s="22">
        <f t="shared" si="13"/>
        <v>2.3E-3</v>
      </c>
      <c r="I47" s="23">
        <f t="shared" si="2"/>
        <v>182648</v>
      </c>
      <c r="J47" s="20">
        <f>VLOOKUP(A47,'8.  CY22 Readmit Attainment'!A47:E90,5,FALSE)</f>
        <v>0.11878289473684209</v>
      </c>
      <c r="K47" s="24">
        <f t="shared" si="3"/>
        <v>0.1159</v>
      </c>
      <c r="L47" s="22">
        <f t="shared" si="14"/>
        <v>-1.8E-3</v>
      </c>
      <c r="M47" s="23">
        <f t="shared" si="10"/>
        <v>-142942</v>
      </c>
      <c r="N47" s="25">
        <f t="shared" si="5"/>
        <v>182648</v>
      </c>
      <c r="O47" s="20">
        <f t="shared" si="6"/>
        <v>2.2999993861177936E-3</v>
      </c>
      <c r="P47" s="26" t="str">
        <f t="shared" si="8"/>
        <v>Imp</v>
      </c>
      <c r="Q47" s="27"/>
    </row>
    <row r="48" spans="1:17" s="30" customFormat="1">
      <c r="A48" s="16"/>
      <c r="B48" s="17"/>
      <c r="C48" s="18"/>
      <c r="D48" s="38"/>
      <c r="E48" s="38"/>
      <c r="F48" s="38"/>
      <c r="G48" s="39"/>
      <c r="H48" s="40"/>
      <c r="I48" s="23"/>
      <c r="J48" s="23"/>
      <c r="K48" s="24"/>
      <c r="L48" s="40"/>
      <c r="M48" s="23"/>
      <c r="N48" s="25"/>
      <c r="O48" s="24"/>
      <c r="P48" s="26"/>
    </row>
    <row r="49" spans="1:16" s="50" customFormat="1" ht="15.75">
      <c r="A49" s="41" t="s">
        <v>62</v>
      </c>
      <c r="B49" s="42"/>
      <c r="C49" s="43">
        <f>SUM(C4:C47)</f>
        <v>11393598819.627283</v>
      </c>
      <c r="D49" s="20"/>
      <c r="E49" s="44"/>
      <c r="F49" s="20"/>
      <c r="G49" s="45"/>
      <c r="H49" s="46"/>
      <c r="I49" s="47">
        <f>SUM(I4:I47)</f>
        <v>44950197</v>
      </c>
      <c r="J49" s="47"/>
      <c r="K49" s="48"/>
      <c r="L49" s="49"/>
      <c r="M49" s="47">
        <f>SUM(M4:M47)</f>
        <v>-20422977.388094157</v>
      </c>
      <c r="N49" s="47">
        <f>SUM(N4:N47)</f>
        <v>56176032.805809811</v>
      </c>
      <c r="O49" s="48"/>
      <c r="P49" s="41"/>
    </row>
    <row r="50" spans="1:16">
      <c r="A50" s="51" t="s">
        <v>63</v>
      </c>
      <c r="B50" s="52"/>
      <c r="C50" s="48"/>
      <c r="D50" s="48"/>
      <c r="E50" s="48"/>
      <c r="F50" s="48"/>
      <c r="G50" s="48"/>
      <c r="H50" s="49"/>
      <c r="I50" s="23">
        <f>SUMIF(I2:I47,"&lt;0",I2:I47)</f>
        <v>-19206323</v>
      </c>
      <c r="J50" s="23"/>
      <c r="K50" s="48"/>
      <c r="L50" s="49"/>
      <c r="M50" s="23">
        <f>SUMIF(M2:M47,"&lt;0",M2:M47)</f>
        <v>-34883841.530049026</v>
      </c>
      <c r="N50" s="25">
        <f>SUMIF(N4:N47,"&lt;0",N4:N47)</f>
        <v>-12811324.015161239</v>
      </c>
      <c r="O50" s="48"/>
      <c r="P50" s="48"/>
    </row>
    <row r="51" spans="1:16">
      <c r="A51" s="51" t="s">
        <v>64</v>
      </c>
      <c r="B51" s="52"/>
      <c r="C51" s="48"/>
      <c r="D51" s="48"/>
      <c r="E51" s="48"/>
      <c r="F51" s="48"/>
      <c r="G51" s="48"/>
      <c r="I51" s="23">
        <f>SUMIF(I2:I47,"&gt;0",I2:I47)</f>
        <v>64156520</v>
      </c>
      <c r="J51" s="23"/>
      <c r="K51" s="48"/>
      <c r="L51" s="49"/>
      <c r="M51" s="23">
        <f>SUMIF(M2:M47,"&gt;0",M2:M47)</f>
        <v>14460864.141954873</v>
      </c>
      <c r="N51" s="25">
        <f>SUMIF(N4:N47,"&gt;0",N4:N47)</f>
        <v>68987356.820971057</v>
      </c>
      <c r="O51" s="48"/>
      <c r="P51" s="48"/>
    </row>
    <row r="52" spans="1:16" ht="15.75">
      <c r="A52" s="53"/>
      <c r="B52" s="54"/>
      <c r="C52" s="18"/>
      <c r="D52" s="55"/>
      <c r="E52" s="55"/>
      <c r="F52" s="55"/>
      <c r="G52" s="56"/>
      <c r="H52" s="24"/>
      <c r="I52" s="25"/>
      <c r="J52" s="25"/>
      <c r="K52" s="48"/>
      <c r="L52" s="48"/>
      <c r="M52" s="25"/>
      <c r="N52" s="25"/>
      <c r="O52" s="48"/>
      <c r="P52" s="57"/>
    </row>
    <row r="53" spans="1:16" ht="15.75">
      <c r="A53" s="58"/>
      <c r="B53" s="59"/>
      <c r="C53" s="60"/>
      <c r="D53" s="61"/>
      <c r="E53" s="61"/>
      <c r="F53" s="61"/>
      <c r="G53" s="62"/>
      <c r="H53" s="63"/>
      <c r="I53" s="63"/>
      <c r="J53" s="63"/>
      <c r="N53" s="64"/>
    </row>
    <row r="54" spans="1:16">
      <c r="A54" s="158" t="s">
        <v>65</v>
      </c>
      <c r="B54" s="158"/>
      <c r="C54" s="158"/>
      <c r="D54" s="158"/>
      <c r="E54" s="158"/>
      <c r="F54" s="158"/>
      <c r="G54" s="158"/>
      <c r="H54" s="158"/>
      <c r="I54" s="158"/>
      <c r="J54" s="158"/>
      <c r="K54" s="158"/>
      <c r="L54" s="158"/>
      <c r="M54" s="158"/>
      <c r="N54" s="158"/>
    </row>
    <row r="55" spans="1:16">
      <c r="A55" s="3" t="s">
        <v>76</v>
      </c>
    </row>
    <row r="56" spans="1:16">
      <c r="N56" s="64"/>
    </row>
    <row r="57" spans="1:16">
      <c r="N57" s="64"/>
    </row>
    <row r="58" spans="1:16" ht="15.75">
      <c r="B58" s="65" t="s">
        <v>66</v>
      </c>
      <c r="C58" s="66">
        <v>0.02</v>
      </c>
    </row>
    <row r="59" spans="1:16" ht="15.75">
      <c r="B59" s="65" t="s">
        <v>67</v>
      </c>
      <c r="C59" s="66">
        <v>-0.02</v>
      </c>
    </row>
    <row r="61" spans="1:16" ht="15.75">
      <c r="B61" s="65" t="s">
        <v>68</v>
      </c>
      <c r="C61" s="67">
        <v>-6.0499999999999998E-2</v>
      </c>
    </row>
    <row r="62" spans="1:16" ht="15.75">
      <c r="B62" s="65" t="s">
        <v>69</v>
      </c>
      <c r="C62" s="67">
        <v>-0.27050000000000002</v>
      </c>
    </row>
    <row r="63" spans="1:16" ht="15.75">
      <c r="B63" s="65" t="s">
        <v>70</v>
      </c>
      <c r="C63" s="67">
        <v>0.14949999999999999</v>
      </c>
    </row>
    <row r="64" spans="1:16" ht="15.75">
      <c r="B64" s="65" t="s">
        <v>71</v>
      </c>
      <c r="C64" s="67">
        <v>0.1159</v>
      </c>
    </row>
    <row r="65" spans="2:3" ht="15.75">
      <c r="B65" s="65" t="s">
        <v>72</v>
      </c>
      <c r="C65" s="67">
        <v>8.4599999999999995E-2</v>
      </c>
    </row>
    <row r="66" spans="2:3" ht="15.75">
      <c r="B66" s="65" t="s">
        <v>73</v>
      </c>
      <c r="C66" s="67">
        <v>0.1472</v>
      </c>
    </row>
  </sheetData>
  <autoFilter ref="A3:P3" xr:uid="{00000000-0009-0000-0000-000002000000}">
    <sortState xmlns:xlrd2="http://schemas.microsoft.com/office/spreadsheetml/2017/richdata2" ref="A3:R50">
      <sortCondition ref="A2"/>
    </sortState>
  </autoFilter>
  <mergeCells count="5">
    <mergeCell ref="A2:F2"/>
    <mergeCell ref="G2:I2"/>
    <mergeCell ref="J2:M2"/>
    <mergeCell ref="N2:P2"/>
    <mergeCell ref="A54:N54"/>
  </mergeCells>
  <conditionalFormatting sqref="I4:I47 M4:N48">
    <cfRule type="cellIs" dxfId="3" priority="1" operator="lessThan">
      <formula>0</formula>
    </cfRule>
    <cfRule type="cellIs" dxfId="2" priority="2" operator="greaterThan">
      <formula>0</formula>
    </cfRule>
  </conditionalFormatting>
  <conditionalFormatting sqref="I48:J48">
    <cfRule type="cellIs" dxfId="1" priority="3" operator="lessThan">
      <formula>0</formula>
    </cfRule>
    <cfRule type="cellIs" dxfId="0" priority="4" operator="greaterThan">
      <formula>0</formula>
    </cfRule>
  </conditionalFormatting>
  <printOptions horizontalCentered="1" verticalCentered="1"/>
  <pageMargins left="0.45" right="0.45" top="0.25" bottom="0.25" header="0.3" footer="0.3"/>
  <pageSetup paperSize="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61B0-4D97-4750-B707-7BC8DB26EDE7}">
  <dimension ref="A1:O57"/>
  <sheetViews>
    <sheetView topLeftCell="A25" zoomScale="67" zoomScaleNormal="67" workbookViewId="0">
      <selection activeCell="C58" sqref="C58"/>
    </sheetView>
  </sheetViews>
  <sheetFormatPr defaultRowHeight="15"/>
  <cols>
    <col min="2" max="2" width="49.7109375" customWidth="1"/>
    <col min="3" max="3" width="18.7109375" bestFit="1" customWidth="1"/>
    <col min="4" max="4" width="18.7109375" customWidth="1"/>
    <col min="5" max="7" width="17.140625" customWidth="1"/>
    <col min="14" max="14" width="19.140625" bestFit="1" customWidth="1"/>
  </cols>
  <sheetData>
    <row r="1" spans="1:15">
      <c r="G1" s="68"/>
    </row>
    <row r="2" spans="1:15" ht="78.75" customHeight="1">
      <c r="A2" s="69" t="s">
        <v>79</v>
      </c>
      <c r="B2" s="69" t="s">
        <v>80</v>
      </c>
      <c r="C2" s="69" t="s">
        <v>126</v>
      </c>
      <c r="D2" s="69" t="s">
        <v>127</v>
      </c>
      <c r="E2" s="69" t="s">
        <v>128</v>
      </c>
      <c r="F2" s="69" t="s">
        <v>114</v>
      </c>
      <c r="G2" s="69" t="s">
        <v>115</v>
      </c>
      <c r="N2" t="s">
        <v>129</v>
      </c>
      <c r="O2" t="s">
        <v>137</v>
      </c>
    </row>
    <row r="3" spans="1:15" ht="15.75">
      <c r="A3" s="17">
        <v>210001</v>
      </c>
      <c r="B3" s="17" t="s">
        <v>17</v>
      </c>
      <c r="C3" s="70">
        <f>VLOOKUP(A3,'[7]IP revenue'!$A$2:$E$51,5,FALSE)</f>
        <v>236441777.03256336</v>
      </c>
      <c r="D3" s="71">
        <f>VLOOKUP(A3,'4.CY2022 Improve All Payers'!A7:O56,15,FALSE)</f>
        <v>2.12E-2</v>
      </c>
      <c r="E3" s="72">
        <f>VLOOKUP(A3,'2.Disparity Gap'!A9:W52,3,FALSE)</f>
        <v>-0.170103</v>
      </c>
      <c r="F3" s="73">
        <f t="shared" ref="F3:F46" si="0">ROUND(IF(AND(E3&lt;=$C$55,D3&lt;=0),$E$55,IF(AND(E3&lt;=$C$54,E3&gt;=$C$55,D3&lt;=0),($E$54+((E3-$C$54)/($C$57))/10000),0)),6)</f>
        <v>0</v>
      </c>
      <c r="G3" s="74">
        <f t="shared" ref="G3:G46" si="1">ROUND(F3*C3,0)</f>
        <v>0</v>
      </c>
      <c r="N3" t="s">
        <v>221</v>
      </c>
    </row>
    <row r="4" spans="1:15" ht="15.75">
      <c r="A4" s="17">
        <v>210002</v>
      </c>
      <c r="B4" s="17" t="s">
        <v>19</v>
      </c>
      <c r="C4" s="70">
        <f>VLOOKUP(A4,'[7]IP revenue'!$A$2:$E$51,5,FALSE)</f>
        <v>1419452964.0897801</v>
      </c>
      <c r="D4" s="71">
        <f>VLOOKUP(A4,'4.CY2022 Improve All Payers'!A8:O57,15,FALSE)</f>
        <v>-0.21529999999999999</v>
      </c>
      <c r="E4" s="72">
        <f>VLOOKUP(A4,'2.Disparity Gap'!A10:W53,3,FALSE)</f>
        <v>-0.15768599999999999</v>
      </c>
      <c r="F4" s="73">
        <f t="shared" si="0"/>
        <v>0</v>
      </c>
      <c r="G4" s="74">
        <f t="shared" si="1"/>
        <v>0</v>
      </c>
    </row>
    <row r="5" spans="1:15" ht="15.75">
      <c r="A5" s="17">
        <v>210003</v>
      </c>
      <c r="B5" s="17" t="s">
        <v>20</v>
      </c>
      <c r="C5" s="70">
        <f>VLOOKUP(A5,'[7]IP revenue'!$A$2:$E$51,5,FALSE)</f>
        <v>282004742.50411975</v>
      </c>
      <c r="D5" s="71">
        <f>VLOOKUP(A5,'4.CY2022 Improve All Payers'!A9:O58,15,FALSE)</f>
        <v>-0.1903</v>
      </c>
      <c r="E5" s="72">
        <f>VLOOKUP(A5,'2.Disparity Gap'!A11:W54,3,FALSE)</f>
        <v>-0.27601900000000001</v>
      </c>
      <c r="F5" s="73">
        <f t="shared" si="0"/>
        <v>3.1670000000000001E-3</v>
      </c>
      <c r="G5" s="74">
        <f t="shared" si="1"/>
        <v>893109</v>
      </c>
    </row>
    <row r="6" spans="1:15" ht="15.75">
      <c r="A6" s="17">
        <v>210004</v>
      </c>
      <c r="B6" s="17" t="s">
        <v>21</v>
      </c>
      <c r="C6" s="70">
        <f>VLOOKUP(A6,'[7]IP revenue'!$A$2:$E$51,5,FALSE)</f>
        <v>397412082.53870666</v>
      </c>
      <c r="D6" s="71">
        <f>VLOOKUP(A6,'4.CY2022 Improve All Payers'!A10:O59,15,FALSE)</f>
        <v>-0.11</v>
      </c>
      <c r="E6" s="72">
        <f>VLOOKUP(A6,'2.Disparity Gap'!A12:W55,3,FALSE)</f>
        <v>0.40008480000000002</v>
      </c>
      <c r="F6" s="73">
        <f t="shared" si="0"/>
        <v>0</v>
      </c>
      <c r="G6" s="74">
        <f t="shared" si="1"/>
        <v>0</v>
      </c>
      <c r="L6" s="75"/>
    </row>
    <row r="7" spans="1:15" ht="15.75">
      <c r="A7" s="17">
        <v>210005</v>
      </c>
      <c r="B7" s="17" t="s">
        <v>22</v>
      </c>
      <c r="C7" s="70">
        <f>VLOOKUP(A7,'[7]IP revenue'!$A$2:$E$51,5,FALSE)</f>
        <v>255798612.10245383</v>
      </c>
      <c r="D7" s="71">
        <f>VLOOKUP(A7,'4.CY2022 Improve All Payers'!A11:O60,15,FALSE)</f>
        <v>-8.9999999999999998E-4</v>
      </c>
      <c r="E7" s="72">
        <f>VLOOKUP(A7,'2.Disparity Gap'!A13:W56,3,FALSE)</f>
        <v>0.32854230000000001</v>
      </c>
      <c r="F7" s="73">
        <f t="shared" si="0"/>
        <v>0</v>
      </c>
      <c r="G7" s="74">
        <f t="shared" si="1"/>
        <v>0</v>
      </c>
    </row>
    <row r="8" spans="1:15" ht="15.75">
      <c r="A8" s="17">
        <v>210006</v>
      </c>
      <c r="B8" s="17" t="s">
        <v>23</v>
      </c>
      <c r="C8" s="70">
        <f>VLOOKUP(A8,'[7]IP revenue'!$A$2:$E$51,5,FALSE)</f>
        <v>68386363.776318178</v>
      </c>
      <c r="D8" s="71">
        <f>VLOOKUP(A8,'4.CY2022 Improve All Payers'!A12:O61,15,FALSE)</f>
        <v>9.1200000000000003E-2</v>
      </c>
      <c r="E8" s="72">
        <f>VLOOKUP(A8,'2.Disparity Gap'!A14:W57,3,FALSE)</f>
        <v>-7.8085000000000002E-2</v>
      </c>
      <c r="F8" s="73">
        <f t="shared" si="0"/>
        <v>0</v>
      </c>
      <c r="G8" s="74">
        <f t="shared" si="1"/>
        <v>0</v>
      </c>
    </row>
    <row r="9" spans="1:15" ht="15.75">
      <c r="A9" s="17">
        <v>210008</v>
      </c>
      <c r="B9" s="17" t="s">
        <v>24</v>
      </c>
      <c r="C9" s="70">
        <f>VLOOKUP(A9,'[7]IP revenue'!$A$2:$E$51,5,FALSE)</f>
        <v>216769130.1950303</v>
      </c>
      <c r="D9" s="71">
        <f>VLOOKUP(A9,'4.CY2022 Improve All Payers'!A13:O62,15,FALSE)</f>
        <v>-7.9399999999999998E-2</v>
      </c>
      <c r="E9" s="72">
        <f>VLOOKUP(A9,'2.Disparity Gap'!A15:W58,3,FALSE)</f>
        <v>-8.3239999999999998E-3</v>
      </c>
      <c r="F9" s="73">
        <f t="shared" si="0"/>
        <v>0</v>
      </c>
      <c r="G9" s="74">
        <f t="shared" si="1"/>
        <v>0</v>
      </c>
    </row>
    <row r="10" spans="1:15" ht="15.75">
      <c r="A10" s="17">
        <v>210009</v>
      </c>
      <c r="B10" s="17" t="s">
        <v>25</v>
      </c>
      <c r="C10" s="70">
        <f>VLOOKUP(A10,'[7]IP revenue'!$A$2:$E$51,5,FALSE)</f>
        <v>1702715898.3441095</v>
      </c>
      <c r="D10" s="71">
        <f>VLOOKUP(A10,'4.CY2022 Improve All Payers'!A14:O63,15,FALSE)</f>
        <v>-0.1464</v>
      </c>
      <c r="E10" s="72">
        <f>VLOOKUP(A10,'2.Disparity Gap'!A16:W59,3,FALSE)</f>
        <v>-0.20342299999999999</v>
      </c>
      <c r="F10" s="73">
        <f t="shared" si="0"/>
        <v>0</v>
      </c>
      <c r="G10" s="74">
        <f t="shared" si="1"/>
        <v>0</v>
      </c>
    </row>
    <row r="11" spans="1:15" ht="15.75">
      <c r="A11" s="17">
        <v>210011</v>
      </c>
      <c r="B11" s="17" t="s">
        <v>26</v>
      </c>
      <c r="C11" s="70">
        <f>VLOOKUP(A11,'[7]IP revenue'!$A$2:$E$51,5,FALSE)</f>
        <v>233444506.71257403</v>
      </c>
      <c r="D11" s="71">
        <f>VLOOKUP(A11,'4.CY2022 Improve All Payers'!A15:O64,15,FALSE)</f>
        <v>-2.2499999999999999E-2</v>
      </c>
      <c r="E11" s="72">
        <f>VLOOKUP(A11,'2.Disparity Gap'!A17:W60,3,FALSE)</f>
        <v>-0.221861</v>
      </c>
      <c r="F11" s="73">
        <f t="shared" si="0"/>
        <v>0</v>
      </c>
      <c r="G11" s="74">
        <f t="shared" si="1"/>
        <v>0</v>
      </c>
    </row>
    <row r="12" spans="1:15" ht="15.75">
      <c r="A12" s="17">
        <v>210012</v>
      </c>
      <c r="B12" s="17" t="s">
        <v>27</v>
      </c>
      <c r="C12" s="70">
        <f>VLOOKUP(A12,'[7]IP revenue'!$A$2:$E$51,5,FALSE)</f>
        <v>515384552.87013698</v>
      </c>
      <c r="D12" s="71">
        <f>VLOOKUP(A12,'4.CY2022 Improve All Payers'!A16:O65,15,FALSE)</f>
        <v>-8.5500000000000007E-2</v>
      </c>
      <c r="E12" s="72">
        <f>VLOOKUP(A12,'2.Disparity Gap'!A18:W61,3,FALSE)</f>
        <v>0.2953712</v>
      </c>
      <c r="F12" s="73">
        <f t="shared" si="0"/>
        <v>0</v>
      </c>
      <c r="G12" s="74">
        <f t="shared" si="1"/>
        <v>0</v>
      </c>
    </row>
    <row r="13" spans="1:15" ht="15.75">
      <c r="A13" s="17">
        <v>210015</v>
      </c>
      <c r="B13" s="17" t="s">
        <v>28</v>
      </c>
      <c r="C13" s="70">
        <f>VLOOKUP(A13,'[7]IP revenue'!$A$2:$E$51,5,FALSE)</f>
        <v>338396054.7926181</v>
      </c>
      <c r="D13" s="71">
        <f>VLOOKUP(A13,'4.CY2022 Improve All Payers'!A17:O66,15,FALSE)</f>
        <v>-0.2051</v>
      </c>
      <c r="E13" s="72">
        <f>VLOOKUP(A13,'2.Disparity Gap'!A19:W62,3,FALSE)</f>
        <v>-0.20128499999999999</v>
      </c>
      <c r="F13" s="73">
        <f t="shared" si="0"/>
        <v>0</v>
      </c>
      <c r="G13" s="74">
        <f t="shared" si="1"/>
        <v>0</v>
      </c>
    </row>
    <row r="14" spans="1:15" ht="15.75">
      <c r="A14" s="17">
        <v>210016</v>
      </c>
      <c r="B14" s="17" t="s">
        <v>29</v>
      </c>
      <c r="C14" s="70">
        <f>VLOOKUP(A14,'[7]IP revenue'!$A$2:$E$51,5,FALSE)</f>
        <v>225684639.31156248</v>
      </c>
      <c r="D14" s="71">
        <f>VLOOKUP(A14,'4.CY2022 Improve All Payers'!A18:O67,15,FALSE)</f>
        <v>-2.6100000000000002E-2</v>
      </c>
      <c r="E14" s="72">
        <f>VLOOKUP(A14,'2.Disparity Gap'!A20:W63,3,FALSE)</f>
        <v>-0.23861599999999999</v>
      </c>
      <c r="F14" s="73">
        <f t="shared" si="0"/>
        <v>2.6380000000000002E-3</v>
      </c>
      <c r="G14" s="74">
        <f t="shared" si="1"/>
        <v>595356</v>
      </c>
    </row>
    <row r="15" spans="1:15" ht="15.75">
      <c r="A15" s="17">
        <v>210017</v>
      </c>
      <c r="B15" s="17" t="s">
        <v>30</v>
      </c>
      <c r="C15" s="70">
        <f>VLOOKUP(A15,'[7]IP revenue'!$A$2:$E$51,5,FALSE)</f>
        <v>25525538.125369154</v>
      </c>
      <c r="D15" s="71">
        <f>VLOOKUP(A15,'4.CY2022 Improve All Payers'!A19:O68,15,FALSE)</f>
        <v>-0.25890000000000002</v>
      </c>
      <c r="E15" s="72">
        <f>VLOOKUP(A15,'2.Disparity Gap'!A21:W64,3,FALSE)</f>
        <v>-3.0003999999999999E-2</v>
      </c>
      <c r="F15" s="73">
        <f t="shared" si="0"/>
        <v>0</v>
      </c>
      <c r="G15" s="74">
        <f t="shared" si="1"/>
        <v>0</v>
      </c>
    </row>
    <row r="16" spans="1:15" ht="15.75">
      <c r="A16" s="17">
        <v>210018</v>
      </c>
      <c r="B16" s="17" t="s">
        <v>31</v>
      </c>
      <c r="C16" s="70">
        <f>VLOOKUP(A16,'[7]IP revenue'!$A$2:$E$51,5,FALSE)</f>
        <v>88807087.289993331</v>
      </c>
      <c r="D16" s="71">
        <f>VLOOKUP(A16,'4.CY2022 Improve All Payers'!A20:O69,15,FALSE)</f>
        <v>-0.11700000000000001</v>
      </c>
      <c r="E16" s="72">
        <f>VLOOKUP(A16,'2.Disparity Gap'!A22:W65,3,FALSE)</f>
        <v>-0.25433099999999997</v>
      </c>
      <c r="F16" s="73">
        <f t="shared" si="0"/>
        <v>2.8600000000000001E-3</v>
      </c>
      <c r="G16" s="74">
        <f t="shared" si="1"/>
        <v>253988</v>
      </c>
    </row>
    <row r="17" spans="1:7" ht="15.75">
      <c r="A17" s="17">
        <v>210019</v>
      </c>
      <c r="B17" s="17" t="s">
        <v>32</v>
      </c>
      <c r="C17" s="70">
        <f>VLOOKUP(A17,'[7]IP revenue'!$A$2:$E$51,5,FALSE)</f>
        <v>308473682.05304885</v>
      </c>
      <c r="D17" s="71">
        <f>VLOOKUP(A17,'4.CY2022 Improve All Payers'!A21:O70,15,FALSE)</f>
        <v>-4.87E-2</v>
      </c>
      <c r="E17" s="72">
        <f>VLOOKUP(A17,'2.Disparity Gap'!A23:W66,3,FALSE)</f>
        <v>0.32985599999999998</v>
      </c>
      <c r="F17" s="73">
        <f t="shared" si="0"/>
        <v>0</v>
      </c>
      <c r="G17" s="74">
        <f t="shared" si="1"/>
        <v>0</v>
      </c>
    </row>
    <row r="18" spans="1:7" ht="15.75">
      <c r="A18" s="17">
        <v>210022</v>
      </c>
      <c r="B18" s="17" t="s">
        <v>33</v>
      </c>
      <c r="C18" s="70">
        <f>VLOOKUP(A18,'[7]IP revenue'!$A$2:$E$51,5,FALSE)</f>
        <v>227224801.82671461</v>
      </c>
      <c r="D18" s="71">
        <f>VLOOKUP(A18,'4.CY2022 Improve All Payers'!A22:O71,15,FALSE)</f>
        <v>-0.14699999999999999</v>
      </c>
      <c r="E18" s="72">
        <f>VLOOKUP(A18,'2.Disparity Gap'!A24:W67,3,FALSE)</f>
        <v>-0.27493200000000001</v>
      </c>
      <c r="F18" s="73">
        <f t="shared" si="0"/>
        <v>3.1519999999999999E-3</v>
      </c>
      <c r="G18" s="74">
        <f t="shared" si="1"/>
        <v>716213</v>
      </c>
    </row>
    <row r="19" spans="1:7" ht="15.75">
      <c r="A19" s="17">
        <v>210023</v>
      </c>
      <c r="B19" s="17" t="s">
        <v>34</v>
      </c>
      <c r="C19" s="70">
        <f>VLOOKUP(A19,'[7]IP revenue'!$A$2:$E$51,5,FALSE)</f>
        <v>385505885.1439864</v>
      </c>
      <c r="D19" s="71">
        <f>VLOOKUP(A19,'4.CY2022 Improve All Payers'!A23:O72,15,FALSE)</f>
        <v>-1.84E-2</v>
      </c>
      <c r="E19" s="72">
        <f>VLOOKUP(A19,'2.Disparity Gap'!A25:W68,3,FALSE)</f>
        <v>-1.8370000000000001E-3</v>
      </c>
      <c r="F19" s="73">
        <f t="shared" si="0"/>
        <v>0</v>
      </c>
      <c r="G19" s="74">
        <f t="shared" si="1"/>
        <v>0</v>
      </c>
    </row>
    <row r="20" spans="1:7" ht="15.75">
      <c r="A20" s="17">
        <v>210024</v>
      </c>
      <c r="B20" s="17" t="s">
        <v>35</v>
      </c>
      <c r="C20" s="70">
        <f>VLOOKUP(A20,'[7]IP revenue'!$A$2:$E$51,5,FALSE)</f>
        <v>283598961.66895705</v>
      </c>
      <c r="D20" s="71">
        <f>VLOOKUP(A20,'4.CY2022 Improve All Payers'!A24:O73,15,FALSE)</f>
        <v>-4.7699999999999999E-2</v>
      </c>
      <c r="E20" s="72">
        <f>VLOOKUP(A20,'2.Disparity Gap'!A26:W69,3,FALSE)</f>
        <v>-0.216414</v>
      </c>
      <c r="F20" s="73">
        <f t="shared" si="0"/>
        <v>0</v>
      </c>
      <c r="G20" s="74">
        <f t="shared" si="1"/>
        <v>0</v>
      </c>
    </row>
    <row r="21" spans="1:7" ht="15.75">
      <c r="A21" s="17">
        <v>210027</v>
      </c>
      <c r="B21" s="17" t="s">
        <v>36</v>
      </c>
      <c r="C21" s="70">
        <f>VLOOKUP(A21,'[7]IP revenue'!$A$2:$E$51,5,FALSE)</f>
        <v>190230034.4365184</v>
      </c>
      <c r="D21" s="71">
        <f>VLOOKUP(A21,'4.CY2022 Improve All Payers'!A25:O74,15,FALSE)</f>
        <v>-8.7800000000000003E-2</v>
      </c>
      <c r="E21" s="72">
        <f>VLOOKUP(A21,'2.Disparity Gap'!A27:W70,3,FALSE)</f>
        <v>0.25899159999999999</v>
      </c>
      <c r="F21" s="73">
        <f t="shared" si="0"/>
        <v>0</v>
      </c>
      <c r="G21" s="74">
        <f t="shared" si="1"/>
        <v>0</v>
      </c>
    </row>
    <row r="22" spans="1:7" ht="15.75">
      <c r="A22" s="17">
        <v>210028</v>
      </c>
      <c r="B22" s="17" t="s">
        <v>37</v>
      </c>
      <c r="C22" s="70">
        <f>VLOOKUP(A22,'[7]IP revenue'!$A$2:$E$51,5,FALSE)</f>
        <v>98242475.514136836</v>
      </c>
      <c r="D22" s="71">
        <f>VLOOKUP(A22,'4.CY2022 Improve All Payers'!A26:O75,15,FALSE)</f>
        <v>-1.0999999999999999E-2</v>
      </c>
      <c r="E22" s="72">
        <f>VLOOKUP(A22,'2.Disparity Gap'!A28:W71,3,FALSE)</f>
        <v>-0.10305300000000001</v>
      </c>
      <c r="F22" s="73">
        <f t="shared" si="0"/>
        <v>0</v>
      </c>
      <c r="G22" s="74">
        <f t="shared" si="1"/>
        <v>0</v>
      </c>
    </row>
    <row r="23" spans="1:7" ht="15.75">
      <c r="A23" s="17">
        <v>210029</v>
      </c>
      <c r="B23" s="17" t="s">
        <v>38</v>
      </c>
      <c r="C23" s="70">
        <f>VLOOKUP(A23,'[7]IP revenue'!$A$2:$E$51,5,FALSE)</f>
        <v>455171792.15993381</v>
      </c>
      <c r="D23" s="71">
        <f>VLOOKUP(A23,'4.CY2022 Improve All Payers'!A27:O76,15,FALSE)</f>
        <v>-0.17949999999999999</v>
      </c>
      <c r="E23" s="72">
        <f>VLOOKUP(A23,'2.Disparity Gap'!A29:W72,3,FALSE)</f>
        <v>-0.26389000000000001</v>
      </c>
      <c r="F23" s="73">
        <f t="shared" si="0"/>
        <v>2.996E-3</v>
      </c>
      <c r="G23" s="74">
        <f t="shared" si="1"/>
        <v>1363695</v>
      </c>
    </row>
    <row r="24" spans="1:7" ht="15.75">
      <c r="A24" s="17">
        <v>210030</v>
      </c>
      <c r="B24" s="17" t="s">
        <v>39</v>
      </c>
      <c r="C24" s="70">
        <f>VLOOKUP(A24,'[7]IP revenue'!$A$2:$E$51,5,FALSE)</f>
        <v>7023611.8992402488</v>
      </c>
      <c r="D24" s="71">
        <f>VLOOKUP(A24,'4.CY2022 Improve All Payers'!A28:O77,15,FALSE)</f>
        <v>-0.2301</v>
      </c>
      <c r="E24" s="72">
        <f>VLOOKUP(A24,'2.Disparity Gap'!A30:W73,3,FALSE)</f>
        <v>-0.124499</v>
      </c>
      <c r="F24" s="73">
        <f t="shared" si="0"/>
        <v>0</v>
      </c>
      <c r="G24" s="74">
        <f t="shared" si="1"/>
        <v>0</v>
      </c>
    </row>
    <row r="25" spans="1:7" ht="15.75">
      <c r="A25" s="17">
        <v>210032</v>
      </c>
      <c r="B25" s="17" t="s">
        <v>40</v>
      </c>
      <c r="C25" s="70">
        <f>VLOOKUP(A25,'[7]IP revenue'!$A$2:$E$51,5,FALSE)</f>
        <v>90564568.874170572</v>
      </c>
      <c r="D25" s="71">
        <f>VLOOKUP(A25,'4.CY2022 Improve All Payers'!A29:O78,15,FALSE)</f>
        <v>9.7600000000000006E-2</v>
      </c>
      <c r="E25" s="72">
        <f>VLOOKUP(A25,'2.Disparity Gap'!A31:W74,3,FALSE)</f>
        <v>-9.9260000000000001E-2</v>
      </c>
      <c r="F25" s="73">
        <f t="shared" si="0"/>
        <v>0</v>
      </c>
      <c r="G25" s="74">
        <f t="shared" si="1"/>
        <v>0</v>
      </c>
    </row>
    <row r="26" spans="1:7" ht="15.75">
      <c r="A26" s="17">
        <v>210033</v>
      </c>
      <c r="B26" s="17" t="s">
        <v>41</v>
      </c>
      <c r="C26" s="70">
        <f>VLOOKUP(A26,'[7]IP revenue'!$A$2:$E$51,5,FALSE)</f>
        <v>157367330.60061771</v>
      </c>
      <c r="D26" s="71">
        <f>VLOOKUP(A26,'4.CY2022 Improve All Payers'!A30:O79,15,FALSE)</f>
        <v>-9.0200000000000002E-2</v>
      </c>
      <c r="E26" s="72">
        <f>VLOOKUP(A26,'2.Disparity Gap'!A32:W75,3,FALSE)</f>
        <v>-0.33226299999999998</v>
      </c>
      <c r="F26" s="73">
        <f t="shared" si="0"/>
        <v>3.9639999999999996E-3</v>
      </c>
      <c r="G26" s="74">
        <f t="shared" si="1"/>
        <v>623804</v>
      </c>
    </row>
    <row r="27" spans="1:7" ht="15.75">
      <c r="A27" s="17">
        <v>210034</v>
      </c>
      <c r="B27" s="17" t="s">
        <v>42</v>
      </c>
      <c r="C27" s="70">
        <f>VLOOKUP(A27,'[7]IP revenue'!$A$2:$E$51,5,FALSE)</f>
        <v>129425148.21810527</v>
      </c>
      <c r="D27" s="71">
        <f>VLOOKUP(A27,'4.CY2022 Improve All Payers'!A31:O80,15,FALSE)</f>
        <v>-0.1605</v>
      </c>
      <c r="E27" s="72">
        <f>VLOOKUP(A27,'2.Disparity Gap'!A33:W76,3,FALSE)</f>
        <v>-0.351914</v>
      </c>
      <c r="F27" s="73">
        <f t="shared" si="0"/>
        <v>4.2420000000000001E-3</v>
      </c>
      <c r="G27" s="74">
        <f t="shared" si="1"/>
        <v>549021</v>
      </c>
    </row>
    <row r="28" spans="1:7" ht="15.75">
      <c r="A28" s="17">
        <v>210035</v>
      </c>
      <c r="B28" s="17" t="s">
        <v>43</v>
      </c>
      <c r="C28" s="70">
        <f>VLOOKUP(A28,'[7]IP revenue'!$A$2:$E$51,5,FALSE)</f>
        <v>98358514.483739927</v>
      </c>
      <c r="D28" s="71">
        <f>VLOOKUP(A28,'4.CY2022 Improve All Payers'!A32:O81,15,FALSE)</f>
        <v>-8.7300000000000003E-2</v>
      </c>
      <c r="E28" s="72">
        <f>VLOOKUP(A28,'2.Disparity Gap'!A34:W77,3,FALSE)</f>
        <v>-0.12002699999999999</v>
      </c>
      <c r="F28" s="73">
        <f t="shared" si="0"/>
        <v>0</v>
      </c>
      <c r="G28" s="74">
        <f t="shared" si="1"/>
        <v>0</v>
      </c>
    </row>
    <row r="29" spans="1:7" ht="15.75">
      <c r="A29" s="17">
        <v>210037</v>
      </c>
      <c r="B29" s="17" t="s">
        <v>44</v>
      </c>
      <c r="C29" s="70">
        <f>VLOOKUP(A29,'[7]IP revenue'!$A$2:$E$51,5,FALSE)</f>
        <v>119931603.01886743</v>
      </c>
      <c r="D29" s="71">
        <f>VLOOKUP(A29,'4.CY2022 Improve All Payers'!A33:O82,15,FALSE)</f>
        <v>-3.5400000000000001E-2</v>
      </c>
      <c r="E29" s="72">
        <f>VLOOKUP(A29,'2.Disparity Gap'!A35:W78,3,FALSE)</f>
        <v>-4.9353000000000001E-2</v>
      </c>
      <c r="F29" s="73">
        <f t="shared" si="0"/>
        <v>0</v>
      </c>
      <c r="G29" s="74">
        <f t="shared" si="1"/>
        <v>0</v>
      </c>
    </row>
    <row r="30" spans="1:7" ht="15.75">
      <c r="A30" s="17">
        <v>210038</v>
      </c>
      <c r="B30" s="17" t="s">
        <v>45</v>
      </c>
      <c r="C30" s="70">
        <f>VLOOKUP(A30,'[7]IP revenue'!$A$2:$E$51,5,FALSE)</f>
        <v>137864556.68863067</v>
      </c>
      <c r="D30" s="71">
        <f>VLOOKUP(A30,'4.CY2022 Improve All Payers'!A34:O83,15,FALSE)</f>
        <v>-0.22140000000000001</v>
      </c>
      <c r="E30" s="72">
        <f>VLOOKUP(A30,'2.Disparity Gap'!A36:W79,3,FALSE)</f>
        <v>0.48545270000000001</v>
      </c>
      <c r="F30" s="73">
        <f t="shared" si="0"/>
        <v>0</v>
      </c>
      <c r="G30" s="74">
        <f t="shared" si="1"/>
        <v>0</v>
      </c>
    </row>
    <row r="31" spans="1:7" ht="15.75">
      <c r="A31" s="17">
        <v>210039</v>
      </c>
      <c r="B31" s="17" t="s">
        <v>46</v>
      </c>
      <c r="C31" s="70">
        <f>VLOOKUP(A31,'[7]IP revenue'!$A$2:$E$51,5,FALSE)</f>
        <v>82099976.517627656</v>
      </c>
      <c r="D31" s="71">
        <f>VLOOKUP(A31,'4.CY2022 Improve All Payers'!A35:O84,15,FALSE)</f>
        <v>-9.1800000000000007E-2</v>
      </c>
      <c r="E31" s="72">
        <f>VLOOKUP(A31,'2.Disparity Gap'!A37:W80,3,FALSE)</f>
        <v>0.24061199999999999</v>
      </c>
      <c r="F31" s="73">
        <f t="shared" si="0"/>
        <v>0</v>
      </c>
      <c r="G31" s="74">
        <f t="shared" si="1"/>
        <v>0</v>
      </c>
    </row>
    <row r="32" spans="1:7" ht="15.75">
      <c r="A32" s="17">
        <v>210040</v>
      </c>
      <c r="B32" s="17" t="s">
        <v>47</v>
      </c>
      <c r="C32" s="70">
        <f>VLOOKUP(A32,'[7]IP revenue'!$A$2:$E$51,5,FALSE)</f>
        <v>157220825.01024193</v>
      </c>
      <c r="D32" s="71">
        <f>VLOOKUP(A32,'4.CY2022 Improve All Payers'!A36:O85,15,FALSE)</f>
        <v>-1.24E-2</v>
      </c>
      <c r="E32" s="72">
        <f>VLOOKUP(A32,'2.Disparity Gap'!A38:W81,3,FALSE)</f>
        <v>-0.22598399999999999</v>
      </c>
      <c r="F32" s="73">
        <f t="shared" si="0"/>
        <v>0</v>
      </c>
      <c r="G32" s="74">
        <f t="shared" si="1"/>
        <v>0</v>
      </c>
    </row>
    <row r="33" spans="1:7" ht="30.75">
      <c r="A33" s="17">
        <v>210043</v>
      </c>
      <c r="B33" s="17" t="s">
        <v>116</v>
      </c>
      <c r="C33" s="70">
        <f>VLOOKUP(A33,'[7]IP revenue'!$A$2:$E$51,5,FALSE)</f>
        <v>326459953.60958123</v>
      </c>
      <c r="D33" s="71">
        <f>VLOOKUP(A33,'4.CY2022 Improve All Payers'!A37:O86,15,FALSE)</f>
        <v>-9.3799999999999994E-2</v>
      </c>
      <c r="E33" s="72">
        <f>VLOOKUP(A33,'2.Disparity Gap'!A39:W82,3,FALSE)</f>
        <v>-3.5446999999999999E-2</v>
      </c>
      <c r="F33" s="73">
        <f t="shared" si="0"/>
        <v>0</v>
      </c>
      <c r="G33" s="74">
        <f t="shared" si="1"/>
        <v>0</v>
      </c>
    </row>
    <row r="34" spans="1:7" ht="15.75">
      <c r="A34" s="17">
        <v>210044</v>
      </c>
      <c r="B34" s="17" t="s">
        <v>49</v>
      </c>
      <c r="C34" s="70">
        <f>VLOOKUP(A34,'[7]IP revenue'!$A$2:$E$51,5,FALSE)</f>
        <v>254895212.92070058</v>
      </c>
      <c r="D34" s="71">
        <f>VLOOKUP(A34,'4.CY2022 Improve All Payers'!A38:O87,15,FALSE)</f>
        <v>-5.0599999999999999E-2</v>
      </c>
      <c r="E34" s="72">
        <f>VLOOKUP(A34,'2.Disparity Gap'!A40:W83,3,FALSE)</f>
        <v>-0.24010400000000001</v>
      </c>
      <c r="F34" s="73">
        <f t="shared" si="0"/>
        <v>2.6589999999999999E-3</v>
      </c>
      <c r="G34" s="74">
        <f t="shared" si="1"/>
        <v>677766</v>
      </c>
    </row>
    <row r="35" spans="1:7" ht="15.75">
      <c r="A35" s="17">
        <v>210048</v>
      </c>
      <c r="B35" s="17" t="s">
        <v>50</v>
      </c>
      <c r="C35" s="70">
        <f>VLOOKUP(A35,'[7]IP revenue'!$A$2:$E$51,5,FALSE)</f>
        <v>214071731.70784119</v>
      </c>
      <c r="D35" s="71">
        <f>VLOOKUP(A35,'4.CY2022 Improve All Payers'!A39:O88,15,FALSE)</f>
        <v>8.5000000000000006E-2</v>
      </c>
      <c r="E35" s="72">
        <f>VLOOKUP(A35,'2.Disparity Gap'!A41:W84,3,FALSE)</f>
        <v>4.65987E-2</v>
      </c>
      <c r="F35" s="73">
        <f t="shared" si="0"/>
        <v>0</v>
      </c>
      <c r="G35" s="74">
        <f t="shared" si="1"/>
        <v>0</v>
      </c>
    </row>
    <row r="36" spans="1:7" ht="15.75">
      <c r="A36" s="17">
        <v>210049</v>
      </c>
      <c r="B36" s="17" t="s">
        <v>51</v>
      </c>
      <c r="C36" s="70">
        <f>VLOOKUP(A36,'[7]IP revenue'!$A$2:$E$51,5,FALSE)</f>
        <v>201124138.71816137</v>
      </c>
      <c r="D36" s="71">
        <f>VLOOKUP(A36,'4.CY2022 Improve All Payers'!A40:O89,15,FALSE)</f>
        <v>-2.3099999999999999E-2</v>
      </c>
      <c r="E36" s="72">
        <f>VLOOKUP(A36,'2.Disparity Gap'!A42:W85,3,FALSE)</f>
        <v>0.24549670000000001</v>
      </c>
      <c r="F36" s="73">
        <f t="shared" si="0"/>
        <v>0</v>
      </c>
      <c r="G36" s="74">
        <f t="shared" si="1"/>
        <v>0</v>
      </c>
    </row>
    <row r="37" spans="1:7" ht="15.75">
      <c r="A37" s="17">
        <v>210051</v>
      </c>
      <c r="B37" s="17" t="s">
        <v>52</v>
      </c>
      <c r="C37" s="70">
        <f>VLOOKUP(A37,'[7]IP revenue'!$A$2:$E$51,5,FALSE)</f>
        <v>176421776.5508185</v>
      </c>
      <c r="D37" s="71">
        <f>VLOOKUP(A37,'4.CY2022 Improve All Payers'!A41:O90,15,FALSE)</f>
        <v>-0.1</v>
      </c>
      <c r="E37" s="72">
        <f>VLOOKUP(A37,'2.Disparity Gap'!A43:W86,3,FALSE)</f>
        <v>-0.124434</v>
      </c>
      <c r="F37" s="73">
        <f t="shared" si="0"/>
        <v>0</v>
      </c>
      <c r="G37" s="74">
        <f t="shared" si="1"/>
        <v>0</v>
      </c>
    </row>
    <row r="38" spans="1:7" ht="15.75">
      <c r="A38" s="17">
        <v>210056</v>
      </c>
      <c r="B38" s="17" t="s">
        <v>53</v>
      </c>
      <c r="C38" s="70">
        <f>VLOOKUP(A38,'[7]IP revenue'!$A$2:$E$51,5,FALSE)</f>
        <v>191497543.9445892</v>
      </c>
      <c r="D38" s="71">
        <f>VLOOKUP(A38,'4.CY2022 Improve All Payers'!A42:O91,15,FALSE)</f>
        <v>-1.7899999999999999E-2</v>
      </c>
      <c r="E38" s="72">
        <f>VLOOKUP(A38,'2.Disparity Gap'!A44:W87,3,FALSE)</f>
        <v>1.63144E-2</v>
      </c>
      <c r="F38" s="73">
        <f t="shared" si="0"/>
        <v>0</v>
      </c>
      <c r="G38" s="74">
        <f t="shared" si="1"/>
        <v>0</v>
      </c>
    </row>
    <row r="39" spans="1:7" ht="15.75">
      <c r="A39" s="17">
        <v>210057</v>
      </c>
      <c r="B39" s="17" t="s">
        <v>54</v>
      </c>
      <c r="C39" s="70">
        <f>VLOOKUP(A39,'[7]IP revenue'!$A$2:$E$51,5,FALSE)</f>
        <v>321044392.86646461</v>
      </c>
      <c r="D39" s="71">
        <f>VLOOKUP(A39,'4.CY2022 Improve All Payers'!A43:O92,15,FALSE)</f>
        <v>-0.11700000000000001</v>
      </c>
      <c r="E39" s="72">
        <f>VLOOKUP(A39,'2.Disparity Gap'!A45:W88,3,FALSE)</f>
        <v>-0.615429</v>
      </c>
      <c r="F39" s="73">
        <f t="shared" si="0"/>
        <v>5.0000000000000001E-3</v>
      </c>
      <c r="G39" s="74">
        <f t="shared" si="1"/>
        <v>1605222</v>
      </c>
    </row>
    <row r="40" spans="1:7" ht="15.75">
      <c r="A40" s="17">
        <v>210058</v>
      </c>
      <c r="B40" s="17" t="s">
        <v>55</v>
      </c>
      <c r="C40" s="70">
        <f>VLOOKUP(A40,'[7]IP revenue'!$A$2:$E$51,5,FALSE)</f>
        <v>74199748.680663943</v>
      </c>
      <c r="D40" s="71">
        <f>VLOOKUP(A40,'4.CY2022 Improve All Payers'!A44:O93,15,FALSE)</f>
        <v>0.26440000000000002</v>
      </c>
      <c r="E40" s="72">
        <f>VLOOKUP(A40,'2.Disparity Gap'!A46:W89,3,FALSE)</f>
        <v>7.0120500000000002E-2</v>
      </c>
      <c r="F40" s="73">
        <f t="shared" si="0"/>
        <v>0</v>
      </c>
      <c r="G40" s="74">
        <f t="shared" si="1"/>
        <v>0</v>
      </c>
    </row>
    <row r="41" spans="1:7" ht="15.75">
      <c r="A41" s="17">
        <v>210060</v>
      </c>
      <c r="B41" s="17" t="s">
        <v>56</v>
      </c>
      <c r="C41" s="70">
        <f>VLOOKUP(A41,'[7]IP revenue'!$A$2:$E$51,5,FALSE)</f>
        <v>31642518.132036917</v>
      </c>
      <c r="D41" s="71">
        <f>VLOOKUP(A41,'4.CY2022 Improve All Payers'!A45:O94,15,FALSE)</f>
        <v>-1.0800000000000001E-2</v>
      </c>
      <c r="E41" s="72">
        <f>VLOOKUP(A41,'2.Disparity Gap'!A47:W90,3,FALSE)</f>
        <v>-0.21068300000000001</v>
      </c>
      <c r="F41" s="73">
        <f t="shared" si="0"/>
        <v>0</v>
      </c>
      <c r="G41" s="74">
        <f t="shared" si="1"/>
        <v>0</v>
      </c>
    </row>
    <row r="42" spans="1:7" ht="15.75">
      <c r="A42" s="17">
        <v>210061</v>
      </c>
      <c r="B42" s="17" t="s">
        <v>57</v>
      </c>
      <c r="C42" s="70">
        <f>VLOOKUP(A42,'[7]IP revenue'!$A$2:$E$51,5,FALSE)</f>
        <v>45367140.905673936</v>
      </c>
      <c r="D42" s="71">
        <f>VLOOKUP(A42,'4.CY2022 Improve All Payers'!A46:O95,15,FALSE)</f>
        <v>-3.0300000000000001E-2</v>
      </c>
      <c r="E42" s="72">
        <f>VLOOKUP(A42,'2.Disparity Gap'!A48:W91,3,FALSE)</f>
        <v>3.5096700000000002E-2</v>
      </c>
      <c r="F42" s="73">
        <f t="shared" si="0"/>
        <v>0</v>
      </c>
      <c r="G42" s="74">
        <f t="shared" si="1"/>
        <v>0</v>
      </c>
    </row>
    <row r="43" spans="1:7" ht="15.75">
      <c r="A43" s="17">
        <v>210062</v>
      </c>
      <c r="B43" s="17" t="s">
        <v>58</v>
      </c>
      <c r="C43" s="70">
        <f>VLOOKUP(A43,'[7]IP revenue'!$A$2:$E$51,5,FALSE)</f>
        <v>196475930.16038722</v>
      </c>
      <c r="D43" s="71">
        <f>VLOOKUP(A43,'4.CY2022 Improve All Payers'!A47:O96,15,FALSE)</f>
        <v>-6.8599999999999994E-2</v>
      </c>
      <c r="E43" s="72">
        <f>VLOOKUP(A43,'2.Disparity Gap'!A49:W92,3,FALSE)</f>
        <v>-1.2841E-2</v>
      </c>
      <c r="F43" s="73">
        <f t="shared" si="0"/>
        <v>0</v>
      </c>
      <c r="G43" s="74">
        <f t="shared" si="1"/>
        <v>0</v>
      </c>
    </row>
    <row r="44" spans="1:7" ht="15.75">
      <c r="A44" s="17">
        <v>210063</v>
      </c>
      <c r="B44" s="17" t="s">
        <v>59</v>
      </c>
      <c r="C44" s="70">
        <f>VLOOKUP(A44,'[7]IP revenue'!$A$2:$E$51,5,FALSE)</f>
        <v>280257927.04977566</v>
      </c>
      <c r="D44" s="71">
        <f>VLOOKUP(A44,'4.CY2022 Improve All Payers'!A48:O97,15,FALSE)</f>
        <v>6.7000000000000002E-3</v>
      </c>
      <c r="E44" s="72">
        <f>VLOOKUP(A44,'2.Disparity Gap'!A50:W93,3,FALSE)</f>
        <v>-0.26023600000000002</v>
      </c>
      <c r="F44" s="73">
        <f t="shared" si="0"/>
        <v>0</v>
      </c>
      <c r="G44" s="74">
        <f t="shared" si="1"/>
        <v>0</v>
      </c>
    </row>
    <row r="45" spans="1:7" ht="15.75">
      <c r="A45" s="17">
        <v>210064</v>
      </c>
      <c r="B45" s="17" t="s">
        <v>60</v>
      </c>
      <c r="C45" s="70">
        <f>VLOOKUP(A45,'[7]IP revenue'!$A$2:$E$51,5,FALSE)</f>
        <v>66200891.472133711</v>
      </c>
      <c r="D45" s="71">
        <f>VLOOKUP(A45,'4.CY2022 Improve All Payers'!A49:O98,15,FALSE)</f>
        <v>-0.22270000000000001</v>
      </c>
      <c r="E45" s="72">
        <f>VLOOKUP(A45,'2.Disparity Gap'!A51:W94,3,FALSE)</f>
        <v>-0.29744599999999999</v>
      </c>
      <c r="F45" s="73">
        <f t="shared" si="0"/>
        <v>3.4710000000000001E-3</v>
      </c>
      <c r="G45" s="74">
        <f t="shared" si="1"/>
        <v>229783</v>
      </c>
    </row>
    <row r="46" spans="1:7" ht="15.75">
      <c r="A46" s="17">
        <v>210065</v>
      </c>
      <c r="B46" s="17" t="s">
        <v>117</v>
      </c>
      <c r="C46" s="70">
        <f>VLOOKUP(A46,'[7]IP revenue'!$A$2:$E$51,5,FALSE)</f>
        <v>79412195.1085798</v>
      </c>
      <c r="D46" s="71">
        <f>VLOOKUP(A46,'4.CY2022 Improve All Payers'!A50:O99,15,FALSE)</f>
        <v>-8.4400000000000003E-2</v>
      </c>
      <c r="E46" s="72">
        <f>VLOOKUP(A46,'2.Disparity Gap'!A52:W95,3,FALSE)</f>
        <v>-0.29644399999999999</v>
      </c>
      <c r="F46" s="73">
        <f t="shared" si="0"/>
        <v>3.457E-3</v>
      </c>
      <c r="G46" s="74">
        <f t="shared" si="1"/>
        <v>274528</v>
      </c>
    </row>
    <row r="47" spans="1:7" ht="15.75">
      <c r="A47" s="76"/>
      <c r="B47" s="76"/>
      <c r="C47" s="77"/>
      <c r="D47" s="77"/>
    </row>
    <row r="48" spans="1:7" ht="15.75">
      <c r="A48" s="30"/>
      <c r="B48" s="78" t="s">
        <v>118</v>
      </c>
      <c r="C48" s="79">
        <f>SUM(C3:C46)</f>
        <v>11393598819.627283</v>
      </c>
      <c r="D48" s="80"/>
      <c r="F48" s="78" t="s">
        <v>119</v>
      </c>
      <c r="G48" s="79">
        <f>SUM(G3:G46)</f>
        <v>7782485</v>
      </c>
    </row>
    <row r="53" spans="2:5">
      <c r="B53" s="81"/>
      <c r="C53" s="81" t="s">
        <v>120</v>
      </c>
      <c r="D53" s="81"/>
      <c r="E53" s="81" t="s">
        <v>121</v>
      </c>
    </row>
    <row r="54" spans="2:5">
      <c r="B54" s="81" t="s">
        <v>122</v>
      </c>
      <c r="C54" s="82">
        <f>'[8]RY 24 PAI Scale'!$B$44</f>
        <v>-0.22889458729602963</v>
      </c>
      <c r="D54" s="82"/>
      <c r="E54" s="82">
        <f>'[3]5. PAI Scale'!C5</f>
        <v>2.5000000000000001E-3</v>
      </c>
    </row>
    <row r="55" spans="2:5">
      <c r="B55" s="81" t="s">
        <v>123</v>
      </c>
      <c r="C55" s="82">
        <f>'[8]RY 24 PAI Scale'!$B$19</f>
        <v>-0.40539644249863949</v>
      </c>
      <c r="D55" s="82"/>
      <c r="E55" s="82">
        <f>'[3]5. PAI Scale'!C6</f>
        <v>5.0000000000000001E-3</v>
      </c>
    </row>
    <row r="56" spans="2:5">
      <c r="B56" s="81" t="s">
        <v>124</v>
      </c>
      <c r="C56" s="82">
        <f>'5. PAI Scale'!B7</f>
        <v>-0.17650185520260986</v>
      </c>
      <c r="D56" s="82"/>
      <c r="E56" s="81"/>
    </row>
    <row r="57" spans="2:5">
      <c r="B57" s="81" t="s">
        <v>125</v>
      </c>
      <c r="C57" s="82">
        <f>'5. PAI Scale'!B8</f>
        <v>-7.0600742081043943E-3</v>
      </c>
      <c r="D57" s="82"/>
      <c r="E57" s="81"/>
    </row>
  </sheetData>
  <autoFilter ref="A2:G2" xr:uid="{10618AC8-4B02-4C23-B470-7CF5793C8AB4}">
    <sortState xmlns:xlrd2="http://schemas.microsoft.com/office/spreadsheetml/2017/richdata2" ref="A3:G46">
      <sortCondition ref="A2"/>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271F-CA62-4721-A92F-A852143A8A03}">
  <sheetPr>
    <pageSetUpPr fitToPage="1"/>
  </sheetPr>
  <dimension ref="A1:O68"/>
  <sheetViews>
    <sheetView workbookViewId="0">
      <pane xSplit="2" ySplit="6" topLeftCell="F26" activePane="bottomRight" state="frozen"/>
      <selection pane="topRight" activeCell="C1" sqref="C1"/>
      <selection pane="bottomLeft" activeCell="A7" sqref="A7"/>
      <selection pane="bottomRight" activeCell="A28" sqref="A28:O28"/>
    </sheetView>
  </sheetViews>
  <sheetFormatPr defaultColWidth="9.140625" defaultRowHeight="15"/>
  <cols>
    <col min="1" max="1" width="12.85546875" style="99" bestFit="1" customWidth="1"/>
    <col min="2" max="2" width="25.7109375" style="99" bestFit="1" customWidth="1"/>
    <col min="3" max="15" width="20.5703125" style="99" bestFit="1" customWidth="1"/>
    <col min="16" max="16" width="9.140625" style="99" customWidth="1"/>
    <col min="17" max="16384" width="9.140625" style="99"/>
  </cols>
  <sheetData>
    <row r="1" spans="1:15" ht="14.1" customHeight="1">
      <c r="A1" s="159" t="s">
        <v>145</v>
      </c>
      <c r="B1" s="160"/>
      <c r="C1" s="160"/>
      <c r="D1" s="160"/>
      <c r="E1" s="160"/>
      <c r="F1" s="160"/>
      <c r="G1" s="160"/>
      <c r="H1" s="160"/>
    </row>
    <row r="2" spans="1:15" ht="14.1" customHeight="1">
      <c r="A2" s="161" t="s">
        <v>146</v>
      </c>
      <c r="B2" s="160"/>
      <c r="C2" s="160"/>
      <c r="D2" s="160"/>
      <c r="E2" s="160"/>
      <c r="F2" s="160"/>
      <c r="G2" s="160"/>
      <c r="H2" s="160"/>
    </row>
    <row r="3" spans="1:15" ht="12.95" customHeight="1"/>
    <row r="4" spans="1:15" ht="12.95" customHeight="1">
      <c r="A4" s="162" t="s">
        <v>147</v>
      </c>
      <c r="B4" s="163"/>
      <c r="C4" s="164" t="s">
        <v>148</v>
      </c>
      <c r="D4" s="165"/>
      <c r="E4" s="165"/>
      <c r="F4" s="165"/>
      <c r="G4" s="165"/>
      <c r="H4" s="163"/>
      <c r="I4" s="166" t="s">
        <v>149</v>
      </c>
      <c r="J4" s="165"/>
      <c r="K4" s="165"/>
      <c r="L4" s="165"/>
      <c r="M4" s="165"/>
      <c r="N4" s="165"/>
      <c r="O4" s="163"/>
    </row>
    <row r="5" spans="1:15" ht="12.95" customHeight="1">
      <c r="A5" s="100" t="s">
        <v>150</v>
      </c>
      <c r="B5" s="100" t="s">
        <v>151</v>
      </c>
      <c r="C5" s="101" t="s">
        <v>152</v>
      </c>
      <c r="D5" s="101" t="s">
        <v>153</v>
      </c>
      <c r="E5" s="101" t="s">
        <v>154</v>
      </c>
      <c r="F5" s="101" t="s">
        <v>155</v>
      </c>
      <c r="G5" s="101" t="s">
        <v>156</v>
      </c>
      <c r="H5" s="101" t="s">
        <v>157</v>
      </c>
      <c r="I5" s="102" t="s">
        <v>158</v>
      </c>
      <c r="J5" s="102" t="s">
        <v>159</v>
      </c>
      <c r="K5" s="102" t="s">
        <v>160</v>
      </c>
      <c r="L5" s="102" t="s">
        <v>161</v>
      </c>
      <c r="M5" s="102" t="s">
        <v>162</v>
      </c>
      <c r="N5" s="102" t="s">
        <v>163</v>
      </c>
      <c r="O5" s="102" t="s">
        <v>164</v>
      </c>
    </row>
    <row r="6" spans="1:15" ht="39" customHeight="1">
      <c r="A6" s="100" t="s">
        <v>4</v>
      </c>
      <c r="B6" s="100" t="s">
        <v>5</v>
      </c>
      <c r="C6" s="101" t="s">
        <v>165</v>
      </c>
      <c r="D6" s="101" t="s">
        <v>166</v>
      </c>
      <c r="E6" s="101" t="s">
        <v>167</v>
      </c>
      <c r="F6" s="101" t="s">
        <v>168</v>
      </c>
      <c r="G6" s="101" t="s">
        <v>169</v>
      </c>
      <c r="H6" s="101" t="s">
        <v>170</v>
      </c>
      <c r="I6" s="102" t="s">
        <v>165</v>
      </c>
      <c r="J6" s="102" t="s">
        <v>166</v>
      </c>
      <c r="K6" s="102" t="s">
        <v>167</v>
      </c>
      <c r="L6" s="102" t="s">
        <v>168</v>
      </c>
      <c r="M6" s="102" t="s">
        <v>169</v>
      </c>
      <c r="N6" s="102" t="s">
        <v>170</v>
      </c>
      <c r="O6" s="102" t="s">
        <v>171</v>
      </c>
    </row>
    <row r="7" spans="1:15" ht="15" customHeight="1">
      <c r="A7" s="103">
        <v>210001</v>
      </c>
      <c r="B7" s="104" t="s">
        <v>81</v>
      </c>
      <c r="C7" s="105">
        <v>13247</v>
      </c>
      <c r="D7" s="105">
        <v>1507</v>
      </c>
      <c r="E7" s="106">
        <v>0.1138</v>
      </c>
      <c r="F7" s="105">
        <v>1454.5834</v>
      </c>
      <c r="G7" s="107">
        <v>1.0360355000000001</v>
      </c>
      <c r="H7" s="106">
        <v>0.1179</v>
      </c>
      <c r="I7" s="105">
        <v>12153</v>
      </c>
      <c r="J7" s="105">
        <v>1456</v>
      </c>
      <c r="K7" s="106">
        <v>0.1198</v>
      </c>
      <c r="L7" s="105">
        <v>1375.76</v>
      </c>
      <c r="M7" s="107">
        <v>1.0583241000000001</v>
      </c>
      <c r="N7" s="106">
        <v>0.12039999999999999</v>
      </c>
      <c r="O7" s="106">
        <v>2.12E-2</v>
      </c>
    </row>
    <row r="8" spans="1:15" ht="15" customHeight="1">
      <c r="A8" s="103">
        <v>210002</v>
      </c>
      <c r="B8" s="104" t="s">
        <v>82</v>
      </c>
      <c r="C8" s="105">
        <v>22053</v>
      </c>
      <c r="D8" s="105">
        <v>3108</v>
      </c>
      <c r="E8" s="106">
        <v>0.1409</v>
      </c>
      <c r="F8" s="105">
        <v>2581.7831000000001</v>
      </c>
      <c r="G8" s="107">
        <v>1.2038192000000001</v>
      </c>
      <c r="H8" s="106">
        <v>0.13700000000000001</v>
      </c>
      <c r="I8" s="105">
        <v>18853</v>
      </c>
      <c r="J8" s="105">
        <v>2149</v>
      </c>
      <c r="K8" s="106">
        <v>0.114</v>
      </c>
      <c r="L8" s="105">
        <v>2274.8957999999998</v>
      </c>
      <c r="M8" s="107">
        <v>0.94465860000000001</v>
      </c>
      <c r="N8" s="106">
        <v>0.1075</v>
      </c>
      <c r="O8" s="106">
        <v>-0.21529999999999999</v>
      </c>
    </row>
    <row r="9" spans="1:15" ht="30" customHeight="1">
      <c r="A9" s="103">
        <v>210003</v>
      </c>
      <c r="B9" s="104" t="s">
        <v>172</v>
      </c>
      <c r="C9" s="105">
        <v>10597</v>
      </c>
      <c r="D9" s="105">
        <v>1263</v>
      </c>
      <c r="E9" s="106">
        <v>0.1192</v>
      </c>
      <c r="F9" s="105">
        <v>1243.8676</v>
      </c>
      <c r="G9" s="107">
        <v>1.0153814000000001</v>
      </c>
      <c r="H9" s="106">
        <v>0.11559999999999999</v>
      </c>
      <c r="I9" s="105">
        <v>9008</v>
      </c>
      <c r="J9" s="105">
        <v>844</v>
      </c>
      <c r="K9" s="106">
        <v>9.3700000000000006E-2</v>
      </c>
      <c r="L9" s="105">
        <v>1025.9588000000001</v>
      </c>
      <c r="M9" s="107">
        <v>0.82264510000000002</v>
      </c>
      <c r="N9" s="106">
        <v>9.3600000000000003E-2</v>
      </c>
      <c r="O9" s="106">
        <v>-0.1903</v>
      </c>
    </row>
    <row r="10" spans="1:15" ht="15" customHeight="1">
      <c r="A10" s="103">
        <v>210004</v>
      </c>
      <c r="B10" s="104" t="s">
        <v>83</v>
      </c>
      <c r="C10" s="105">
        <v>23326</v>
      </c>
      <c r="D10" s="105">
        <v>1945</v>
      </c>
      <c r="E10" s="106">
        <v>8.3400000000000002E-2</v>
      </c>
      <c r="F10" s="105">
        <v>1817.2070000000001</v>
      </c>
      <c r="G10" s="107">
        <v>1.0703237999999999</v>
      </c>
      <c r="H10" s="106">
        <v>0.12180000000000001</v>
      </c>
      <c r="I10" s="105">
        <v>19578</v>
      </c>
      <c r="J10" s="105">
        <v>1473</v>
      </c>
      <c r="K10" s="106">
        <v>7.5200000000000003E-2</v>
      </c>
      <c r="L10" s="105">
        <v>1546.2127</v>
      </c>
      <c r="M10" s="107">
        <v>0.95265029999999995</v>
      </c>
      <c r="N10" s="106">
        <v>0.1084</v>
      </c>
      <c r="O10" s="106">
        <v>-0.11</v>
      </c>
    </row>
    <row r="11" spans="1:15" ht="15" customHeight="1">
      <c r="A11" s="103">
        <v>210005</v>
      </c>
      <c r="B11" s="104" t="s">
        <v>84</v>
      </c>
      <c r="C11" s="105">
        <v>14413</v>
      </c>
      <c r="D11" s="105">
        <v>1497</v>
      </c>
      <c r="E11" s="106">
        <v>0.10390000000000001</v>
      </c>
      <c r="F11" s="105">
        <v>1536.9349999999999</v>
      </c>
      <c r="G11" s="107">
        <v>0.97401649999999995</v>
      </c>
      <c r="H11" s="106">
        <v>0.1108</v>
      </c>
      <c r="I11" s="105">
        <v>12632</v>
      </c>
      <c r="J11" s="105">
        <v>1356</v>
      </c>
      <c r="K11" s="106">
        <v>0.10730000000000001</v>
      </c>
      <c r="L11" s="105">
        <v>1393.8179</v>
      </c>
      <c r="M11" s="107">
        <v>0.97286740000000005</v>
      </c>
      <c r="N11" s="106">
        <v>0.11070000000000001</v>
      </c>
      <c r="O11" s="106">
        <v>-8.9999999999999998E-4</v>
      </c>
    </row>
    <row r="12" spans="1:15" ht="15" customHeight="1">
      <c r="A12" s="103">
        <v>210006</v>
      </c>
      <c r="B12" s="104" t="s">
        <v>85</v>
      </c>
      <c r="C12" s="105">
        <v>3864</v>
      </c>
      <c r="D12" s="105">
        <v>532</v>
      </c>
      <c r="E12" s="106">
        <v>0.13769999999999999</v>
      </c>
      <c r="F12" s="105">
        <v>502.19202999999999</v>
      </c>
      <c r="G12" s="107">
        <v>1.0593557</v>
      </c>
      <c r="H12" s="106">
        <v>0.1206</v>
      </c>
      <c r="I12" s="105">
        <v>3283</v>
      </c>
      <c r="J12" s="105">
        <v>532</v>
      </c>
      <c r="K12" s="106">
        <v>0.16200000000000001</v>
      </c>
      <c r="L12" s="105">
        <v>460.14510999999999</v>
      </c>
      <c r="M12" s="107">
        <v>1.1561570000000001</v>
      </c>
      <c r="N12" s="106">
        <v>0.13159999999999999</v>
      </c>
      <c r="O12" s="106">
        <v>9.1200000000000003E-2</v>
      </c>
    </row>
    <row r="13" spans="1:15" ht="15" customHeight="1">
      <c r="A13" s="103">
        <v>210008</v>
      </c>
      <c r="B13" s="104" t="s">
        <v>86</v>
      </c>
      <c r="C13" s="105">
        <v>12687</v>
      </c>
      <c r="D13" s="105">
        <v>1158</v>
      </c>
      <c r="E13" s="106">
        <v>9.1300000000000006E-2</v>
      </c>
      <c r="F13" s="105">
        <v>1007.09</v>
      </c>
      <c r="G13" s="107">
        <v>1.1498474999999999</v>
      </c>
      <c r="H13" s="106">
        <v>0.13089999999999999</v>
      </c>
      <c r="I13" s="105">
        <v>7853</v>
      </c>
      <c r="J13" s="105">
        <v>666</v>
      </c>
      <c r="K13" s="106">
        <v>8.48E-2</v>
      </c>
      <c r="L13" s="105">
        <v>628.77250000000004</v>
      </c>
      <c r="M13" s="107">
        <v>1.0592066</v>
      </c>
      <c r="N13" s="106">
        <v>0.1205</v>
      </c>
      <c r="O13" s="106">
        <v>-7.9399999999999998E-2</v>
      </c>
    </row>
    <row r="14" spans="1:15" ht="15" customHeight="1">
      <c r="A14" s="103">
        <v>210009</v>
      </c>
      <c r="B14" s="104" t="s">
        <v>87</v>
      </c>
      <c r="C14" s="105">
        <v>36676</v>
      </c>
      <c r="D14" s="105">
        <v>5144</v>
      </c>
      <c r="E14" s="106">
        <v>0.14030000000000001</v>
      </c>
      <c r="F14" s="105">
        <v>4306.2161999999998</v>
      </c>
      <c r="G14" s="107">
        <v>1.1945522</v>
      </c>
      <c r="H14" s="106">
        <v>0.13589999999999999</v>
      </c>
      <c r="I14" s="105">
        <v>32443</v>
      </c>
      <c r="J14" s="105">
        <v>4183</v>
      </c>
      <c r="K14" s="106">
        <v>0.12889999999999999</v>
      </c>
      <c r="L14" s="105">
        <v>4105.3463000000002</v>
      </c>
      <c r="M14" s="107">
        <v>1.0189153</v>
      </c>
      <c r="N14" s="106">
        <v>0.11600000000000001</v>
      </c>
      <c r="O14" s="106">
        <v>-0.1464</v>
      </c>
    </row>
    <row r="15" spans="1:15" ht="30" customHeight="1">
      <c r="A15" s="103">
        <v>210011</v>
      </c>
      <c r="B15" s="104" t="s">
        <v>173</v>
      </c>
      <c r="C15" s="105">
        <v>13253</v>
      </c>
      <c r="D15" s="105">
        <v>1583</v>
      </c>
      <c r="E15" s="106">
        <v>0.11940000000000001</v>
      </c>
      <c r="F15" s="105">
        <v>1450.5486000000001</v>
      </c>
      <c r="G15" s="107">
        <v>1.0913112</v>
      </c>
      <c r="H15" s="106">
        <v>0.1242</v>
      </c>
      <c r="I15" s="105">
        <v>9033</v>
      </c>
      <c r="J15" s="105">
        <v>1124</v>
      </c>
      <c r="K15" s="106">
        <v>0.1244</v>
      </c>
      <c r="L15" s="105">
        <v>1053.7482</v>
      </c>
      <c r="M15" s="107">
        <v>1.0666685</v>
      </c>
      <c r="N15" s="106">
        <v>0.12139999999999999</v>
      </c>
      <c r="O15" s="106">
        <v>-2.2499999999999999E-2</v>
      </c>
    </row>
    <row r="16" spans="1:15" ht="15" customHeight="1">
      <c r="A16" s="103">
        <v>210012</v>
      </c>
      <c r="B16" s="104" t="s">
        <v>88</v>
      </c>
      <c r="C16" s="105">
        <v>13844</v>
      </c>
      <c r="D16" s="105">
        <v>1643</v>
      </c>
      <c r="E16" s="106">
        <v>0.1187</v>
      </c>
      <c r="F16" s="105">
        <v>1535.9554000000001</v>
      </c>
      <c r="G16" s="107">
        <v>1.0696924999999999</v>
      </c>
      <c r="H16" s="106">
        <v>0.1217</v>
      </c>
      <c r="I16" s="105">
        <v>12423</v>
      </c>
      <c r="J16" s="105">
        <v>1499</v>
      </c>
      <c r="K16" s="106">
        <v>0.1207</v>
      </c>
      <c r="L16" s="105">
        <v>1532.5916999999999</v>
      </c>
      <c r="M16" s="107">
        <v>0.9780818</v>
      </c>
      <c r="N16" s="106">
        <v>0.1113</v>
      </c>
      <c r="O16" s="106">
        <v>-8.5500000000000007E-2</v>
      </c>
    </row>
    <row r="17" spans="1:15" ht="15" customHeight="1">
      <c r="A17" s="103">
        <v>210015</v>
      </c>
      <c r="B17" s="104" t="s">
        <v>174</v>
      </c>
      <c r="C17" s="105">
        <v>19167</v>
      </c>
      <c r="D17" s="105">
        <v>2625</v>
      </c>
      <c r="E17" s="106">
        <v>0.13700000000000001</v>
      </c>
      <c r="F17" s="105">
        <v>2135.9551000000001</v>
      </c>
      <c r="G17" s="107">
        <v>1.2289584</v>
      </c>
      <c r="H17" s="106">
        <v>0.1399</v>
      </c>
      <c r="I17" s="105">
        <v>14490</v>
      </c>
      <c r="J17" s="105">
        <v>1731</v>
      </c>
      <c r="K17" s="106">
        <v>0.1195</v>
      </c>
      <c r="L17" s="105">
        <v>1771.1939</v>
      </c>
      <c r="M17" s="107">
        <v>0.97730689999999998</v>
      </c>
      <c r="N17" s="106">
        <v>0.11119999999999999</v>
      </c>
      <c r="O17" s="106">
        <v>-0.2051</v>
      </c>
    </row>
    <row r="18" spans="1:15" ht="15" customHeight="1">
      <c r="A18" s="103">
        <v>210016</v>
      </c>
      <c r="B18" s="104" t="s">
        <v>89</v>
      </c>
      <c r="C18" s="105">
        <v>8822</v>
      </c>
      <c r="D18" s="105">
        <v>861</v>
      </c>
      <c r="E18" s="106">
        <v>9.7600000000000006E-2</v>
      </c>
      <c r="F18" s="105">
        <v>883.65971999999999</v>
      </c>
      <c r="G18" s="107">
        <v>0.97435700000000003</v>
      </c>
      <c r="H18" s="106">
        <v>0.1109</v>
      </c>
      <c r="I18" s="105">
        <v>8342</v>
      </c>
      <c r="J18" s="105">
        <v>843</v>
      </c>
      <c r="K18" s="106">
        <v>0.1011</v>
      </c>
      <c r="L18" s="105">
        <v>888.37208999999996</v>
      </c>
      <c r="M18" s="107">
        <v>0.94892670000000001</v>
      </c>
      <c r="N18" s="106">
        <v>0.108</v>
      </c>
      <c r="O18" s="106">
        <v>-2.6100000000000002E-2</v>
      </c>
    </row>
    <row r="19" spans="1:15" ht="15" customHeight="1">
      <c r="A19" s="103">
        <v>210017</v>
      </c>
      <c r="B19" s="104" t="s">
        <v>90</v>
      </c>
      <c r="C19" s="105">
        <v>1869</v>
      </c>
      <c r="D19" s="105">
        <v>127</v>
      </c>
      <c r="E19" s="106">
        <v>6.8000000000000005E-2</v>
      </c>
      <c r="F19" s="105">
        <v>198.00970000000001</v>
      </c>
      <c r="G19" s="107">
        <v>0.64138269999999997</v>
      </c>
      <c r="H19" s="106">
        <v>7.2999999999999995E-2</v>
      </c>
      <c r="I19" s="105">
        <v>1338</v>
      </c>
      <c r="J19" s="105">
        <v>72</v>
      </c>
      <c r="K19" s="106">
        <v>5.3800000000000001E-2</v>
      </c>
      <c r="L19" s="105">
        <v>151.44839999999999</v>
      </c>
      <c r="M19" s="107">
        <v>0.47540949999999998</v>
      </c>
      <c r="N19" s="106">
        <v>5.4100000000000002E-2</v>
      </c>
      <c r="O19" s="106">
        <v>-0.25890000000000002</v>
      </c>
    </row>
    <row r="20" spans="1:15" ht="15" customHeight="1">
      <c r="A20" s="103">
        <v>210018</v>
      </c>
      <c r="B20" s="104" t="s">
        <v>91</v>
      </c>
      <c r="C20" s="105">
        <v>6028</v>
      </c>
      <c r="D20" s="105">
        <v>740</v>
      </c>
      <c r="E20" s="106">
        <v>0.12280000000000001</v>
      </c>
      <c r="F20" s="105">
        <v>679.54204000000004</v>
      </c>
      <c r="G20" s="107">
        <v>1.0889686999999999</v>
      </c>
      <c r="H20" s="106">
        <v>0.1239</v>
      </c>
      <c r="I20" s="105">
        <v>4634</v>
      </c>
      <c r="J20" s="105">
        <v>563</v>
      </c>
      <c r="K20" s="106">
        <v>0.1215</v>
      </c>
      <c r="L20" s="105">
        <v>585.74613999999997</v>
      </c>
      <c r="M20" s="107">
        <v>0.9611672</v>
      </c>
      <c r="N20" s="106">
        <v>0.1094</v>
      </c>
      <c r="O20" s="106">
        <v>-0.11700000000000001</v>
      </c>
    </row>
    <row r="21" spans="1:15" ht="15" customHeight="1">
      <c r="A21" s="103">
        <v>210019</v>
      </c>
      <c r="B21" s="104" t="s">
        <v>92</v>
      </c>
      <c r="C21" s="105">
        <v>14510</v>
      </c>
      <c r="D21" s="105">
        <v>1573</v>
      </c>
      <c r="E21" s="106">
        <v>0.1084</v>
      </c>
      <c r="F21" s="105">
        <v>1586.0083999999999</v>
      </c>
      <c r="G21" s="107">
        <v>0.99179799999999996</v>
      </c>
      <c r="H21" s="106">
        <v>0.1129</v>
      </c>
      <c r="I21" s="105">
        <v>13216</v>
      </c>
      <c r="J21" s="105">
        <v>1422</v>
      </c>
      <c r="K21" s="106">
        <v>0.1076</v>
      </c>
      <c r="L21" s="105">
        <v>1507.4702</v>
      </c>
      <c r="M21" s="107">
        <v>0.94330219999999998</v>
      </c>
      <c r="N21" s="106">
        <v>0.1074</v>
      </c>
      <c r="O21" s="106">
        <v>-4.87E-2</v>
      </c>
    </row>
    <row r="22" spans="1:15" ht="15" customHeight="1">
      <c r="A22" s="103">
        <v>210022</v>
      </c>
      <c r="B22" s="104" t="s">
        <v>93</v>
      </c>
      <c r="C22" s="105">
        <v>12511</v>
      </c>
      <c r="D22" s="105">
        <v>1457</v>
      </c>
      <c r="E22" s="106">
        <v>0.11650000000000001</v>
      </c>
      <c r="F22" s="105">
        <v>1400.0364999999999</v>
      </c>
      <c r="G22" s="107">
        <v>1.0406872</v>
      </c>
      <c r="H22" s="106">
        <v>0.11840000000000001</v>
      </c>
      <c r="I22" s="105">
        <v>9368</v>
      </c>
      <c r="J22" s="105">
        <v>1090</v>
      </c>
      <c r="K22" s="106">
        <v>0.1164</v>
      </c>
      <c r="L22" s="105">
        <v>1228.5935999999999</v>
      </c>
      <c r="M22" s="107">
        <v>0.88719329999999996</v>
      </c>
      <c r="N22" s="106">
        <v>0.10100000000000001</v>
      </c>
      <c r="O22" s="106">
        <v>-0.14699999999999999</v>
      </c>
    </row>
    <row r="23" spans="1:15" ht="15" customHeight="1">
      <c r="A23" s="103">
        <v>210023</v>
      </c>
      <c r="B23" s="104" t="s">
        <v>94</v>
      </c>
      <c r="C23" s="105">
        <v>22830</v>
      </c>
      <c r="D23" s="105">
        <v>2092</v>
      </c>
      <c r="E23" s="106">
        <v>9.1600000000000001E-2</v>
      </c>
      <c r="F23" s="105">
        <v>1987.3287</v>
      </c>
      <c r="G23" s="107">
        <v>1.0526693</v>
      </c>
      <c r="H23" s="106">
        <v>0.1198</v>
      </c>
      <c r="I23" s="105">
        <v>20853</v>
      </c>
      <c r="J23" s="105">
        <v>2033</v>
      </c>
      <c r="K23" s="106">
        <v>9.7500000000000003E-2</v>
      </c>
      <c r="L23" s="105">
        <v>1967.1808000000001</v>
      </c>
      <c r="M23" s="107">
        <v>1.0334585999999999</v>
      </c>
      <c r="N23" s="106">
        <v>0.1176</v>
      </c>
      <c r="O23" s="106">
        <v>-1.84E-2</v>
      </c>
    </row>
    <row r="24" spans="1:15" ht="15" customHeight="1">
      <c r="A24" s="103">
        <v>210024</v>
      </c>
      <c r="B24" s="104" t="s">
        <v>175</v>
      </c>
      <c r="C24" s="105">
        <v>9602</v>
      </c>
      <c r="D24" s="105">
        <v>1197</v>
      </c>
      <c r="E24" s="106">
        <v>0.12470000000000001</v>
      </c>
      <c r="F24" s="105">
        <v>1065.7047</v>
      </c>
      <c r="G24" s="107">
        <v>1.1232004</v>
      </c>
      <c r="H24" s="106">
        <v>0.1278</v>
      </c>
      <c r="I24" s="105">
        <v>7645</v>
      </c>
      <c r="J24" s="105">
        <v>1096</v>
      </c>
      <c r="K24" s="106">
        <v>0.1434</v>
      </c>
      <c r="L24" s="105">
        <v>1024.5019</v>
      </c>
      <c r="M24" s="107">
        <v>1.0697882000000001</v>
      </c>
      <c r="N24" s="106">
        <v>0.1217</v>
      </c>
      <c r="O24" s="106">
        <v>-4.7699999999999999E-2</v>
      </c>
    </row>
    <row r="25" spans="1:15" ht="15" customHeight="1">
      <c r="A25" s="103">
        <v>210027</v>
      </c>
      <c r="B25" s="104" t="s">
        <v>176</v>
      </c>
      <c r="C25" s="105">
        <v>9759</v>
      </c>
      <c r="D25" s="105">
        <v>1146</v>
      </c>
      <c r="E25" s="106">
        <v>0.1174</v>
      </c>
      <c r="F25" s="105">
        <v>1145.4095</v>
      </c>
      <c r="G25" s="107">
        <v>1.0005154999999999</v>
      </c>
      <c r="H25" s="106">
        <v>0.1139</v>
      </c>
      <c r="I25" s="105">
        <v>7550</v>
      </c>
      <c r="J25" s="105">
        <v>876</v>
      </c>
      <c r="K25" s="106">
        <v>0.11600000000000001</v>
      </c>
      <c r="L25" s="105">
        <v>959.29274999999996</v>
      </c>
      <c r="M25" s="107">
        <v>0.91317280000000001</v>
      </c>
      <c r="N25" s="106">
        <v>0.10390000000000001</v>
      </c>
      <c r="O25" s="106">
        <v>-8.7800000000000003E-2</v>
      </c>
    </row>
    <row r="26" spans="1:15" ht="15" customHeight="1">
      <c r="A26" s="103">
        <v>210028</v>
      </c>
      <c r="B26" s="104" t="s">
        <v>177</v>
      </c>
      <c r="C26" s="105">
        <v>5969</v>
      </c>
      <c r="D26" s="105">
        <v>610</v>
      </c>
      <c r="E26" s="106">
        <v>0.1022</v>
      </c>
      <c r="F26" s="105">
        <v>587.89354000000003</v>
      </c>
      <c r="G26" s="107">
        <v>1.0376027999999999</v>
      </c>
      <c r="H26" s="106">
        <v>0.1181</v>
      </c>
      <c r="I26" s="105">
        <v>6046</v>
      </c>
      <c r="J26" s="105">
        <v>689</v>
      </c>
      <c r="K26" s="106">
        <v>0.114</v>
      </c>
      <c r="L26" s="105">
        <v>671.39277000000004</v>
      </c>
      <c r="M26" s="107">
        <v>1.0262249000000001</v>
      </c>
      <c r="N26" s="106">
        <v>0.1168</v>
      </c>
      <c r="O26" s="106">
        <v>-1.0999999999999999E-2</v>
      </c>
    </row>
    <row r="27" spans="1:15" ht="15" customHeight="1">
      <c r="A27" s="103">
        <v>210029</v>
      </c>
      <c r="B27" s="104" t="s">
        <v>178</v>
      </c>
      <c r="C27" s="105">
        <v>16220</v>
      </c>
      <c r="D27" s="105">
        <v>2337</v>
      </c>
      <c r="E27" s="106">
        <v>0.14410000000000001</v>
      </c>
      <c r="F27" s="105">
        <v>1808.2040999999999</v>
      </c>
      <c r="G27" s="107">
        <v>1.2924426</v>
      </c>
      <c r="H27" s="106">
        <v>0.14710000000000001</v>
      </c>
      <c r="I27" s="105">
        <v>12646</v>
      </c>
      <c r="J27" s="105">
        <v>1620</v>
      </c>
      <c r="K27" s="106">
        <v>0.12809999999999999</v>
      </c>
      <c r="L27" s="105">
        <v>1527.1113</v>
      </c>
      <c r="M27" s="107">
        <v>1.0608264000000001</v>
      </c>
      <c r="N27" s="106">
        <v>0.1207</v>
      </c>
      <c r="O27" s="106">
        <v>-0.17949999999999999</v>
      </c>
    </row>
    <row r="28" spans="1:15" ht="15" customHeight="1">
      <c r="A28" s="103">
        <v>210030</v>
      </c>
      <c r="B28" s="104" t="s">
        <v>95</v>
      </c>
      <c r="C28" s="105">
        <v>837</v>
      </c>
      <c r="D28" s="105">
        <v>72</v>
      </c>
      <c r="E28" s="106">
        <v>8.5999999999999993E-2</v>
      </c>
      <c r="F28" s="105">
        <v>109.01751</v>
      </c>
      <c r="G28" s="107">
        <v>0.66044429999999998</v>
      </c>
      <c r="H28" s="106">
        <v>7.5200000000000003E-2</v>
      </c>
      <c r="I28" s="105">
        <v>234</v>
      </c>
      <c r="J28" s="105">
        <v>18</v>
      </c>
      <c r="K28" s="106">
        <v>7.6899999999999996E-2</v>
      </c>
      <c r="L28" s="105">
        <v>35.399855000000002</v>
      </c>
      <c r="M28" s="107">
        <v>0.5084767</v>
      </c>
      <c r="N28" s="106">
        <v>5.79E-2</v>
      </c>
      <c r="O28" s="106">
        <v>-0.2301</v>
      </c>
    </row>
    <row r="29" spans="1:15" ht="15" customHeight="1">
      <c r="A29" s="103">
        <v>210032</v>
      </c>
      <c r="B29" s="104" t="s">
        <v>96</v>
      </c>
      <c r="C29" s="105">
        <v>4597</v>
      </c>
      <c r="D29" s="105">
        <v>504</v>
      </c>
      <c r="E29" s="106">
        <v>0.1096</v>
      </c>
      <c r="F29" s="105">
        <v>518.31599000000006</v>
      </c>
      <c r="G29" s="107">
        <v>0.97237980000000002</v>
      </c>
      <c r="H29" s="106">
        <v>0.11070000000000001</v>
      </c>
      <c r="I29" s="105">
        <v>5489</v>
      </c>
      <c r="J29" s="105">
        <v>744</v>
      </c>
      <c r="K29" s="106">
        <v>0.13550000000000001</v>
      </c>
      <c r="L29" s="105">
        <v>696.63685999999996</v>
      </c>
      <c r="M29" s="107">
        <v>1.0679882999999999</v>
      </c>
      <c r="N29" s="106">
        <v>0.1215</v>
      </c>
      <c r="O29" s="106">
        <v>9.7600000000000006E-2</v>
      </c>
    </row>
    <row r="30" spans="1:15" ht="15" customHeight="1">
      <c r="A30" s="103">
        <v>210033</v>
      </c>
      <c r="B30" s="104" t="s">
        <v>97</v>
      </c>
      <c r="C30" s="105">
        <v>9379</v>
      </c>
      <c r="D30" s="105">
        <v>1131</v>
      </c>
      <c r="E30" s="106">
        <v>0.1206</v>
      </c>
      <c r="F30" s="105">
        <v>1036.9606000000001</v>
      </c>
      <c r="G30" s="107">
        <v>1.0906875</v>
      </c>
      <c r="H30" s="106">
        <v>0.1241</v>
      </c>
      <c r="I30" s="105">
        <v>8059</v>
      </c>
      <c r="J30" s="105">
        <v>996</v>
      </c>
      <c r="K30" s="106">
        <v>0.1236</v>
      </c>
      <c r="L30" s="105">
        <v>1003.5898</v>
      </c>
      <c r="M30" s="107">
        <v>0.99243729999999997</v>
      </c>
      <c r="N30" s="106">
        <v>0.1129</v>
      </c>
      <c r="O30" s="106">
        <v>-9.0200000000000002E-2</v>
      </c>
    </row>
    <row r="31" spans="1:15" ht="15" customHeight="1">
      <c r="A31" s="103">
        <v>210034</v>
      </c>
      <c r="B31" s="104" t="s">
        <v>98</v>
      </c>
      <c r="C31" s="105">
        <v>6552</v>
      </c>
      <c r="D31" s="105">
        <v>935</v>
      </c>
      <c r="E31" s="106">
        <v>0.14269999999999999</v>
      </c>
      <c r="F31" s="105">
        <v>714.57533999999998</v>
      </c>
      <c r="G31" s="107">
        <v>1.3084695</v>
      </c>
      <c r="H31" s="106">
        <v>0.1489</v>
      </c>
      <c r="I31" s="105">
        <v>5633</v>
      </c>
      <c r="J31" s="105">
        <v>773</v>
      </c>
      <c r="K31" s="106">
        <v>0.13719999999999999</v>
      </c>
      <c r="L31" s="105">
        <v>703.48494000000005</v>
      </c>
      <c r="M31" s="107">
        <v>1.0988153000000001</v>
      </c>
      <c r="N31" s="106">
        <v>0.125</v>
      </c>
      <c r="O31" s="106">
        <v>-0.1605</v>
      </c>
    </row>
    <row r="32" spans="1:15" ht="15" customHeight="1">
      <c r="A32" s="103">
        <v>210035</v>
      </c>
      <c r="B32" s="104" t="s">
        <v>99</v>
      </c>
      <c r="C32" s="105">
        <v>5736</v>
      </c>
      <c r="D32" s="105">
        <v>640</v>
      </c>
      <c r="E32" s="106">
        <v>0.1116</v>
      </c>
      <c r="F32" s="105">
        <v>676.47239999999999</v>
      </c>
      <c r="G32" s="107">
        <v>0.94608440000000005</v>
      </c>
      <c r="H32" s="106">
        <v>0.1077</v>
      </c>
      <c r="I32" s="105">
        <v>4710</v>
      </c>
      <c r="J32" s="105">
        <v>517</v>
      </c>
      <c r="K32" s="106">
        <v>0.10979999999999999</v>
      </c>
      <c r="L32" s="105">
        <v>598.78417000000002</v>
      </c>
      <c r="M32" s="107">
        <v>0.86341630000000003</v>
      </c>
      <c r="N32" s="106">
        <v>9.8299999999999998E-2</v>
      </c>
      <c r="O32" s="106">
        <v>-8.7300000000000003E-2</v>
      </c>
    </row>
    <row r="33" spans="1:15" ht="15" customHeight="1">
      <c r="A33" s="103">
        <v>210037</v>
      </c>
      <c r="B33" s="104" t="s">
        <v>100</v>
      </c>
      <c r="C33" s="105">
        <v>5602</v>
      </c>
      <c r="D33" s="105">
        <v>461</v>
      </c>
      <c r="E33" s="106">
        <v>8.2299999999999998E-2</v>
      </c>
      <c r="F33" s="105">
        <v>562.09140000000002</v>
      </c>
      <c r="G33" s="107">
        <v>0.82015130000000003</v>
      </c>
      <c r="H33" s="106">
        <v>9.3299999999999994E-2</v>
      </c>
      <c r="I33" s="105">
        <v>4541</v>
      </c>
      <c r="J33" s="105">
        <v>435</v>
      </c>
      <c r="K33" s="106">
        <v>9.5799999999999996E-2</v>
      </c>
      <c r="L33" s="105">
        <v>550.01430000000005</v>
      </c>
      <c r="M33" s="107">
        <v>0.79088849999999999</v>
      </c>
      <c r="N33" s="106">
        <v>0.09</v>
      </c>
      <c r="O33" s="106">
        <v>-3.5400000000000001E-2</v>
      </c>
    </row>
    <row r="34" spans="1:15" ht="15" customHeight="1">
      <c r="A34" s="103">
        <v>210038</v>
      </c>
      <c r="B34" s="104" t="s">
        <v>179</v>
      </c>
      <c r="C34" s="105">
        <v>3643</v>
      </c>
      <c r="D34" s="105">
        <v>693</v>
      </c>
      <c r="E34" s="106">
        <v>0.19020000000000001</v>
      </c>
      <c r="F34" s="105">
        <v>521.17666999999994</v>
      </c>
      <c r="G34" s="107">
        <v>1.3296835</v>
      </c>
      <c r="H34" s="106">
        <v>0.15129999999999999</v>
      </c>
      <c r="I34" s="105">
        <v>3332</v>
      </c>
      <c r="J34" s="105">
        <v>537</v>
      </c>
      <c r="K34" s="106">
        <v>0.16120000000000001</v>
      </c>
      <c r="L34" s="105">
        <v>518.75818000000004</v>
      </c>
      <c r="M34" s="107">
        <v>1.0351644</v>
      </c>
      <c r="N34" s="106">
        <v>0.1178</v>
      </c>
      <c r="O34" s="106">
        <v>-0.22140000000000001</v>
      </c>
    </row>
    <row r="35" spans="1:15" ht="15" customHeight="1">
      <c r="A35" s="103">
        <v>210039</v>
      </c>
      <c r="B35" s="104" t="s">
        <v>101</v>
      </c>
      <c r="C35" s="105">
        <v>5045</v>
      </c>
      <c r="D35" s="105">
        <v>535</v>
      </c>
      <c r="E35" s="106">
        <v>0.106</v>
      </c>
      <c r="F35" s="105">
        <v>564.29602</v>
      </c>
      <c r="G35" s="107">
        <v>0.94808389999999998</v>
      </c>
      <c r="H35" s="106">
        <v>0.1079</v>
      </c>
      <c r="I35" s="105">
        <v>4656</v>
      </c>
      <c r="J35" s="105">
        <v>477</v>
      </c>
      <c r="K35" s="106">
        <v>0.1024</v>
      </c>
      <c r="L35" s="105">
        <v>554.16336999999999</v>
      </c>
      <c r="M35" s="107">
        <v>0.86075699999999999</v>
      </c>
      <c r="N35" s="106">
        <v>9.8000000000000004E-2</v>
      </c>
      <c r="O35" s="106">
        <v>-9.1800000000000007E-2</v>
      </c>
    </row>
    <row r="36" spans="1:15" ht="15" customHeight="1">
      <c r="A36" s="103">
        <v>210040</v>
      </c>
      <c r="B36" s="104" t="s">
        <v>102</v>
      </c>
      <c r="C36" s="105">
        <v>9080</v>
      </c>
      <c r="D36" s="105">
        <v>1280</v>
      </c>
      <c r="E36" s="106">
        <v>0.14099999999999999</v>
      </c>
      <c r="F36" s="105">
        <v>1207.1102000000001</v>
      </c>
      <c r="G36" s="107">
        <v>1.0603837</v>
      </c>
      <c r="H36" s="106">
        <v>0.1207</v>
      </c>
      <c r="I36" s="105">
        <v>6584</v>
      </c>
      <c r="J36" s="105">
        <v>1034</v>
      </c>
      <c r="K36" s="106">
        <v>0.157</v>
      </c>
      <c r="L36" s="105">
        <v>986.97523999999999</v>
      </c>
      <c r="M36" s="107">
        <v>1.0476452999999999</v>
      </c>
      <c r="N36" s="106">
        <v>0.1192</v>
      </c>
      <c r="O36" s="106">
        <v>-1.24E-2</v>
      </c>
    </row>
    <row r="37" spans="1:15" ht="15" customHeight="1">
      <c r="A37" s="103">
        <v>210043</v>
      </c>
      <c r="B37" s="104" t="s">
        <v>103</v>
      </c>
      <c r="C37" s="105">
        <v>14412</v>
      </c>
      <c r="D37" s="105">
        <v>1891</v>
      </c>
      <c r="E37" s="106">
        <v>0.13120000000000001</v>
      </c>
      <c r="F37" s="105">
        <v>1754.8873000000001</v>
      </c>
      <c r="G37" s="107">
        <v>1.0775621</v>
      </c>
      <c r="H37" s="106">
        <v>0.1226</v>
      </c>
      <c r="I37" s="105">
        <v>13793</v>
      </c>
      <c r="J37" s="105">
        <v>1652</v>
      </c>
      <c r="K37" s="106">
        <v>0.1198</v>
      </c>
      <c r="L37" s="105">
        <v>1692.413</v>
      </c>
      <c r="M37" s="107">
        <v>0.97612109999999996</v>
      </c>
      <c r="N37" s="106">
        <v>0.1111</v>
      </c>
      <c r="O37" s="106">
        <v>-9.3799999999999994E-2</v>
      </c>
    </row>
    <row r="38" spans="1:15" ht="15" customHeight="1">
      <c r="A38" s="103">
        <v>210044</v>
      </c>
      <c r="B38" s="104" t="s">
        <v>104</v>
      </c>
      <c r="C38" s="105">
        <v>16277</v>
      </c>
      <c r="D38" s="105">
        <v>1362</v>
      </c>
      <c r="E38" s="106">
        <v>8.3699999999999997E-2</v>
      </c>
      <c r="F38" s="105">
        <v>1401.9722999999999</v>
      </c>
      <c r="G38" s="107">
        <v>0.97148849999999998</v>
      </c>
      <c r="H38" s="106">
        <v>0.1106</v>
      </c>
      <c r="I38" s="105">
        <v>12569</v>
      </c>
      <c r="J38" s="105">
        <v>1055</v>
      </c>
      <c r="K38" s="106">
        <v>8.3900000000000002E-2</v>
      </c>
      <c r="L38" s="105">
        <v>1143.2646</v>
      </c>
      <c r="M38" s="107">
        <v>0.92279599999999995</v>
      </c>
      <c r="N38" s="106">
        <v>0.105</v>
      </c>
      <c r="O38" s="106">
        <v>-5.0599999999999999E-2</v>
      </c>
    </row>
    <row r="39" spans="1:15" ht="15" customHeight="1">
      <c r="A39" s="103">
        <v>210048</v>
      </c>
      <c r="B39" s="104" t="s">
        <v>105</v>
      </c>
      <c r="C39" s="105">
        <v>13168</v>
      </c>
      <c r="D39" s="105">
        <v>1354</v>
      </c>
      <c r="E39" s="106">
        <v>0.1028</v>
      </c>
      <c r="F39" s="105">
        <v>1322.2683</v>
      </c>
      <c r="G39" s="107">
        <v>1.0239978999999999</v>
      </c>
      <c r="H39" s="106">
        <v>0.11650000000000001</v>
      </c>
      <c r="I39" s="105">
        <v>12598</v>
      </c>
      <c r="J39" s="105">
        <v>1551</v>
      </c>
      <c r="K39" s="106">
        <v>0.1231</v>
      </c>
      <c r="L39" s="105">
        <v>1396.5337</v>
      </c>
      <c r="M39" s="107">
        <v>1.1106069000000001</v>
      </c>
      <c r="N39" s="106">
        <v>0.12640000000000001</v>
      </c>
      <c r="O39" s="106">
        <v>8.5000000000000006E-2</v>
      </c>
    </row>
    <row r="40" spans="1:15" ht="15" customHeight="1">
      <c r="A40" s="103">
        <v>210049</v>
      </c>
      <c r="B40" s="104" t="s">
        <v>106</v>
      </c>
      <c r="C40" s="105">
        <v>9530</v>
      </c>
      <c r="D40" s="105">
        <v>1120</v>
      </c>
      <c r="E40" s="106">
        <v>0.11749999999999999</v>
      </c>
      <c r="F40" s="105">
        <v>1053.2547</v>
      </c>
      <c r="G40" s="107">
        <v>1.0633705</v>
      </c>
      <c r="H40" s="106">
        <v>0.121</v>
      </c>
      <c r="I40" s="105">
        <v>9824</v>
      </c>
      <c r="J40" s="105">
        <v>1237</v>
      </c>
      <c r="K40" s="106">
        <v>0.12590000000000001</v>
      </c>
      <c r="L40" s="105">
        <v>1191.3706</v>
      </c>
      <c r="M40" s="107">
        <v>1.0382998999999999</v>
      </c>
      <c r="N40" s="106">
        <v>0.1182</v>
      </c>
      <c r="O40" s="106">
        <v>-2.3099999999999999E-2</v>
      </c>
    </row>
    <row r="41" spans="1:15" ht="15" customHeight="1">
      <c r="A41" s="103">
        <v>210051</v>
      </c>
      <c r="B41" s="104" t="s">
        <v>107</v>
      </c>
      <c r="C41" s="105">
        <v>9002</v>
      </c>
      <c r="D41" s="105">
        <v>1076</v>
      </c>
      <c r="E41" s="106">
        <v>0.1195</v>
      </c>
      <c r="F41" s="105">
        <v>1177.8839</v>
      </c>
      <c r="G41" s="107">
        <v>0.91350260000000005</v>
      </c>
      <c r="H41" s="106">
        <v>0.104</v>
      </c>
      <c r="I41" s="105">
        <v>7896</v>
      </c>
      <c r="J41" s="105">
        <v>913</v>
      </c>
      <c r="K41" s="106">
        <v>0.11559999999999999</v>
      </c>
      <c r="L41" s="105">
        <v>1109.6947</v>
      </c>
      <c r="M41" s="107">
        <v>0.82274879999999995</v>
      </c>
      <c r="N41" s="106">
        <v>9.3600000000000003E-2</v>
      </c>
      <c r="O41" s="106">
        <v>-0.1</v>
      </c>
    </row>
    <row r="42" spans="1:15" ht="15" customHeight="1">
      <c r="A42" s="103">
        <v>210056</v>
      </c>
      <c r="B42" s="104" t="s">
        <v>108</v>
      </c>
      <c r="C42" s="105">
        <v>6361</v>
      </c>
      <c r="D42" s="105">
        <v>1149</v>
      </c>
      <c r="E42" s="106">
        <v>0.18060000000000001</v>
      </c>
      <c r="F42" s="105">
        <v>898.87597000000005</v>
      </c>
      <c r="G42" s="107">
        <v>1.2782631</v>
      </c>
      <c r="H42" s="106">
        <v>0.14549999999999999</v>
      </c>
      <c r="I42" s="105">
        <v>5824</v>
      </c>
      <c r="J42" s="105">
        <v>1133</v>
      </c>
      <c r="K42" s="106">
        <v>0.19450000000000001</v>
      </c>
      <c r="L42" s="105">
        <v>902.59811000000002</v>
      </c>
      <c r="M42" s="107">
        <v>1.2552652</v>
      </c>
      <c r="N42" s="106">
        <v>0.1429</v>
      </c>
      <c r="O42" s="106">
        <v>-1.7899999999999999E-2</v>
      </c>
    </row>
    <row r="43" spans="1:15" ht="15" customHeight="1">
      <c r="A43" s="103">
        <v>210057</v>
      </c>
      <c r="B43" s="104" t="s">
        <v>109</v>
      </c>
      <c r="C43" s="105">
        <v>17728</v>
      </c>
      <c r="D43" s="105">
        <v>1555</v>
      </c>
      <c r="E43" s="106">
        <v>8.77E-2</v>
      </c>
      <c r="F43" s="105">
        <v>1603.7215000000001</v>
      </c>
      <c r="G43" s="107">
        <v>0.96961969999999997</v>
      </c>
      <c r="H43" s="106">
        <v>0.1103</v>
      </c>
      <c r="I43" s="105">
        <v>14643</v>
      </c>
      <c r="J43" s="105">
        <v>1143</v>
      </c>
      <c r="K43" s="106">
        <v>7.8100000000000003E-2</v>
      </c>
      <c r="L43" s="105">
        <v>1334.8177000000001</v>
      </c>
      <c r="M43" s="107">
        <v>0.85629670000000002</v>
      </c>
      <c r="N43" s="106">
        <v>9.74E-2</v>
      </c>
      <c r="O43" s="106">
        <v>-0.11700000000000001</v>
      </c>
    </row>
    <row r="44" spans="1:15" ht="15" customHeight="1">
      <c r="A44" s="103">
        <v>210058</v>
      </c>
      <c r="B44" s="104" t="s">
        <v>110</v>
      </c>
      <c r="C44" s="105">
        <v>478</v>
      </c>
      <c r="D44" s="105">
        <v>25</v>
      </c>
      <c r="E44" s="106">
        <v>5.2299999999999999E-2</v>
      </c>
      <c r="F44" s="105">
        <v>34.049379000000002</v>
      </c>
      <c r="G44" s="107">
        <v>0.73422779999999999</v>
      </c>
      <c r="H44" s="106">
        <v>8.3599999999999994E-2</v>
      </c>
      <c r="I44" s="105">
        <v>240</v>
      </c>
      <c r="J44" s="105">
        <v>27</v>
      </c>
      <c r="K44" s="106">
        <v>0.1125</v>
      </c>
      <c r="L44" s="105">
        <v>29.080373999999999</v>
      </c>
      <c r="M44" s="107">
        <v>0.92846119999999999</v>
      </c>
      <c r="N44" s="106">
        <v>0.1057</v>
      </c>
      <c r="O44" s="106">
        <v>0.26440000000000002</v>
      </c>
    </row>
    <row r="45" spans="1:15" ht="15" customHeight="1">
      <c r="A45" s="103">
        <v>210060</v>
      </c>
      <c r="B45" s="104" t="s">
        <v>180</v>
      </c>
      <c r="C45" s="105">
        <v>1934</v>
      </c>
      <c r="D45" s="105">
        <v>203</v>
      </c>
      <c r="E45" s="106">
        <v>0.105</v>
      </c>
      <c r="F45" s="105">
        <v>249.48822000000001</v>
      </c>
      <c r="G45" s="107">
        <v>0.81366570000000005</v>
      </c>
      <c r="H45" s="106">
        <v>9.2600000000000002E-2</v>
      </c>
      <c r="I45" s="105">
        <v>1729</v>
      </c>
      <c r="J45" s="105">
        <v>182</v>
      </c>
      <c r="K45" s="106">
        <v>0.1053</v>
      </c>
      <c r="L45" s="105">
        <v>226.00085000000001</v>
      </c>
      <c r="M45" s="107">
        <v>0.80530670000000004</v>
      </c>
      <c r="N45" s="106">
        <v>9.1600000000000001E-2</v>
      </c>
      <c r="O45" s="106">
        <v>-1.0800000000000001E-2</v>
      </c>
    </row>
    <row r="46" spans="1:15" ht="15" customHeight="1">
      <c r="A46" s="103">
        <v>210061</v>
      </c>
      <c r="B46" s="104" t="s">
        <v>111</v>
      </c>
      <c r="C46" s="105">
        <v>2754</v>
      </c>
      <c r="D46" s="105">
        <v>295</v>
      </c>
      <c r="E46" s="106">
        <v>0.1071</v>
      </c>
      <c r="F46" s="105">
        <v>339.3109</v>
      </c>
      <c r="G46" s="107">
        <v>0.86940910000000005</v>
      </c>
      <c r="H46" s="106">
        <v>9.8900000000000002E-2</v>
      </c>
      <c r="I46" s="105">
        <v>2142</v>
      </c>
      <c r="J46" s="105">
        <v>239</v>
      </c>
      <c r="K46" s="106">
        <v>0.1116</v>
      </c>
      <c r="L46" s="105">
        <v>283.54685000000001</v>
      </c>
      <c r="M46" s="107">
        <v>0.84289420000000004</v>
      </c>
      <c r="N46" s="106">
        <v>9.5899999999999999E-2</v>
      </c>
      <c r="O46" s="106">
        <v>-3.0300000000000001E-2</v>
      </c>
    </row>
    <row r="47" spans="1:15" ht="15" customHeight="1">
      <c r="A47" s="103">
        <v>210062</v>
      </c>
      <c r="B47" s="104" t="s">
        <v>112</v>
      </c>
      <c r="C47" s="105">
        <v>8975</v>
      </c>
      <c r="D47" s="105">
        <v>962</v>
      </c>
      <c r="E47" s="106">
        <v>0.1072</v>
      </c>
      <c r="F47" s="105">
        <v>1058.0320999999999</v>
      </c>
      <c r="G47" s="107">
        <v>0.90923520000000002</v>
      </c>
      <c r="H47" s="106">
        <v>0.10349999999999999</v>
      </c>
      <c r="I47" s="105">
        <v>8874</v>
      </c>
      <c r="J47" s="105">
        <v>972</v>
      </c>
      <c r="K47" s="106">
        <v>0.1095</v>
      </c>
      <c r="L47" s="105">
        <v>1147.5418</v>
      </c>
      <c r="M47" s="107">
        <v>0.847028</v>
      </c>
      <c r="N47" s="106">
        <v>9.64E-2</v>
      </c>
      <c r="O47" s="106">
        <v>-6.8599999999999994E-2</v>
      </c>
    </row>
    <row r="48" spans="1:15" ht="15" customHeight="1">
      <c r="A48" s="103">
        <v>210063</v>
      </c>
      <c r="B48" s="104" t="s">
        <v>181</v>
      </c>
      <c r="C48" s="105">
        <v>13564</v>
      </c>
      <c r="D48" s="105">
        <v>1326</v>
      </c>
      <c r="E48" s="106">
        <v>9.7799999999999998E-2</v>
      </c>
      <c r="F48" s="105">
        <v>1261.6097</v>
      </c>
      <c r="G48" s="107">
        <v>1.0510382</v>
      </c>
      <c r="H48" s="106">
        <v>0.1196</v>
      </c>
      <c r="I48" s="105">
        <v>11139</v>
      </c>
      <c r="J48" s="105">
        <v>1294</v>
      </c>
      <c r="K48" s="106">
        <v>0.1162</v>
      </c>
      <c r="L48" s="105">
        <v>1223.1796999999999</v>
      </c>
      <c r="M48" s="107">
        <v>1.0578985999999999</v>
      </c>
      <c r="N48" s="106">
        <v>0.12039999999999999</v>
      </c>
      <c r="O48" s="106">
        <v>6.7000000000000002E-3</v>
      </c>
    </row>
    <row r="49" spans="1:15" ht="15" customHeight="1">
      <c r="A49" s="103">
        <v>210064</v>
      </c>
      <c r="B49" s="104" t="s">
        <v>113</v>
      </c>
      <c r="C49" s="105">
        <v>980</v>
      </c>
      <c r="D49" s="105">
        <v>137</v>
      </c>
      <c r="E49" s="106">
        <v>0.13980000000000001</v>
      </c>
      <c r="F49" s="105">
        <v>128.14607000000001</v>
      </c>
      <c r="G49" s="107">
        <v>1.0690923999999999</v>
      </c>
      <c r="H49" s="106">
        <v>0.1217</v>
      </c>
      <c r="I49" s="105">
        <v>595</v>
      </c>
      <c r="J49" s="105">
        <v>66</v>
      </c>
      <c r="K49" s="106">
        <v>0.1109</v>
      </c>
      <c r="L49" s="105">
        <v>79.396438000000003</v>
      </c>
      <c r="M49" s="107">
        <v>0.83127150000000005</v>
      </c>
      <c r="N49" s="106">
        <v>9.4600000000000004E-2</v>
      </c>
      <c r="O49" s="106">
        <v>-0.22270000000000001</v>
      </c>
    </row>
    <row r="50" spans="1:15" ht="15" customHeight="1">
      <c r="A50" s="103">
        <v>210065</v>
      </c>
      <c r="B50" s="104" t="s">
        <v>117</v>
      </c>
      <c r="C50" s="105">
        <v>4370</v>
      </c>
      <c r="D50" s="105">
        <v>491</v>
      </c>
      <c r="E50" s="106">
        <v>0.1124</v>
      </c>
      <c r="F50" s="105">
        <v>444.82799</v>
      </c>
      <c r="G50" s="107">
        <v>1.1037973999999999</v>
      </c>
      <c r="H50" s="106">
        <v>0.12559999999999999</v>
      </c>
      <c r="I50" s="105">
        <v>4997</v>
      </c>
      <c r="J50" s="105">
        <v>473</v>
      </c>
      <c r="K50" s="106">
        <v>9.4700000000000006E-2</v>
      </c>
      <c r="L50" s="105">
        <v>467.90663999999998</v>
      </c>
      <c r="M50" s="107">
        <v>1.0108854</v>
      </c>
      <c r="N50" s="106">
        <v>0.115</v>
      </c>
      <c r="O50" s="106">
        <v>-8.4400000000000003E-2</v>
      </c>
    </row>
    <row r="51" spans="1:15" ht="15" customHeight="1">
      <c r="A51" s="103">
        <v>210089</v>
      </c>
      <c r="B51" s="104" t="s">
        <v>182</v>
      </c>
      <c r="C51" s="105" t="s">
        <v>183</v>
      </c>
      <c r="D51" s="105" t="s">
        <v>183</v>
      </c>
      <c r="E51" s="106" t="s">
        <v>183</v>
      </c>
      <c r="F51" s="105" t="s">
        <v>183</v>
      </c>
      <c r="G51" s="107" t="s">
        <v>183</v>
      </c>
      <c r="H51" s="106" t="s">
        <v>183</v>
      </c>
      <c r="I51" s="105">
        <v>0</v>
      </c>
      <c r="J51" s="105">
        <v>0</v>
      </c>
      <c r="K51" s="106" t="s">
        <v>183</v>
      </c>
      <c r="L51" s="105">
        <v>0</v>
      </c>
      <c r="M51" s="107" t="s">
        <v>183</v>
      </c>
      <c r="N51" s="106" t="s">
        <v>183</v>
      </c>
      <c r="O51" s="106" t="s">
        <v>183</v>
      </c>
    </row>
    <row r="52" spans="1:15" ht="15" customHeight="1">
      <c r="A52" s="103">
        <v>213300</v>
      </c>
      <c r="B52" s="104" t="s">
        <v>184</v>
      </c>
      <c r="C52" s="105">
        <v>235</v>
      </c>
      <c r="D52" s="105">
        <v>14</v>
      </c>
      <c r="E52" s="106">
        <v>5.96E-2</v>
      </c>
      <c r="F52" s="105">
        <v>27.054302</v>
      </c>
      <c r="G52" s="107">
        <v>0.51747779999999999</v>
      </c>
      <c r="H52" s="106">
        <v>5.8900000000000001E-2</v>
      </c>
      <c r="I52" s="105">
        <v>218</v>
      </c>
      <c r="J52" s="105">
        <v>21</v>
      </c>
      <c r="K52" s="106">
        <v>9.6299999999999997E-2</v>
      </c>
      <c r="L52" s="105">
        <v>28.563746999999999</v>
      </c>
      <c r="M52" s="107">
        <v>0.73519769999999995</v>
      </c>
      <c r="N52" s="106">
        <v>8.3699999999999997E-2</v>
      </c>
      <c r="O52" s="106">
        <v>0.42109999999999997</v>
      </c>
    </row>
    <row r="53" spans="1:15" ht="15" customHeight="1">
      <c r="A53" s="103">
        <v>214000</v>
      </c>
      <c r="B53" s="104" t="s">
        <v>185</v>
      </c>
      <c r="C53" s="105">
        <v>8005</v>
      </c>
      <c r="D53" s="105">
        <v>1035</v>
      </c>
      <c r="E53" s="106">
        <v>0.1293</v>
      </c>
      <c r="F53" s="105">
        <v>871.55424000000005</v>
      </c>
      <c r="G53" s="107">
        <v>1.1875336999999999</v>
      </c>
      <c r="H53" s="106">
        <v>0.1351</v>
      </c>
      <c r="I53" s="105">
        <v>8021</v>
      </c>
      <c r="J53" s="105">
        <v>1015</v>
      </c>
      <c r="K53" s="106">
        <v>0.1265</v>
      </c>
      <c r="L53" s="105">
        <v>910.09496000000001</v>
      </c>
      <c r="M53" s="107">
        <v>1.1152682</v>
      </c>
      <c r="N53" s="106">
        <v>0.12690000000000001</v>
      </c>
      <c r="O53" s="106">
        <v>-6.0699999999999997E-2</v>
      </c>
    </row>
    <row r="54" spans="1:15" ht="15" customHeight="1">
      <c r="A54" s="103">
        <v>214003</v>
      </c>
      <c r="B54" s="104" t="s">
        <v>186</v>
      </c>
      <c r="C54" s="105">
        <v>1686</v>
      </c>
      <c r="D54" s="105">
        <v>163</v>
      </c>
      <c r="E54" s="106">
        <v>9.6699999999999994E-2</v>
      </c>
      <c r="F54" s="105">
        <v>155.15773999999999</v>
      </c>
      <c r="G54" s="107">
        <v>1.0505438</v>
      </c>
      <c r="H54" s="106">
        <v>0.1196</v>
      </c>
      <c r="I54" s="105">
        <v>1517</v>
      </c>
      <c r="J54" s="105">
        <v>165</v>
      </c>
      <c r="K54" s="106">
        <v>0.10879999999999999</v>
      </c>
      <c r="L54" s="105">
        <v>155.70098999999999</v>
      </c>
      <c r="M54" s="107">
        <v>1.0597235</v>
      </c>
      <c r="N54" s="106">
        <v>0.1206</v>
      </c>
      <c r="O54" s="106">
        <v>8.3999999999999995E-3</v>
      </c>
    </row>
    <row r="55" spans="1:15" ht="30" customHeight="1">
      <c r="A55" s="103">
        <v>214020</v>
      </c>
      <c r="B55" s="104" t="s">
        <v>187</v>
      </c>
      <c r="C55" s="105" t="s">
        <v>183</v>
      </c>
      <c r="D55" s="105" t="s">
        <v>183</v>
      </c>
      <c r="E55" s="106" t="s">
        <v>183</v>
      </c>
      <c r="F55" s="105" t="s">
        <v>183</v>
      </c>
      <c r="G55" s="107" t="s">
        <v>183</v>
      </c>
      <c r="H55" s="106" t="s">
        <v>183</v>
      </c>
      <c r="I55" s="105">
        <v>616</v>
      </c>
      <c r="J55" s="105">
        <v>75</v>
      </c>
      <c r="K55" s="106">
        <v>0.12180000000000001</v>
      </c>
      <c r="L55" s="105">
        <v>75.944125</v>
      </c>
      <c r="M55" s="107">
        <v>0.98756820000000001</v>
      </c>
      <c r="N55" s="106">
        <v>0.1124</v>
      </c>
      <c r="O55" s="106" t="s">
        <v>183</v>
      </c>
    </row>
    <row r="56" spans="1:15" ht="15" customHeight="1">
      <c r="A56" s="108" t="s">
        <v>183</v>
      </c>
      <c r="B56" s="109" t="s">
        <v>62</v>
      </c>
      <c r="C56" s="110">
        <v>471177</v>
      </c>
      <c r="D56" s="110">
        <v>54554</v>
      </c>
      <c r="E56" s="111">
        <v>0.1158</v>
      </c>
      <c r="F56" s="110">
        <v>50606.241000000002</v>
      </c>
      <c r="G56" s="112">
        <v>1.0780092999999999</v>
      </c>
      <c r="H56" s="111">
        <v>0.1227</v>
      </c>
      <c r="I56" s="110">
        <v>403860</v>
      </c>
      <c r="J56" s="110">
        <v>46061</v>
      </c>
      <c r="K56" s="111">
        <v>0.11409999999999999</v>
      </c>
      <c r="L56" s="110">
        <v>46725.008000000002</v>
      </c>
      <c r="M56" s="112">
        <v>0.98578900000000003</v>
      </c>
      <c r="N56" s="111">
        <v>0.11219999999999999</v>
      </c>
      <c r="O56" s="111">
        <v>-8.5599999999999996E-2</v>
      </c>
    </row>
    <row r="57" spans="1:15" ht="12.95" customHeight="1">
      <c r="A57" s="113"/>
      <c r="B57" s="113"/>
      <c r="C57" s="113"/>
      <c r="D57" s="113"/>
      <c r="E57" s="113"/>
      <c r="F57" s="113"/>
      <c r="G57" s="113"/>
      <c r="H57" s="113"/>
      <c r="I57" s="113"/>
      <c r="J57" s="113"/>
      <c r="K57" s="113"/>
      <c r="L57" s="113"/>
      <c r="M57" s="113"/>
      <c r="N57" s="113"/>
      <c r="O57" s="113"/>
    </row>
    <row r="58" spans="1:15" s="114" customFormat="1" ht="12" customHeight="1">
      <c r="A58" s="114" t="s">
        <v>188</v>
      </c>
      <c r="B58" s="113"/>
      <c r="C58" s="113"/>
      <c r="D58" s="113"/>
      <c r="E58" s="113"/>
      <c r="F58" s="113"/>
      <c r="G58" s="113"/>
      <c r="H58" s="113"/>
      <c r="I58" s="113"/>
      <c r="J58" s="113"/>
      <c r="K58" s="113"/>
      <c r="L58" s="113"/>
      <c r="M58" s="113"/>
      <c r="N58" s="113"/>
      <c r="O58" s="113"/>
    </row>
    <row r="59" spans="1:15" s="114" customFormat="1" ht="12" customHeight="1">
      <c r="A59" s="114" t="s">
        <v>189</v>
      </c>
      <c r="B59" s="113"/>
      <c r="C59" s="113"/>
      <c r="D59" s="113"/>
      <c r="E59" s="113"/>
      <c r="F59" s="113"/>
      <c r="G59" s="113"/>
      <c r="H59" s="113"/>
      <c r="I59" s="113"/>
      <c r="J59" s="113"/>
      <c r="K59" s="113"/>
      <c r="L59" s="113"/>
      <c r="M59" s="113"/>
      <c r="N59" s="113"/>
      <c r="O59" s="113"/>
    </row>
    <row r="60" spans="1:15" s="114" customFormat="1" ht="12" customHeight="1">
      <c r="A60" s="114" t="s">
        <v>190</v>
      </c>
      <c r="B60" s="113"/>
      <c r="C60" s="113"/>
      <c r="D60" s="113"/>
      <c r="E60" s="113"/>
      <c r="F60" s="113"/>
      <c r="G60" s="113"/>
      <c r="H60" s="113"/>
      <c r="I60" s="113"/>
      <c r="J60" s="113"/>
      <c r="K60" s="113"/>
      <c r="L60" s="113"/>
      <c r="M60" s="113"/>
      <c r="N60" s="113"/>
      <c r="O60" s="113"/>
    </row>
    <row r="61" spans="1:15" s="114" customFormat="1" ht="12" customHeight="1">
      <c r="A61" s="114" t="s">
        <v>191</v>
      </c>
      <c r="B61" s="113"/>
      <c r="C61" s="113"/>
      <c r="D61" s="113"/>
      <c r="E61" s="113"/>
      <c r="F61" s="113"/>
      <c r="G61" s="113"/>
      <c r="H61" s="113"/>
      <c r="I61" s="113"/>
      <c r="J61" s="113"/>
      <c r="K61" s="113"/>
      <c r="L61" s="113"/>
      <c r="M61" s="113"/>
      <c r="N61" s="113"/>
      <c r="O61" s="113"/>
    </row>
    <row r="62" spans="1:15" s="114" customFormat="1" ht="12" customHeight="1">
      <c r="A62" s="114" t="s">
        <v>192</v>
      </c>
      <c r="B62" s="113"/>
      <c r="C62" s="113"/>
      <c r="D62" s="113"/>
      <c r="E62" s="113"/>
      <c r="F62" s="113"/>
      <c r="G62" s="113"/>
      <c r="H62" s="113"/>
      <c r="I62" s="113"/>
      <c r="J62" s="113"/>
      <c r="K62" s="113"/>
      <c r="L62" s="113"/>
      <c r="M62" s="113"/>
      <c r="N62" s="113"/>
      <c r="O62" s="113"/>
    </row>
    <row r="63" spans="1:15" s="114" customFormat="1" ht="12" customHeight="1">
      <c r="A63" s="114" t="s">
        <v>193</v>
      </c>
      <c r="B63" s="113"/>
      <c r="C63" s="113"/>
      <c r="D63" s="113"/>
      <c r="E63" s="113"/>
      <c r="F63" s="113"/>
      <c r="G63" s="113"/>
      <c r="H63" s="113"/>
      <c r="I63" s="113"/>
      <c r="J63" s="113"/>
      <c r="K63" s="113"/>
      <c r="L63" s="113"/>
      <c r="M63" s="113"/>
      <c r="N63" s="113"/>
      <c r="O63" s="113"/>
    </row>
    <row r="64" spans="1:15" s="114" customFormat="1" ht="12" customHeight="1">
      <c r="A64" s="114" t="s">
        <v>194</v>
      </c>
      <c r="B64" s="113"/>
      <c r="C64" s="113"/>
      <c r="D64" s="113"/>
      <c r="E64" s="113"/>
      <c r="F64" s="113"/>
      <c r="G64" s="113"/>
      <c r="H64" s="113"/>
      <c r="I64" s="113"/>
      <c r="J64" s="113"/>
      <c r="K64" s="113"/>
      <c r="L64" s="113"/>
      <c r="M64" s="113"/>
      <c r="N64" s="113"/>
      <c r="O64" s="113"/>
    </row>
    <row r="65" spans="1:15" s="114" customFormat="1" ht="12" customHeight="1">
      <c r="A65" s="114" t="s">
        <v>195</v>
      </c>
      <c r="B65" s="113"/>
      <c r="C65" s="113"/>
      <c r="D65" s="113"/>
      <c r="E65" s="113"/>
      <c r="F65" s="113"/>
      <c r="G65" s="113"/>
      <c r="H65" s="113"/>
      <c r="I65" s="113"/>
      <c r="J65" s="113"/>
      <c r="K65" s="113"/>
      <c r="L65" s="113"/>
      <c r="M65" s="113"/>
      <c r="N65" s="113"/>
      <c r="O65" s="113"/>
    </row>
    <row r="66" spans="1:15" s="114" customFormat="1" ht="12" customHeight="1">
      <c r="A66" s="114" t="s">
        <v>196</v>
      </c>
      <c r="B66" s="113"/>
      <c r="C66" s="113"/>
      <c r="D66" s="113"/>
      <c r="E66" s="113"/>
      <c r="F66" s="113"/>
      <c r="G66" s="113"/>
      <c r="H66" s="113"/>
      <c r="I66" s="113"/>
      <c r="J66" s="113"/>
      <c r="K66" s="113"/>
      <c r="L66" s="113"/>
      <c r="M66" s="113"/>
      <c r="N66" s="113"/>
      <c r="O66" s="113"/>
    </row>
    <row r="67" spans="1:15" s="114" customFormat="1" ht="12" customHeight="1">
      <c r="A67" s="114" t="s">
        <v>197</v>
      </c>
      <c r="B67" s="113"/>
      <c r="C67" s="113"/>
      <c r="D67" s="113"/>
      <c r="E67" s="113"/>
      <c r="F67" s="113"/>
      <c r="G67" s="113"/>
      <c r="H67" s="113"/>
      <c r="I67" s="113"/>
      <c r="J67" s="113"/>
      <c r="K67" s="113"/>
      <c r="L67" s="113"/>
      <c r="M67" s="113"/>
      <c r="N67" s="113"/>
      <c r="O67" s="113"/>
    </row>
    <row r="68" spans="1:15" ht="12.95" customHeight="1"/>
  </sheetData>
  <autoFilter ref="A6:O56" xr:uid="{00000000-0009-0000-0000-000003000000}"/>
  <mergeCells count="5">
    <mergeCell ref="A1:H1"/>
    <mergeCell ref="A2:H2"/>
    <mergeCell ref="A4:B4"/>
    <mergeCell ref="C4:H4"/>
    <mergeCell ref="I4:O4"/>
  </mergeCells>
  <pageMargins left="0" right="0" top="0" bottom="0" header="0.5" footer="0.5"/>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4B93-8399-450D-ACB0-A6948C2B0F3B}">
  <dimension ref="A1:G47"/>
  <sheetViews>
    <sheetView topLeftCell="A17" workbookViewId="0">
      <selection activeCell="B25" sqref="B25:E25"/>
    </sheetView>
  </sheetViews>
  <sheetFormatPr defaultColWidth="9.140625" defaultRowHeight="15" customHeight="1"/>
  <cols>
    <col min="1" max="1" width="9.140625" style="116" customWidth="1"/>
    <col min="2" max="2" width="48.42578125" style="116" bestFit="1" customWidth="1"/>
    <col min="3" max="3" width="9.140625" style="116" customWidth="1"/>
    <col min="4" max="4" width="22.140625" style="116" customWidth="1"/>
    <col min="5" max="5" width="16.42578125" style="116" customWidth="1"/>
    <col min="6" max="6" width="9.140625" style="116" customWidth="1"/>
    <col min="7" max="7" width="54.42578125" style="116" customWidth="1"/>
    <col min="8" max="9" width="9.140625" style="116" customWidth="1"/>
    <col min="10" max="16384" width="9.140625" style="116"/>
  </cols>
  <sheetData>
    <row r="1" spans="1:7" ht="21" customHeight="1">
      <c r="A1" s="115" t="s">
        <v>198</v>
      </c>
    </row>
    <row r="2" spans="1:7" ht="15.75" customHeight="1">
      <c r="A2" s="117" t="s">
        <v>199</v>
      </c>
    </row>
    <row r="3" spans="1:7" ht="105" customHeight="1">
      <c r="A3" s="118" t="s">
        <v>79</v>
      </c>
      <c r="B3" s="118" t="s">
        <v>200</v>
      </c>
      <c r="C3" s="118" t="s">
        <v>201</v>
      </c>
      <c r="D3" s="119" t="s">
        <v>170</v>
      </c>
      <c r="E3" s="118" t="s">
        <v>202</v>
      </c>
      <c r="G3" s="120" t="s">
        <v>203</v>
      </c>
    </row>
    <row r="4" spans="1:7" ht="15" customHeight="1">
      <c r="A4" s="121">
        <v>210001</v>
      </c>
      <c r="B4" s="121" t="str">
        <f>VLOOKUP(A4,'[9]4.CY2022 Improve All Payers'!$A$7:$B$56,2,0)</f>
        <v>Meritus</v>
      </c>
      <c r="C4" s="122">
        <v>1.0436730123180289</v>
      </c>
      <c r="D4" s="123">
        <f>VLOOKUP(A4,'[9]4.CY2022 Improve All Payers'!A7:O56,14,FALSE)</f>
        <v>0.12039999999999999</v>
      </c>
      <c r="E4" s="124">
        <f t="shared" ref="E4:E47" si="0">D4*C4</f>
        <v>0.12565823068309068</v>
      </c>
      <c r="G4" s="167" t="s">
        <v>204</v>
      </c>
    </row>
    <row r="5" spans="1:7" ht="15" customHeight="1">
      <c r="A5" s="121">
        <v>210002</v>
      </c>
      <c r="B5" s="121" t="str">
        <f>VLOOKUP(A5,'[9]4.CY2022 Improve All Payers'!$A$7:$B$56,2,0)</f>
        <v>UMMC</v>
      </c>
      <c r="C5" s="122">
        <v>1.043312101910828</v>
      </c>
      <c r="D5" s="123">
        <f>VLOOKUP(A5,'[9]4.CY2022 Improve All Payers'!A8:O57,14,FALSE)</f>
        <v>0.1075</v>
      </c>
      <c r="E5" s="124">
        <f t="shared" si="0"/>
        <v>0.11215605095541401</v>
      </c>
      <c r="G5" s="168"/>
    </row>
    <row r="6" spans="1:7" ht="15" customHeight="1">
      <c r="A6" s="121">
        <v>210003</v>
      </c>
      <c r="B6" s="121" t="str">
        <f>VLOOKUP(A6,'[9]4.CY2022 Improve All Payers'!$A$7:$B$56,2,0)</f>
        <v>UM-Capital Region Medical Center</v>
      </c>
      <c r="C6" s="122">
        <v>1.240601503759398</v>
      </c>
      <c r="D6" s="123">
        <f>VLOOKUP(A6,'[9]4.CY2022 Improve All Payers'!A9:O58,14,FALSE)</f>
        <v>9.3600000000000003E-2</v>
      </c>
      <c r="E6" s="124">
        <f t="shared" si="0"/>
        <v>0.11612030075187967</v>
      </c>
      <c r="G6" s="168"/>
    </row>
    <row r="7" spans="1:7" ht="15" customHeight="1">
      <c r="A7" s="121">
        <v>210004</v>
      </c>
      <c r="B7" s="121" t="str">
        <f>VLOOKUP(A7,'[9]4.CY2022 Improve All Payers'!$A$7:$B$56,2,0)</f>
        <v>Holy Cross</v>
      </c>
      <c r="C7" s="122">
        <v>1.1097560975609759</v>
      </c>
      <c r="D7" s="123">
        <f>VLOOKUP(A7,'[9]4.CY2022 Improve All Payers'!A10:O59,14,FALSE)</f>
        <v>0.1084</v>
      </c>
      <c r="E7" s="124">
        <f t="shared" si="0"/>
        <v>0.12029756097560979</v>
      </c>
      <c r="G7" s="168"/>
    </row>
    <row r="8" spans="1:7" ht="15" customHeight="1">
      <c r="A8" s="121">
        <v>210005</v>
      </c>
      <c r="B8" s="121" t="str">
        <f>VLOOKUP(A8,'[9]4.CY2022 Improve All Payers'!$A$7:$B$56,2,0)</f>
        <v>Frederick</v>
      </c>
      <c r="C8" s="122">
        <v>1.0478260869565219</v>
      </c>
      <c r="D8" s="123">
        <f>VLOOKUP(A8,'[9]4.CY2022 Improve All Payers'!A11:O60,14,FALSE)</f>
        <v>0.11070000000000001</v>
      </c>
      <c r="E8" s="124">
        <f t="shared" si="0"/>
        <v>0.11599434782608699</v>
      </c>
      <c r="G8" s="168"/>
    </row>
    <row r="9" spans="1:7" ht="15" customHeight="1">
      <c r="A9" s="121">
        <v>210006</v>
      </c>
      <c r="B9" s="121" t="str">
        <f>VLOOKUP(A9,'[9]4.CY2022 Improve All Payers'!$A$7:$B$56,2,0)</f>
        <v>UM-Harford</v>
      </c>
      <c r="C9" s="122">
        <v>1.050561797752809</v>
      </c>
      <c r="D9" s="123">
        <f>VLOOKUP(A9,'[9]4.CY2022 Improve All Payers'!A12:O61,14,FALSE)</f>
        <v>0.13159999999999999</v>
      </c>
      <c r="E9" s="124">
        <f t="shared" si="0"/>
        <v>0.13825393258426966</v>
      </c>
      <c r="G9" s="168"/>
    </row>
    <row r="10" spans="1:7" ht="15" customHeight="1">
      <c r="A10" s="121">
        <v>210008</v>
      </c>
      <c r="B10" s="121" t="str">
        <f>VLOOKUP(A10,'[9]4.CY2022 Improve All Payers'!$A$7:$B$56,2,0)</f>
        <v>Mercy</v>
      </c>
      <c r="C10" s="122">
        <v>1.0340909090909089</v>
      </c>
      <c r="D10" s="123">
        <f>VLOOKUP(A10,'[9]4.CY2022 Improve All Payers'!A13:O62,14,FALSE)</f>
        <v>0.1205</v>
      </c>
      <c r="E10" s="124">
        <f t="shared" si="0"/>
        <v>0.12460795454545452</v>
      </c>
      <c r="G10" s="168"/>
    </row>
    <row r="11" spans="1:7" ht="15" customHeight="1">
      <c r="A11" s="121">
        <v>210009</v>
      </c>
      <c r="B11" s="121" t="str">
        <f>VLOOKUP(A11,'[9]4.CY2022 Improve All Payers'!$A$7:$B$56,2,0)</f>
        <v>Johns Hopkins</v>
      </c>
      <c r="C11" s="122">
        <v>1.078389830508474</v>
      </c>
      <c r="D11" s="123">
        <f>VLOOKUP(A11,'[9]4.CY2022 Improve All Payers'!A14:O63,14,FALSE)</f>
        <v>0.11600000000000001</v>
      </c>
      <c r="E11" s="124">
        <f t="shared" si="0"/>
        <v>0.12509322033898299</v>
      </c>
      <c r="G11" s="168"/>
    </row>
    <row r="12" spans="1:7" ht="15" customHeight="1">
      <c r="A12" s="121">
        <v>210011</v>
      </c>
      <c r="B12" s="121" t="str">
        <f>VLOOKUP(A12,'[9]4.CY2022 Improve All Payers'!$A$7:$B$56,2,0)</f>
        <v>Ascension Saint Agnes Hospital</v>
      </c>
      <c r="C12" s="122">
        <v>1.012422360248447</v>
      </c>
      <c r="D12" s="123">
        <f>VLOOKUP(A12,'[9]4.CY2022 Improve All Payers'!A15:O64,14,FALSE)</f>
        <v>0.12139999999999999</v>
      </c>
      <c r="E12" s="124">
        <f t="shared" si="0"/>
        <v>0.12290807453416146</v>
      </c>
      <c r="G12" s="168"/>
    </row>
    <row r="13" spans="1:7" ht="15" customHeight="1">
      <c r="A13" s="121">
        <v>210012</v>
      </c>
      <c r="B13" s="121" t="str">
        <f>VLOOKUP(A13,'[9]4.CY2022 Improve All Payers'!$A$7:$B$56,2,0)</f>
        <v>Sinai</v>
      </c>
      <c r="C13" s="122">
        <v>1.029143897996357</v>
      </c>
      <c r="D13" s="123">
        <f>VLOOKUP(A13,'[9]4.CY2022 Improve All Payers'!A16:O65,14,FALSE)</f>
        <v>0.1113</v>
      </c>
      <c r="E13" s="124">
        <f t="shared" si="0"/>
        <v>0.11454371584699452</v>
      </c>
      <c r="G13" s="168"/>
    </row>
    <row r="14" spans="1:7" ht="15" customHeight="1">
      <c r="A14" s="121">
        <v>210015</v>
      </c>
      <c r="B14" s="121" t="str">
        <f>VLOOKUP(A14,'[9]4.CY2022 Improve All Payers'!$A$7:$B$56,2,0)</f>
        <v>MedStar Fr Square</v>
      </c>
      <c r="C14" s="122">
        <v>1.0142517814726839</v>
      </c>
      <c r="D14" s="123">
        <f>VLOOKUP(A14,'[9]4.CY2022 Improve All Payers'!A17:O66,14,FALSE)</f>
        <v>0.11119999999999999</v>
      </c>
      <c r="E14" s="124">
        <f t="shared" si="0"/>
        <v>0.11278479809976244</v>
      </c>
      <c r="G14" s="168"/>
    </row>
    <row r="15" spans="1:7" ht="15" customHeight="1">
      <c r="A15" s="121">
        <v>210016</v>
      </c>
      <c r="B15" s="121" t="str">
        <f>VLOOKUP(A15,'[9]4.CY2022 Improve All Payers'!$A$7:$B$56,2,0)</f>
        <v>Adventist White Oak</v>
      </c>
      <c r="C15" s="122">
        <v>1.107382550335571</v>
      </c>
      <c r="D15" s="123">
        <f>VLOOKUP(A15,'[9]4.CY2022 Improve All Payers'!A18:O67,14,FALSE)</f>
        <v>0.108</v>
      </c>
      <c r="E15" s="124">
        <f t="shared" si="0"/>
        <v>0.11959731543624166</v>
      </c>
      <c r="G15" s="169"/>
    </row>
    <row r="16" spans="1:7" ht="15" customHeight="1">
      <c r="A16" s="121">
        <v>210017</v>
      </c>
      <c r="B16" s="121" t="str">
        <f>VLOOKUP(A16,'[9]4.CY2022 Improve All Payers'!$A$7:$B$56,2,0)</f>
        <v>Garrett</v>
      </c>
      <c r="C16" s="122">
        <v>1.333333333333333</v>
      </c>
      <c r="D16" s="123">
        <f>VLOOKUP(A16,'[9]4.CY2022 Improve All Payers'!A19:O68,14,FALSE)</f>
        <v>5.4100000000000002E-2</v>
      </c>
      <c r="E16" s="124">
        <f t="shared" si="0"/>
        <v>7.2133333333333327E-2</v>
      </c>
    </row>
    <row r="17" spans="1:5" ht="15" customHeight="1">
      <c r="A17" s="121">
        <v>210018</v>
      </c>
      <c r="B17" s="121" t="str">
        <f>VLOOKUP(A17,'[9]4.CY2022 Improve All Payers'!$A$7:$B$56,2,0)</f>
        <v>MedStar Montgomery</v>
      </c>
      <c r="C17" s="122">
        <v>1.0590551181102359</v>
      </c>
      <c r="D17" s="123">
        <f>VLOOKUP(A17,'[9]4.CY2022 Improve All Payers'!A20:O69,14,FALSE)</f>
        <v>0.1094</v>
      </c>
      <c r="E17" s="124">
        <f t="shared" si="0"/>
        <v>0.1158606299212598</v>
      </c>
    </row>
    <row r="18" spans="1:5" ht="15" customHeight="1">
      <c r="A18" s="121">
        <v>210019</v>
      </c>
      <c r="B18" s="121" t="str">
        <f>VLOOKUP(A18,'[9]4.CY2022 Improve All Payers'!$A$7:$B$56,2,0)</f>
        <v>Peninsula</v>
      </c>
      <c r="C18" s="122">
        <v>1.061342592592593</v>
      </c>
      <c r="D18" s="123">
        <f>VLOOKUP(A18,'[9]4.CY2022 Improve All Payers'!A21:O70,14,FALSE)</f>
        <v>0.1074</v>
      </c>
      <c r="E18" s="124">
        <f t="shared" si="0"/>
        <v>0.11398819444444448</v>
      </c>
    </row>
    <row r="19" spans="1:5" ht="15" customHeight="1">
      <c r="A19" s="121">
        <v>210022</v>
      </c>
      <c r="B19" s="121" t="str">
        <f>VLOOKUP(A19,'[9]4.CY2022 Improve All Payers'!$A$7:$B$56,2,0)</f>
        <v>Suburban</v>
      </c>
      <c r="C19" s="122">
        <v>1.1334431630971991</v>
      </c>
      <c r="D19" s="123">
        <f>VLOOKUP(A19,'[9]4.CY2022 Improve All Payers'!A22:O71,14,FALSE)</f>
        <v>0.10100000000000001</v>
      </c>
      <c r="E19" s="124">
        <f t="shared" si="0"/>
        <v>0.11447775947281712</v>
      </c>
    </row>
    <row r="20" spans="1:5" ht="15" customHeight="1">
      <c r="A20" s="121">
        <v>210023</v>
      </c>
      <c r="B20" s="121" t="str">
        <f>VLOOKUP(A20,'[9]4.CY2022 Improve All Payers'!$A$7:$B$56,2,0)</f>
        <v>Anne Arundel</v>
      </c>
      <c r="C20" s="122">
        <v>1.0417777777777779</v>
      </c>
      <c r="D20" s="123">
        <f>VLOOKUP(A20,'[9]4.CY2022 Improve All Payers'!A23:O72,14,FALSE)</f>
        <v>0.1176</v>
      </c>
      <c r="E20" s="124">
        <f t="shared" si="0"/>
        <v>0.12251306666666668</v>
      </c>
    </row>
    <row r="21" spans="1:5" ht="15" customHeight="1">
      <c r="A21" s="121">
        <v>210024</v>
      </c>
      <c r="B21" s="121" t="str">
        <f>VLOOKUP(A21,'[9]4.CY2022 Improve All Payers'!$A$7:$B$56,2,0)</f>
        <v>MedStar Union Mem</v>
      </c>
      <c r="C21" s="122">
        <v>1.0134099616858241</v>
      </c>
      <c r="D21" s="123">
        <f>VLOOKUP(A21,'[9]4.CY2022 Improve All Payers'!A24:O73,14,FALSE)</f>
        <v>0.1217</v>
      </c>
      <c r="E21" s="124">
        <f t="shared" si="0"/>
        <v>0.1233319923371648</v>
      </c>
    </row>
    <row r="22" spans="1:5" ht="15" customHeight="1">
      <c r="A22" s="121">
        <v>210027</v>
      </c>
      <c r="B22" s="121" t="str">
        <f>VLOOKUP(A22,'[9]4.CY2022 Improve All Payers'!$A$7:$B$56,2,0)</f>
        <v>Western Maryland</v>
      </c>
      <c r="C22" s="122">
        <v>1.1255605381165921</v>
      </c>
      <c r="D22" s="123">
        <f>VLOOKUP(A22,'[9]4.CY2022 Improve All Payers'!A25:O74,14,FALSE)</f>
        <v>0.10390000000000001</v>
      </c>
      <c r="E22" s="124">
        <f t="shared" si="0"/>
        <v>0.11694573991031393</v>
      </c>
    </row>
    <row r="23" spans="1:5" ht="15" customHeight="1">
      <c r="A23" s="121">
        <v>210028</v>
      </c>
      <c r="B23" s="121" t="str">
        <f>VLOOKUP(A23,'[9]4.CY2022 Improve All Payers'!$A$7:$B$56,2,0)</f>
        <v>MedStar St. Mary's</v>
      </c>
      <c r="C23" s="122">
        <v>1.1201117318435749</v>
      </c>
      <c r="D23" s="123">
        <f>VLOOKUP(A23,'[9]4.CY2022 Improve All Payers'!A26:O75,14,FALSE)</f>
        <v>0.1168</v>
      </c>
      <c r="E23" s="124">
        <f t="shared" si="0"/>
        <v>0.13082905027932956</v>
      </c>
    </row>
    <row r="24" spans="1:5" ht="15" customHeight="1">
      <c r="A24" s="121">
        <v>210029</v>
      </c>
      <c r="B24" s="121" t="str">
        <f>VLOOKUP(A24,'[9]4.CY2022 Improve All Payers'!$A$7:$B$56,2,0)</f>
        <v>JH Bayview</v>
      </c>
      <c r="C24" s="122">
        <v>1.0217076700434149</v>
      </c>
      <c r="D24" s="123">
        <f>VLOOKUP(A24,'[9]4.CY2022 Improve All Payers'!A27:O76,14,FALSE)</f>
        <v>0.1207</v>
      </c>
      <c r="E24" s="124">
        <f t="shared" si="0"/>
        <v>0.12332011577424018</v>
      </c>
    </row>
    <row r="25" spans="1:5" ht="15" customHeight="1">
      <c r="A25" s="121">
        <v>210030</v>
      </c>
      <c r="B25" s="121" t="str">
        <f>VLOOKUP(A25,'[9]4.CY2022 Improve All Payers'!$A$7:$B$56,2,0)</f>
        <v>UM-Chestertown</v>
      </c>
      <c r="C25" s="122">
        <v>1</v>
      </c>
      <c r="D25" s="123">
        <f>VLOOKUP(A25,'[9]4.CY2022 Improve All Payers'!A28:O77,14,FALSE)</f>
        <v>5.79E-2</v>
      </c>
      <c r="E25" s="124">
        <f t="shared" si="0"/>
        <v>5.79E-2</v>
      </c>
    </row>
    <row r="26" spans="1:5" ht="15" customHeight="1">
      <c r="A26" s="121">
        <v>210032</v>
      </c>
      <c r="B26" s="121" t="str">
        <f>VLOOKUP(A26,'[9]4.CY2022 Improve All Payers'!$A$7:$B$56,2,0)</f>
        <v>ChristianaCare, Union</v>
      </c>
      <c r="C26" s="122">
        <v>1.235494880546075</v>
      </c>
      <c r="D26" s="123">
        <f>VLOOKUP(A26,'[9]4.CY2022 Improve All Payers'!A29:O78,14,FALSE)</f>
        <v>0.1215</v>
      </c>
      <c r="E26" s="124">
        <f t="shared" si="0"/>
        <v>0.15011262798634811</v>
      </c>
    </row>
    <row r="27" spans="1:5" ht="15" customHeight="1">
      <c r="A27" s="121">
        <v>210033</v>
      </c>
      <c r="B27" s="121" t="str">
        <f>VLOOKUP(A27,'[9]4.CY2022 Improve All Payers'!$A$7:$B$56,2,0)</f>
        <v>Carroll</v>
      </c>
      <c r="C27" s="122">
        <v>1.050403225806452</v>
      </c>
      <c r="D27" s="123">
        <f>VLOOKUP(A27,'[9]4.CY2022 Improve All Payers'!A30:O79,14,FALSE)</f>
        <v>0.1129</v>
      </c>
      <c r="E27" s="124">
        <f t="shared" si="0"/>
        <v>0.11859052419354843</v>
      </c>
    </row>
    <row r="28" spans="1:5" ht="15" customHeight="1">
      <c r="A28" s="121">
        <v>210034</v>
      </c>
      <c r="B28" s="121" t="str">
        <f>VLOOKUP(A28,'[9]4.CY2022 Improve All Payers'!$A$7:$B$56,2,0)</f>
        <v>MedStar Harbor</v>
      </c>
      <c r="C28" s="122">
        <v>1.0199203187251</v>
      </c>
      <c r="D28" s="123">
        <f>VLOOKUP(A28,'[9]4.CY2022 Improve All Payers'!A31:O80,14,FALSE)</f>
        <v>0.125</v>
      </c>
      <c r="E28" s="124">
        <f t="shared" si="0"/>
        <v>0.1274900398406375</v>
      </c>
    </row>
    <row r="29" spans="1:5" ht="15" customHeight="1">
      <c r="A29" s="121">
        <v>210035</v>
      </c>
      <c r="B29" s="121" t="str">
        <f>VLOOKUP(A29,'[9]4.CY2022 Improve All Payers'!$A$7:$B$56,2,0)</f>
        <v>UM-Charles Regional</v>
      </c>
      <c r="C29" s="122">
        <v>1.149466192170818</v>
      </c>
      <c r="D29" s="123">
        <f>VLOOKUP(A29,'[9]4.CY2022 Improve All Payers'!A32:O81,14,FALSE)</f>
        <v>9.8299999999999998E-2</v>
      </c>
      <c r="E29" s="124">
        <f t="shared" si="0"/>
        <v>0.11299252669039141</v>
      </c>
    </row>
    <row r="30" spans="1:5" ht="15" customHeight="1">
      <c r="A30" s="121">
        <v>210037</v>
      </c>
      <c r="B30" s="121" t="str">
        <f>VLOOKUP(A30,'[9]4.CY2022 Improve All Payers'!$A$7:$B$56,2,0)</f>
        <v>UM-Easton</v>
      </c>
      <c r="C30" s="122">
        <v>1.099502487562189</v>
      </c>
      <c r="D30" s="123">
        <f>VLOOKUP(A30,'[9]4.CY2022 Improve All Payers'!A33:O82,14,FALSE)</f>
        <v>0.09</v>
      </c>
      <c r="E30" s="124">
        <f t="shared" si="0"/>
        <v>9.8955223880597007E-2</v>
      </c>
    </row>
    <row r="31" spans="1:5" ht="15" customHeight="1">
      <c r="A31" s="121">
        <v>210038</v>
      </c>
      <c r="B31" s="121" t="str">
        <f>VLOOKUP(A31,'[9]4.CY2022 Improve All Payers'!$A$7:$B$56,2,0)</f>
        <v>UMMC Midtown</v>
      </c>
      <c r="C31" s="122">
        <v>1.0386740331491711</v>
      </c>
      <c r="D31" s="123">
        <f>VLOOKUP(A31,'[9]4.CY2022 Improve All Payers'!A34:O83,14,FALSE)</f>
        <v>0.1178</v>
      </c>
      <c r="E31" s="124">
        <f t="shared" si="0"/>
        <v>0.12235580110497235</v>
      </c>
    </row>
    <row r="32" spans="1:5" ht="15" customHeight="1">
      <c r="A32" s="121">
        <v>210039</v>
      </c>
      <c r="B32" s="121" t="str">
        <f>VLOOKUP(A32,'[9]4.CY2022 Improve All Payers'!$A$7:$B$56,2,0)</f>
        <v>Calvert</v>
      </c>
      <c r="C32" s="122">
        <v>1.0792452830188679</v>
      </c>
      <c r="D32" s="123">
        <f>VLOOKUP(A32,'[9]4.CY2022 Improve All Payers'!A35:O84,14,FALSE)</f>
        <v>9.8000000000000004E-2</v>
      </c>
      <c r="E32" s="124">
        <f t="shared" si="0"/>
        <v>0.10576603773584906</v>
      </c>
    </row>
    <row r="33" spans="1:5" ht="15" customHeight="1">
      <c r="A33" s="121">
        <v>210040</v>
      </c>
      <c r="B33" s="121" t="str">
        <f>VLOOKUP(A33,'[9]4.CY2022 Improve All Payers'!$A$7:$B$56,2,0)</f>
        <v>Northwest</v>
      </c>
      <c r="C33" s="122">
        <v>1.005730659025788</v>
      </c>
      <c r="D33" s="123">
        <f>VLOOKUP(A33,'[9]4.CY2022 Improve All Payers'!A36:O85,14,FALSE)</f>
        <v>0.1192</v>
      </c>
      <c r="E33" s="124">
        <f t="shared" si="0"/>
        <v>0.11988309455587393</v>
      </c>
    </row>
    <row r="34" spans="1:5" ht="15" customHeight="1">
      <c r="A34" s="121">
        <v>210043</v>
      </c>
      <c r="B34" s="121" t="str">
        <f>VLOOKUP(A34,'[9]4.CY2022 Improve All Payers'!$A$7:$B$56,2,0)</f>
        <v>UM-BWMC</v>
      </c>
      <c r="C34" s="122">
        <v>1.0132625994694959</v>
      </c>
      <c r="D34" s="123">
        <f>VLOOKUP(A34,'[9]4.CY2022 Improve All Payers'!A37:O86,14,FALSE)</f>
        <v>0.1111</v>
      </c>
      <c r="E34" s="124">
        <f t="shared" si="0"/>
        <v>0.112573474801061</v>
      </c>
    </row>
    <row r="35" spans="1:5" ht="15" customHeight="1">
      <c r="A35" s="121">
        <v>210044</v>
      </c>
      <c r="B35" s="121" t="str">
        <f>VLOOKUP(A35,'[9]4.CY2022 Improve All Payers'!$A$7:$B$56,2,0)</f>
        <v>GBMC</v>
      </c>
      <c r="C35" s="122">
        <v>1.011160714285714</v>
      </c>
      <c r="D35" s="123">
        <f>VLOOKUP(A35,'[9]4.CY2022 Improve All Payers'!A38:O87,14,FALSE)</f>
        <v>0.105</v>
      </c>
      <c r="E35" s="124">
        <f t="shared" si="0"/>
        <v>0.10617187499999996</v>
      </c>
    </row>
    <row r="36" spans="1:5" ht="15" customHeight="1">
      <c r="A36" s="121">
        <v>210048</v>
      </c>
      <c r="B36" s="121" t="str">
        <f>VLOOKUP(A36,'[9]4.CY2022 Improve All Payers'!$A$7:$B$56,2,0)</f>
        <v>Howard County</v>
      </c>
      <c r="C36" s="122">
        <v>1.0329670329670331</v>
      </c>
      <c r="D36" s="123">
        <f>VLOOKUP(A36,'[9]4.CY2022 Improve All Payers'!A39:O88,14,FALSE)</f>
        <v>0.12640000000000001</v>
      </c>
      <c r="E36" s="124">
        <f t="shared" si="0"/>
        <v>0.13056703296703298</v>
      </c>
    </row>
    <row r="37" spans="1:5" ht="15" customHeight="1">
      <c r="A37" s="121">
        <v>210049</v>
      </c>
      <c r="B37" s="121" t="str">
        <f>VLOOKUP(A37,'[9]4.CY2022 Improve All Payers'!$A$7:$B$56,2,0)</f>
        <v>UM-Upper Chesapeake</v>
      </c>
      <c r="C37" s="122">
        <v>1.0266875981161701</v>
      </c>
      <c r="D37" s="123">
        <f>VLOOKUP(A37,'[9]4.CY2022 Improve All Payers'!A40:O89,14,FALSE)</f>
        <v>0.1182</v>
      </c>
      <c r="E37" s="124">
        <f t="shared" si="0"/>
        <v>0.1213544740973313</v>
      </c>
    </row>
    <row r="38" spans="1:5" ht="15" customHeight="1">
      <c r="A38" s="121">
        <v>210051</v>
      </c>
      <c r="B38" s="121" t="str">
        <f>VLOOKUP(A38,'[9]4.CY2022 Improve All Payers'!$A$7:$B$56,2,0)</f>
        <v>Doctors</v>
      </c>
      <c r="C38" s="122">
        <v>1.187817258883249</v>
      </c>
      <c r="D38" s="123">
        <f>VLOOKUP(A38,'[9]4.CY2022 Improve All Payers'!A41:O90,14,FALSE)</f>
        <v>9.3600000000000003E-2</v>
      </c>
      <c r="E38" s="124">
        <f t="shared" si="0"/>
        <v>0.1111796954314721</v>
      </c>
    </row>
    <row r="39" spans="1:5" ht="15" customHeight="1">
      <c r="A39" s="121">
        <v>210056</v>
      </c>
      <c r="B39" s="121" t="str">
        <f>VLOOKUP(A39,'[9]4.CY2022 Improve All Payers'!$A$7:$B$56,2,0)</f>
        <v>MedStar Good Sam</v>
      </c>
      <c r="C39" s="122">
        <v>1.007233273056058</v>
      </c>
      <c r="D39" s="123">
        <f>VLOOKUP(A39,'[9]4.CY2022 Improve All Payers'!A42:O91,14,FALSE)</f>
        <v>0.1429</v>
      </c>
      <c r="E39" s="124">
        <f t="shared" si="0"/>
        <v>0.14393363471971068</v>
      </c>
    </row>
    <row r="40" spans="1:5" ht="15" customHeight="1">
      <c r="A40" s="121">
        <v>210057</v>
      </c>
      <c r="B40" s="121" t="str">
        <f>VLOOKUP(A40,'[9]4.CY2022 Improve All Payers'!$A$7:$B$56,2,0)</f>
        <v>Shady Grove</v>
      </c>
      <c r="C40" s="122">
        <v>1.064665127020785</v>
      </c>
      <c r="D40" s="123">
        <f>VLOOKUP(A40,'[9]4.CY2022 Improve All Payers'!A43:O92,14,FALSE)</f>
        <v>9.74E-2</v>
      </c>
      <c r="E40" s="124">
        <f t="shared" si="0"/>
        <v>0.10369838337182445</v>
      </c>
    </row>
    <row r="41" spans="1:5" ht="15" customHeight="1">
      <c r="A41" s="121">
        <v>210058</v>
      </c>
      <c r="B41" s="121" t="str">
        <f>VLOOKUP(A41,'[9]4.CY2022 Improve All Payers'!$A$7:$B$56,2,0)</f>
        <v>UMROI</v>
      </c>
      <c r="C41" s="122">
        <v>1</v>
      </c>
      <c r="D41" s="123">
        <f>VLOOKUP(A41,'[9]4.CY2022 Improve All Payers'!A44:O93,14,FALSE)</f>
        <v>0.1057</v>
      </c>
      <c r="E41" s="124">
        <f t="shared" si="0"/>
        <v>0.1057</v>
      </c>
    </row>
    <row r="42" spans="1:5" ht="15" customHeight="1">
      <c r="A42" s="121">
        <v>210060</v>
      </c>
      <c r="B42" s="121" t="str">
        <f>VLOOKUP(A42,'[9]4.CY2022 Improve All Payers'!$A$7:$B$56,2,0)</f>
        <v>Ft. Washington</v>
      </c>
      <c r="C42" s="122">
        <v>1.408450704225352</v>
      </c>
      <c r="D42" s="123">
        <f>VLOOKUP(A42,'[9]4.CY2022 Improve All Payers'!A45:O94,14,FALSE)</f>
        <v>9.1600000000000001E-2</v>
      </c>
      <c r="E42" s="124">
        <f t="shared" si="0"/>
        <v>0.12901408450704224</v>
      </c>
    </row>
    <row r="43" spans="1:5" ht="15" customHeight="1">
      <c r="A43" s="121">
        <v>210061</v>
      </c>
      <c r="B43" s="121" t="str">
        <f>VLOOKUP(A43,'[9]4.CY2022 Improve All Payers'!$A$7:$B$56,2,0)</f>
        <v>Atlantic General</v>
      </c>
      <c r="C43" s="122">
        <v>1.0696202531645571</v>
      </c>
      <c r="D43" s="123">
        <f>VLOOKUP(A43,'[9]4.CY2022 Improve All Payers'!A46:O95,14,FALSE)</f>
        <v>9.5899999999999999E-2</v>
      </c>
      <c r="E43" s="124">
        <f t="shared" si="0"/>
        <v>0.10257658227848103</v>
      </c>
    </row>
    <row r="44" spans="1:5" ht="15" customHeight="1">
      <c r="A44" s="121">
        <v>210062</v>
      </c>
      <c r="B44" s="121" t="str">
        <f>VLOOKUP(A44,'[9]4.CY2022 Improve All Payers'!$A$7:$B$56,2,0)</f>
        <v>MedStar Southern MD</v>
      </c>
      <c r="C44" s="122">
        <v>1.2442528735632179</v>
      </c>
      <c r="D44" s="123">
        <f>VLOOKUP(A44,'[9]4.CY2022 Improve All Payers'!A47:O96,14,FALSE)</f>
        <v>9.64E-2</v>
      </c>
      <c r="E44" s="124">
        <f t="shared" si="0"/>
        <v>0.1199459770114942</v>
      </c>
    </row>
    <row r="45" spans="1:5" ht="15" customHeight="1">
      <c r="A45" s="121">
        <v>210063</v>
      </c>
      <c r="B45" s="121" t="str">
        <f>VLOOKUP(A45,'[9]4.CY2022 Improve All Payers'!$A$7:$B$56,2,0)</f>
        <v>UM-St. Joe</v>
      </c>
      <c r="C45" s="122">
        <v>1.0186125211505921</v>
      </c>
      <c r="D45" s="123">
        <f>VLOOKUP(A45,'[9]4.CY2022 Improve All Payers'!A48:O97,14,FALSE)</f>
        <v>0.12039999999999999</v>
      </c>
      <c r="E45" s="124">
        <f t="shared" si="0"/>
        <v>0.12264094754653128</v>
      </c>
    </row>
    <row r="46" spans="1:5" ht="15" customHeight="1">
      <c r="A46" s="121">
        <v>210064</v>
      </c>
      <c r="B46" s="121" t="str">
        <f>VLOOKUP(A46,'[9]4.CY2022 Improve All Payers'!$A$7:$B$56,2,0)</f>
        <v>Levindale</v>
      </c>
      <c r="C46" s="122">
        <v>1</v>
      </c>
      <c r="D46" s="123">
        <f>VLOOKUP(A46,'[9]4.CY2022 Improve All Payers'!A49:O98,14,FALSE)</f>
        <v>9.4600000000000004E-2</v>
      </c>
      <c r="E46" s="124">
        <f t="shared" si="0"/>
        <v>9.4600000000000004E-2</v>
      </c>
    </row>
    <row r="47" spans="1:5" ht="15" customHeight="1">
      <c r="A47" s="121">
        <v>210065</v>
      </c>
      <c r="B47" s="121" t="str">
        <f>VLOOKUP(A47,'[9]4.CY2022 Improve All Payers'!$A$7:$B$56,2,0)</f>
        <v>HC-Germantown</v>
      </c>
      <c r="C47" s="122">
        <v>1.0328947368421051</v>
      </c>
      <c r="D47" s="123">
        <f>VLOOKUP(A47,'[9]4.CY2022 Improve All Payers'!A50:O99,14,FALSE)</f>
        <v>0.115</v>
      </c>
      <c r="E47" s="124">
        <f t="shared" si="0"/>
        <v>0.11878289473684209</v>
      </c>
    </row>
  </sheetData>
  <mergeCells count="1">
    <mergeCell ref="G4:G15"/>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1FFE-34A4-4169-BEE5-59A6329C94D9}">
  <sheetPr>
    <pageSetUpPr fitToPage="1"/>
  </sheetPr>
  <dimension ref="A1:W55"/>
  <sheetViews>
    <sheetView workbookViewId="0">
      <pane ySplit="8" topLeftCell="A9" activePane="bottomLeft" state="frozen"/>
      <selection pane="bottomLeft"/>
    </sheetView>
  </sheetViews>
  <sheetFormatPr defaultColWidth="9.140625" defaultRowHeight="15"/>
  <cols>
    <col min="1" max="1" width="12.85546875" style="99" bestFit="1" customWidth="1"/>
    <col min="2" max="2" width="30.85546875" style="99" bestFit="1" customWidth="1"/>
    <col min="3" max="23" width="25.7109375" style="99" bestFit="1" customWidth="1"/>
    <col min="24" max="16384" width="9.140625" style="99"/>
  </cols>
  <sheetData>
    <row r="1" spans="1:23" s="125" customFormat="1" ht="14.1" customHeight="1">
      <c r="A1" s="125" t="s">
        <v>205</v>
      </c>
    </row>
    <row r="2" spans="1:23" ht="14.1" customHeight="1">
      <c r="A2" s="161" t="s">
        <v>183</v>
      </c>
      <c r="B2" s="161"/>
      <c r="C2" s="161"/>
      <c r="D2" s="161"/>
      <c r="E2" s="161"/>
      <c r="F2" s="161"/>
      <c r="G2" s="161"/>
      <c r="H2" s="161"/>
      <c r="I2" s="161"/>
      <c r="J2" s="161"/>
      <c r="K2" s="161"/>
      <c r="L2" s="161"/>
      <c r="M2" s="161"/>
      <c r="N2" s="161"/>
      <c r="O2" s="161"/>
      <c r="P2" s="161"/>
      <c r="Q2" s="161"/>
      <c r="R2" s="161"/>
      <c r="S2" s="161"/>
      <c r="T2" s="161"/>
      <c r="U2" s="161"/>
      <c r="V2" s="161"/>
      <c r="W2" s="161"/>
    </row>
    <row r="3" spans="1:23" s="114" customFormat="1" ht="12" customHeight="1">
      <c r="A3" s="114" t="s">
        <v>206</v>
      </c>
    </row>
    <row r="4" spans="1:23" s="114" customFormat="1" ht="12" customHeight="1">
      <c r="A4" s="114" t="s">
        <v>207</v>
      </c>
    </row>
    <row r="5" spans="1:23" s="114" customFormat="1" ht="12" customHeight="1">
      <c r="A5" s="114" t="s">
        <v>208</v>
      </c>
    </row>
    <row r="6" spans="1:23" ht="12.95" customHeight="1"/>
    <row r="7" spans="1:23" ht="12.95" customHeight="1">
      <c r="A7" s="170" t="s">
        <v>147</v>
      </c>
      <c r="B7" s="162"/>
      <c r="C7" s="126" t="s">
        <v>209</v>
      </c>
      <c r="D7" s="171" t="s">
        <v>210</v>
      </c>
      <c r="E7" s="171"/>
      <c r="F7" s="171"/>
      <c r="G7" s="164"/>
      <c r="H7" s="172" t="s">
        <v>211</v>
      </c>
      <c r="I7" s="172"/>
      <c r="J7" s="172"/>
      <c r="K7" s="173"/>
      <c r="L7" s="174" t="s">
        <v>212</v>
      </c>
      <c r="M7" s="174"/>
      <c r="N7" s="174"/>
      <c r="O7" s="175"/>
      <c r="P7" s="176" t="s">
        <v>213</v>
      </c>
      <c r="Q7" s="176"/>
      <c r="R7" s="176"/>
      <c r="S7" s="177"/>
      <c r="T7" s="178" t="s">
        <v>214</v>
      </c>
      <c r="U7" s="178"/>
      <c r="V7" s="178"/>
      <c r="W7" s="179"/>
    </row>
    <row r="8" spans="1:23" ht="39" customHeight="1">
      <c r="A8" s="100" t="s">
        <v>4</v>
      </c>
      <c r="B8" s="100" t="s">
        <v>5</v>
      </c>
      <c r="C8" s="126" t="s">
        <v>215</v>
      </c>
      <c r="D8" s="101" t="s">
        <v>216</v>
      </c>
      <c r="E8" s="101" t="s">
        <v>217</v>
      </c>
      <c r="F8" s="101" t="s">
        <v>218</v>
      </c>
      <c r="G8" s="101" t="s">
        <v>219</v>
      </c>
      <c r="H8" s="127" t="s">
        <v>216</v>
      </c>
      <c r="I8" s="127" t="s">
        <v>217</v>
      </c>
      <c r="J8" s="127" t="s">
        <v>218</v>
      </c>
      <c r="K8" s="127" t="s">
        <v>219</v>
      </c>
      <c r="L8" s="128" t="s">
        <v>216</v>
      </c>
      <c r="M8" s="128" t="s">
        <v>217</v>
      </c>
      <c r="N8" s="128" t="s">
        <v>218</v>
      </c>
      <c r="O8" s="128" t="s">
        <v>219</v>
      </c>
      <c r="P8" s="129" t="s">
        <v>216</v>
      </c>
      <c r="Q8" s="129" t="s">
        <v>217</v>
      </c>
      <c r="R8" s="129" t="s">
        <v>218</v>
      </c>
      <c r="S8" s="129" t="s">
        <v>219</v>
      </c>
      <c r="T8" s="130" t="s">
        <v>216</v>
      </c>
      <c r="U8" s="130" t="s">
        <v>217</v>
      </c>
      <c r="V8" s="130" t="s">
        <v>218</v>
      </c>
      <c r="W8" s="130" t="s">
        <v>219</v>
      </c>
    </row>
    <row r="9" spans="1:23" ht="15" customHeight="1">
      <c r="A9" s="103">
        <v>210001</v>
      </c>
      <c r="B9" s="104" t="s">
        <v>81</v>
      </c>
      <c r="C9" s="106">
        <v>-0.170103</v>
      </c>
      <c r="D9" s="131">
        <v>0.1868737</v>
      </c>
      <c r="E9" s="132">
        <v>3.22876E-2</v>
      </c>
      <c r="F9" s="132">
        <v>8.5555400000000004E-2</v>
      </c>
      <c r="G9" s="132">
        <v>0.117843</v>
      </c>
      <c r="H9" s="131">
        <v>0.202815</v>
      </c>
      <c r="I9" s="132">
        <v>3.5160299999999998E-2</v>
      </c>
      <c r="J9" s="132">
        <v>7.8435699999999997E-2</v>
      </c>
      <c r="K9" s="132">
        <v>0.113596</v>
      </c>
      <c r="L9" s="131">
        <v>0.1863853</v>
      </c>
      <c r="M9" s="132">
        <v>3.6203899999999997E-2</v>
      </c>
      <c r="N9" s="132">
        <v>7.3551199999999997E-2</v>
      </c>
      <c r="O9" s="132">
        <v>0.10975509999999999</v>
      </c>
      <c r="P9" s="131">
        <v>0.1765536</v>
      </c>
      <c r="Q9" s="132">
        <v>3.00798E-2</v>
      </c>
      <c r="R9" s="132">
        <v>7.3388700000000001E-2</v>
      </c>
      <c r="S9" s="132">
        <v>0.1034685</v>
      </c>
      <c r="T9" s="131">
        <v>0.1914988</v>
      </c>
      <c r="U9" s="132">
        <v>3.8905599999999999E-2</v>
      </c>
      <c r="V9" s="132">
        <v>7.3522400000000002E-2</v>
      </c>
      <c r="W9" s="132">
        <v>0.112428</v>
      </c>
    </row>
    <row r="10" spans="1:23" ht="15" customHeight="1">
      <c r="A10" s="103">
        <v>210002</v>
      </c>
      <c r="B10" s="104" t="s">
        <v>82</v>
      </c>
      <c r="C10" s="106">
        <v>-0.15768599999999999</v>
      </c>
      <c r="D10" s="131">
        <v>0.3674211</v>
      </c>
      <c r="E10" s="132">
        <v>1.9746799999999998E-2</v>
      </c>
      <c r="F10" s="132">
        <v>8.4331100000000006E-2</v>
      </c>
      <c r="G10" s="132">
        <v>0.1040779</v>
      </c>
      <c r="H10" s="131">
        <v>0.379915</v>
      </c>
      <c r="I10" s="132">
        <v>1.8134299999999999E-2</v>
      </c>
      <c r="J10" s="132">
        <v>8.3718799999999996E-2</v>
      </c>
      <c r="K10" s="132">
        <v>0.1018532</v>
      </c>
      <c r="L10" s="131">
        <v>0.4108156</v>
      </c>
      <c r="M10" s="132">
        <v>2.04627E-2</v>
      </c>
      <c r="N10" s="132">
        <v>8.4983799999999998E-2</v>
      </c>
      <c r="O10" s="132">
        <v>0.1054466</v>
      </c>
      <c r="P10" s="131">
        <v>0.42961529999999998</v>
      </c>
      <c r="Q10" s="132">
        <v>1.68156E-2</v>
      </c>
      <c r="R10" s="132">
        <v>9.7876500000000005E-2</v>
      </c>
      <c r="S10" s="132">
        <v>0.11469210000000001</v>
      </c>
      <c r="T10" s="131">
        <v>0.46051560000000002</v>
      </c>
      <c r="U10" s="132">
        <v>2.3443499999999999E-2</v>
      </c>
      <c r="V10" s="132">
        <v>9.5638699999999993E-2</v>
      </c>
      <c r="W10" s="132">
        <v>0.1190822</v>
      </c>
    </row>
    <row r="11" spans="1:23" ht="15" customHeight="1">
      <c r="A11" s="103">
        <v>210003</v>
      </c>
      <c r="B11" s="104" t="s">
        <v>172</v>
      </c>
      <c r="C11" s="106">
        <v>-0.27601900000000001</v>
      </c>
      <c r="D11" s="131">
        <v>0.26517479999999999</v>
      </c>
      <c r="E11" s="132">
        <v>1.88351E-2</v>
      </c>
      <c r="F11" s="132">
        <v>7.3771799999999998E-2</v>
      </c>
      <c r="G11" s="132">
        <v>9.2606900000000006E-2</v>
      </c>
      <c r="H11" s="131">
        <v>0.26652520000000002</v>
      </c>
      <c r="I11" s="132">
        <v>2.1666100000000001E-2</v>
      </c>
      <c r="J11" s="132">
        <v>7.1998000000000006E-2</v>
      </c>
      <c r="K11" s="132">
        <v>9.36641E-2</v>
      </c>
      <c r="L11" s="131">
        <v>0.24832889999999999</v>
      </c>
      <c r="M11" s="132">
        <v>3.4907899999999999E-2</v>
      </c>
      <c r="N11" s="132">
        <v>7.1791400000000005E-2</v>
      </c>
      <c r="O11" s="132">
        <v>0.1066993</v>
      </c>
      <c r="P11" s="131">
        <v>0.33122459999999998</v>
      </c>
      <c r="Q11" s="132">
        <v>3.6829300000000002E-2</v>
      </c>
      <c r="R11" s="132">
        <v>7.5057899999999997E-2</v>
      </c>
      <c r="S11" s="132">
        <v>0.1118871</v>
      </c>
      <c r="T11" s="131">
        <v>0.38626779999999999</v>
      </c>
      <c r="U11" s="132">
        <v>2.6016000000000001E-2</v>
      </c>
      <c r="V11" s="132">
        <v>8.0997899999999998E-2</v>
      </c>
      <c r="W11" s="132">
        <v>0.107014</v>
      </c>
    </row>
    <row r="12" spans="1:23" ht="15" customHeight="1">
      <c r="A12" s="103">
        <v>210004</v>
      </c>
      <c r="B12" s="104" t="s">
        <v>83</v>
      </c>
      <c r="C12" s="106">
        <v>0.40008480000000002</v>
      </c>
      <c r="D12" s="131">
        <v>-0.19248000000000001</v>
      </c>
      <c r="E12" s="132">
        <v>2.4813399999999999E-2</v>
      </c>
      <c r="F12" s="132">
        <v>7.4524499999999994E-2</v>
      </c>
      <c r="G12" s="132">
        <v>9.9337800000000004E-2</v>
      </c>
      <c r="H12" s="131">
        <v>-0.18589700000000001</v>
      </c>
      <c r="I12" s="132">
        <v>1.7272099999999999E-2</v>
      </c>
      <c r="J12" s="132">
        <v>8.0080399999999996E-2</v>
      </c>
      <c r="K12" s="132">
        <v>9.7352499999999995E-2</v>
      </c>
      <c r="L12" s="131">
        <v>-0.18611900000000001</v>
      </c>
      <c r="M12" s="132">
        <v>1.3920800000000001E-2</v>
      </c>
      <c r="N12" s="132">
        <v>8.0798999999999996E-2</v>
      </c>
      <c r="O12" s="132">
        <v>9.4719899999999996E-2</v>
      </c>
      <c r="P12" s="131">
        <v>-0.20571700000000001</v>
      </c>
      <c r="Q12" s="132">
        <v>1.25287E-2</v>
      </c>
      <c r="R12" s="132">
        <v>8.33729E-2</v>
      </c>
      <c r="S12" s="132">
        <v>9.5901500000000001E-2</v>
      </c>
      <c r="T12" s="131">
        <v>-0.22541700000000001</v>
      </c>
      <c r="U12" s="132">
        <v>1.77228E-2</v>
      </c>
      <c r="V12" s="132">
        <v>8.2458100000000006E-2</v>
      </c>
      <c r="W12" s="132">
        <v>0.1001809</v>
      </c>
    </row>
    <row r="13" spans="1:23" ht="15" customHeight="1">
      <c r="A13" s="103">
        <v>210005</v>
      </c>
      <c r="B13" s="104" t="s">
        <v>84</v>
      </c>
      <c r="C13" s="106">
        <v>0.32854230000000001</v>
      </c>
      <c r="D13" s="131">
        <v>-0.51797099999999996</v>
      </c>
      <c r="E13" s="132">
        <v>3.7048400000000002E-2</v>
      </c>
      <c r="F13" s="132">
        <v>7.9899899999999996E-2</v>
      </c>
      <c r="G13" s="132">
        <v>0.11694830000000001</v>
      </c>
      <c r="H13" s="131">
        <v>-0.57107300000000005</v>
      </c>
      <c r="I13" s="132">
        <v>2.681E-2</v>
      </c>
      <c r="J13" s="132">
        <v>7.9615900000000003E-2</v>
      </c>
      <c r="K13" s="132">
        <v>0.1064259</v>
      </c>
      <c r="L13" s="131">
        <v>-0.60965899999999995</v>
      </c>
      <c r="M13" s="132">
        <v>2.8800699999999999E-2</v>
      </c>
      <c r="N13" s="132">
        <v>8.0071900000000001E-2</v>
      </c>
      <c r="O13" s="132">
        <v>0.1088726</v>
      </c>
      <c r="P13" s="131">
        <v>-0.60419199999999995</v>
      </c>
      <c r="Q13" s="132">
        <v>1.22649E-2</v>
      </c>
      <c r="R13" s="132">
        <v>8.6550500000000002E-2</v>
      </c>
      <c r="S13" s="132">
        <v>9.8815399999999998E-2</v>
      </c>
      <c r="T13" s="131">
        <v>-0.60240700000000003</v>
      </c>
      <c r="U13" s="132">
        <v>2.7886500000000002E-2</v>
      </c>
      <c r="V13" s="132">
        <v>8.1247899999999998E-2</v>
      </c>
      <c r="W13" s="132">
        <v>0.10913440000000001</v>
      </c>
    </row>
    <row r="14" spans="1:23" ht="15" customHeight="1">
      <c r="A14" s="103">
        <v>210006</v>
      </c>
      <c r="B14" s="104" t="s">
        <v>85</v>
      </c>
      <c r="C14" s="106">
        <v>-7.8085000000000002E-2</v>
      </c>
      <c r="D14" s="131">
        <v>1.9529999999999999E-2</v>
      </c>
      <c r="E14" s="132">
        <v>2.9353799999999999E-2</v>
      </c>
      <c r="F14" s="132">
        <v>0.10507130000000001</v>
      </c>
      <c r="G14" s="132">
        <v>0.13442509999999999</v>
      </c>
      <c r="H14" s="131">
        <v>-3.2752000000000003E-2</v>
      </c>
      <c r="I14" s="132">
        <v>2.87987E-2</v>
      </c>
      <c r="J14" s="132">
        <v>9.5454300000000006E-2</v>
      </c>
      <c r="K14" s="132">
        <v>0.124253</v>
      </c>
      <c r="L14" s="131">
        <v>-4.2122E-2</v>
      </c>
      <c r="M14" s="132">
        <v>2.4143299999999999E-2</v>
      </c>
      <c r="N14" s="132">
        <v>9.2896199999999998E-2</v>
      </c>
      <c r="O14" s="132">
        <v>0.1170395</v>
      </c>
      <c r="P14" s="131">
        <v>-1.0872E-2</v>
      </c>
      <c r="Q14" s="132">
        <v>2.6202199999999998E-2</v>
      </c>
      <c r="R14" s="132">
        <v>8.9038599999999996E-2</v>
      </c>
      <c r="S14" s="132">
        <v>0.1152408</v>
      </c>
      <c r="T14" s="131">
        <v>-3.2774999999999999E-2</v>
      </c>
      <c r="U14" s="132">
        <v>3.184E-2</v>
      </c>
      <c r="V14" s="132">
        <v>8.8034699999999994E-2</v>
      </c>
      <c r="W14" s="132">
        <v>0.1198747</v>
      </c>
    </row>
    <row r="15" spans="1:23" ht="15" customHeight="1">
      <c r="A15" s="103">
        <v>210008</v>
      </c>
      <c r="B15" s="104" t="s">
        <v>86</v>
      </c>
      <c r="C15" s="106">
        <v>-8.3239999999999998E-3</v>
      </c>
      <c r="D15" s="131">
        <v>0.4713852</v>
      </c>
      <c r="E15" s="132">
        <v>2.3345500000000002E-2</v>
      </c>
      <c r="F15" s="132">
        <v>7.8499899999999997E-2</v>
      </c>
      <c r="G15" s="132">
        <v>0.1018454</v>
      </c>
      <c r="H15" s="131">
        <v>0.45732689999999998</v>
      </c>
      <c r="I15" s="132">
        <v>3.2016999999999997E-2</v>
      </c>
      <c r="J15" s="132">
        <v>7.7331999999999998E-2</v>
      </c>
      <c r="K15" s="132">
        <v>0.109349</v>
      </c>
      <c r="L15" s="131">
        <v>0.44202639999999999</v>
      </c>
      <c r="M15" s="132">
        <v>2.8117400000000001E-2</v>
      </c>
      <c r="N15" s="132">
        <v>7.53799E-2</v>
      </c>
      <c r="O15" s="132">
        <v>0.1034974</v>
      </c>
      <c r="P15" s="131">
        <v>0.38198100000000001</v>
      </c>
      <c r="Q15" s="132">
        <v>2.5683999999999998E-2</v>
      </c>
      <c r="R15" s="132">
        <v>7.5596800000000006E-2</v>
      </c>
      <c r="S15" s="132">
        <v>0.1012808</v>
      </c>
      <c r="T15" s="131">
        <v>0.39922099999999999</v>
      </c>
      <c r="U15" s="132">
        <v>2.3541400000000001E-2</v>
      </c>
      <c r="V15" s="132">
        <v>7.8152700000000005E-2</v>
      </c>
      <c r="W15" s="132">
        <v>0.1016941</v>
      </c>
    </row>
    <row r="16" spans="1:23" ht="15" customHeight="1">
      <c r="A16" s="103">
        <v>210009</v>
      </c>
      <c r="B16" s="104" t="s">
        <v>87</v>
      </c>
      <c r="C16" s="106">
        <v>-0.20342299999999999</v>
      </c>
      <c r="D16" s="131">
        <v>0.13684769999999999</v>
      </c>
      <c r="E16" s="132">
        <v>1.8901000000000001E-2</v>
      </c>
      <c r="F16" s="132">
        <v>9.7783200000000001E-2</v>
      </c>
      <c r="G16" s="132">
        <v>0.1166842</v>
      </c>
      <c r="H16" s="131">
        <v>0.13447899999999999</v>
      </c>
      <c r="I16" s="132">
        <v>2.32664E-2</v>
      </c>
      <c r="J16" s="132">
        <v>9.2236499999999999E-2</v>
      </c>
      <c r="K16" s="132">
        <v>0.11550290000000001</v>
      </c>
      <c r="L16" s="131">
        <v>0.1581516</v>
      </c>
      <c r="M16" s="132">
        <v>2.19127E-2</v>
      </c>
      <c r="N16" s="132">
        <v>9.4652299999999995E-2</v>
      </c>
      <c r="O16" s="132">
        <v>0.116565</v>
      </c>
      <c r="P16" s="131">
        <v>0.20459620000000001</v>
      </c>
      <c r="Q16" s="132">
        <v>2.3339700000000001E-2</v>
      </c>
      <c r="R16" s="132">
        <v>0.104778</v>
      </c>
      <c r="S16" s="132">
        <v>0.1281177</v>
      </c>
      <c r="T16" s="131">
        <v>0.2012912</v>
      </c>
      <c r="U16" s="132">
        <v>2.3727700000000001E-2</v>
      </c>
      <c r="V16" s="132">
        <v>0.1035365</v>
      </c>
      <c r="W16" s="132">
        <v>0.1272643</v>
      </c>
    </row>
    <row r="17" spans="1:23" ht="15" customHeight="1">
      <c r="A17" s="103">
        <v>210011</v>
      </c>
      <c r="B17" s="104" t="s">
        <v>173</v>
      </c>
      <c r="C17" s="106">
        <v>-0.221861</v>
      </c>
      <c r="D17" s="131">
        <v>0.46988619999999998</v>
      </c>
      <c r="E17" s="132">
        <v>2.05668E-2</v>
      </c>
      <c r="F17" s="132">
        <v>8.7843000000000004E-2</v>
      </c>
      <c r="G17" s="132">
        <v>0.1084098</v>
      </c>
      <c r="H17" s="131">
        <v>0.4769021</v>
      </c>
      <c r="I17" s="132">
        <v>2.18497E-2</v>
      </c>
      <c r="J17" s="132">
        <v>7.9838300000000001E-2</v>
      </c>
      <c r="K17" s="132">
        <v>0.1016881</v>
      </c>
      <c r="L17" s="131">
        <v>0.50731769999999998</v>
      </c>
      <c r="M17" s="132">
        <v>2.7449299999999999E-2</v>
      </c>
      <c r="N17" s="132">
        <v>7.3939000000000005E-2</v>
      </c>
      <c r="O17" s="132">
        <v>0.1013883</v>
      </c>
      <c r="P17" s="131">
        <v>0.43252109999999999</v>
      </c>
      <c r="Q17" s="132">
        <v>2.2324E-2</v>
      </c>
      <c r="R17" s="132">
        <v>7.6260400000000006E-2</v>
      </c>
      <c r="S17" s="132">
        <v>9.8584400000000003E-2</v>
      </c>
      <c r="T17" s="131">
        <v>0.40665119999999999</v>
      </c>
      <c r="U17" s="132">
        <v>2.6430800000000001E-2</v>
      </c>
      <c r="V17" s="132">
        <v>7.8260999999999997E-2</v>
      </c>
      <c r="W17" s="132">
        <v>0.1046917</v>
      </c>
    </row>
    <row r="18" spans="1:23" ht="15" customHeight="1">
      <c r="A18" s="103">
        <v>210012</v>
      </c>
      <c r="B18" s="104" t="s">
        <v>88</v>
      </c>
      <c r="C18" s="106">
        <v>0.2953712</v>
      </c>
      <c r="D18" s="131">
        <v>0.65517420000000004</v>
      </c>
      <c r="E18" s="132">
        <v>2.4158800000000001E-2</v>
      </c>
      <c r="F18" s="132">
        <v>8.0601199999999998E-2</v>
      </c>
      <c r="G18" s="132">
        <v>0.10476000000000001</v>
      </c>
      <c r="H18" s="131">
        <v>0.65337679999999998</v>
      </c>
      <c r="I18" s="132">
        <v>1.8526999999999998E-2</v>
      </c>
      <c r="J18" s="132">
        <v>8.4672499999999998E-2</v>
      </c>
      <c r="K18" s="132">
        <v>0.1031995</v>
      </c>
      <c r="L18" s="131">
        <v>0.57713230000000004</v>
      </c>
      <c r="M18" s="132">
        <v>2.0916199999999999E-2</v>
      </c>
      <c r="N18" s="132">
        <v>7.4330499999999994E-2</v>
      </c>
      <c r="O18" s="132">
        <v>9.5246700000000004E-2</v>
      </c>
      <c r="P18" s="131">
        <v>0.56353909999999996</v>
      </c>
      <c r="Q18" s="132">
        <v>2.1224199999999999E-2</v>
      </c>
      <c r="R18" s="132">
        <v>7.5511499999999995E-2</v>
      </c>
      <c r="S18" s="132">
        <v>9.6735699999999994E-2</v>
      </c>
      <c r="T18" s="131">
        <v>0.55365509999999996</v>
      </c>
      <c r="U18" s="132">
        <v>1.8650099999999999E-2</v>
      </c>
      <c r="V18" s="132">
        <v>8.1324499999999994E-2</v>
      </c>
      <c r="W18" s="132">
        <v>9.9974599999999997E-2</v>
      </c>
    </row>
    <row r="19" spans="1:23" ht="15" customHeight="1">
      <c r="A19" s="103">
        <v>210015</v>
      </c>
      <c r="B19" s="104" t="s">
        <v>174</v>
      </c>
      <c r="C19" s="106">
        <v>-0.20128499999999999</v>
      </c>
      <c r="D19" s="131">
        <v>0.27518419999999999</v>
      </c>
      <c r="E19" s="132">
        <v>2.3558900000000001E-2</v>
      </c>
      <c r="F19" s="132">
        <v>8.3666500000000005E-2</v>
      </c>
      <c r="G19" s="132">
        <v>0.1072254</v>
      </c>
      <c r="H19" s="131">
        <v>0.25648870000000001</v>
      </c>
      <c r="I19" s="132">
        <v>1.7803300000000001E-2</v>
      </c>
      <c r="J19" s="132">
        <v>9.0667300000000006E-2</v>
      </c>
      <c r="K19" s="132">
        <v>0.1084706</v>
      </c>
      <c r="L19" s="131">
        <v>0.25442920000000002</v>
      </c>
      <c r="M19" s="132">
        <v>2.39802E-2</v>
      </c>
      <c r="N19" s="132">
        <v>8.5518300000000005E-2</v>
      </c>
      <c r="O19" s="132">
        <v>0.1094985</v>
      </c>
      <c r="P19" s="131">
        <v>0.2506159</v>
      </c>
      <c r="Q19" s="132">
        <v>2.7971699999999999E-2</v>
      </c>
      <c r="R19" s="132">
        <v>9.18466E-2</v>
      </c>
      <c r="S19" s="132">
        <v>0.1198182</v>
      </c>
      <c r="T19" s="131">
        <v>0.2243222</v>
      </c>
      <c r="U19" s="132">
        <v>2.9495899999999999E-2</v>
      </c>
      <c r="V19" s="132">
        <v>9.58899E-2</v>
      </c>
      <c r="W19" s="132">
        <v>0.12538589999999999</v>
      </c>
    </row>
    <row r="20" spans="1:23" ht="15" customHeight="1">
      <c r="A20" s="103">
        <v>210016</v>
      </c>
      <c r="B20" s="104" t="s">
        <v>89</v>
      </c>
      <c r="C20" s="106">
        <v>-0.23861599999999999</v>
      </c>
      <c r="D20" s="131">
        <v>-0.104644</v>
      </c>
      <c r="E20" s="132">
        <v>1.7450500000000001E-2</v>
      </c>
      <c r="F20" s="132">
        <v>8.1715899999999994E-2</v>
      </c>
      <c r="G20" s="132">
        <v>9.9166400000000002E-2</v>
      </c>
      <c r="H20" s="131">
        <v>-0.173849</v>
      </c>
      <c r="I20" s="132">
        <v>2.96107E-2</v>
      </c>
      <c r="J20" s="132">
        <v>7.9617999999999994E-2</v>
      </c>
      <c r="K20" s="132">
        <v>0.1092287</v>
      </c>
      <c r="L20" s="131">
        <v>-0.109222</v>
      </c>
      <c r="M20" s="132">
        <v>1.10262E-2</v>
      </c>
      <c r="N20" s="132">
        <v>7.8673099999999996E-2</v>
      </c>
      <c r="O20" s="132">
        <v>8.9699399999999999E-2</v>
      </c>
      <c r="P20" s="131">
        <v>-4.1142999999999999E-2</v>
      </c>
      <c r="Q20" s="132">
        <v>2.40754E-2</v>
      </c>
      <c r="R20" s="132">
        <v>7.44731E-2</v>
      </c>
      <c r="S20" s="132">
        <v>9.8548499999999997E-2</v>
      </c>
      <c r="T20" s="131">
        <v>4.8415999999999997E-3</v>
      </c>
      <c r="U20" s="132">
        <v>2.2919499999999999E-2</v>
      </c>
      <c r="V20" s="132">
        <v>7.7872700000000003E-2</v>
      </c>
      <c r="W20" s="132">
        <v>0.1007921</v>
      </c>
    </row>
    <row r="21" spans="1:23" ht="15" customHeight="1">
      <c r="A21" s="103">
        <v>210017</v>
      </c>
      <c r="B21" s="104" t="s">
        <v>90</v>
      </c>
      <c r="C21" s="106">
        <v>-3.0003999999999999E-2</v>
      </c>
      <c r="D21" s="131">
        <v>0.45433259999999998</v>
      </c>
      <c r="E21" s="132">
        <v>1.46128E-2</v>
      </c>
      <c r="F21" s="132">
        <v>5.0887700000000001E-2</v>
      </c>
      <c r="G21" s="132">
        <v>6.5500600000000006E-2</v>
      </c>
      <c r="H21" s="131">
        <v>0.4583545</v>
      </c>
      <c r="I21" s="132">
        <v>1.7132000000000001E-2</v>
      </c>
      <c r="J21" s="132">
        <v>5.24115E-2</v>
      </c>
      <c r="K21" s="132">
        <v>6.9543499999999994E-2</v>
      </c>
      <c r="L21" s="131">
        <v>0.4431947</v>
      </c>
      <c r="M21" s="132">
        <v>1.4091100000000001E-2</v>
      </c>
      <c r="N21" s="132">
        <v>4.5379099999999999E-2</v>
      </c>
      <c r="O21" s="132">
        <v>5.9470200000000001E-2</v>
      </c>
      <c r="P21" s="131">
        <v>0.47612939999999998</v>
      </c>
      <c r="Q21" s="132">
        <v>1.3774399999999999E-2</v>
      </c>
      <c r="R21" s="132">
        <v>4.3327200000000003E-2</v>
      </c>
      <c r="S21" s="132">
        <v>5.7101499999999999E-2</v>
      </c>
      <c r="T21" s="131">
        <v>0.45138679999999998</v>
      </c>
      <c r="U21" s="132">
        <v>1.50648E-2</v>
      </c>
      <c r="V21" s="132">
        <v>5.3742499999999999E-2</v>
      </c>
      <c r="W21" s="132">
        <v>6.8807300000000002E-2</v>
      </c>
    </row>
    <row r="22" spans="1:23" ht="15" customHeight="1">
      <c r="A22" s="103">
        <v>210018</v>
      </c>
      <c r="B22" s="104" t="s">
        <v>91</v>
      </c>
      <c r="C22" s="106">
        <v>-0.25433099999999997</v>
      </c>
      <c r="D22" s="131">
        <v>-0.50385899999999995</v>
      </c>
      <c r="E22" s="132">
        <v>2.97282E-2</v>
      </c>
      <c r="F22" s="132">
        <v>8.1938800000000006E-2</v>
      </c>
      <c r="G22" s="132">
        <v>0.1116669</v>
      </c>
      <c r="H22" s="131">
        <v>-0.50332500000000002</v>
      </c>
      <c r="I22" s="132">
        <v>2.7720000000000002E-2</v>
      </c>
      <c r="J22" s="132">
        <v>7.6037300000000002E-2</v>
      </c>
      <c r="K22" s="132">
        <v>0.1037573</v>
      </c>
      <c r="L22" s="131">
        <v>-0.51596900000000001</v>
      </c>
      <c r="M22" s="132">
        <v>3.3976899999999997E-2</v>
      </c>
      <c r="N22" s="132">
        <v>6.8758200000000005E-2</v>
      </c>
      <c r="O22" s="132">
        <v>0.1027351</v>
      </c>
      <c r="P22" s="131">
        <v>-0.55197099999999999</v>
      </c>
      <c r="Q22" s="132">
        <v>3.1775699999999997E-2</v>
      </c>
      <c r="R22" s="132">
        <v>7.5465699999999997E-2</v>
      </c>
      <c r="S22" s="132">
        <v>0.1072414</v>
      </c>
      <c r="T22" s="131">
        <v>-0.55610199999999999</v>
      </c>
      <c r="U22" s="132">
        <v>3.9867800000000002E-2</v>
      </c>
      <c r="V22" s="132">
        <v>8.7056300000000003E-2</v>
      </c>
      <c r="W22" s="132">
        <v>0.12692410000000001</v>
      </c>
    </row>
    <row r="23" spans="1:23" ht="15" customHeight="1">
      <c r="A23" s="103">
        <v>210019</v>
      </c>
      <c r="B23" s="104" t="s">
        <v>92</v>
      </c>
      <c r="C23" s="106">
        <v>0.32985599999999998</v>
      </c>
      <c r="D23" s="131">
        <v>0.4649819</v>
      </c>
      <c r="E23" s="132">
        <v>3.09018E-2</v>
      </c>
      <c r="F23" s="132">
        <v>7.2188600000000006E-2</v>
      </c>
      <c r="G23" s="132">
        <v>0.1030904</v>
      </c>
      <c r="H23" s="131">
        <v>0.43873659999999998</v>
      </c>
      <c r="I23" s="132">
        <v>2.4456200000000001E-2</v>
      </c>
      <c r="J23" s="132">
        <v>7.08125E-2</v>
      </c>
      <c r="K23" s="132">
        <v>9.5268699999999998E-2</v>
      </c>
      <c r="L23" s="131">
        <v>0.43311149999999998</v>
      </c>
      <c r="M23" s="132">
        <v>1.9792799999999999E-2</v>
      </c>
      <c r="N23" s="132">
        <v>6.7656099999999997E-2</v>
      </c>
      <c r="O23" s="132">
        <v>8.7448899999999996E-2</v>
      </c>
      <c r="P23" s="131">
        <v>0.43310179999999998</v>
      </c>
      <c r="Q23" s="132">
        <v>2.31547E-2</v>
      </c>
      <c r="R23" s="132">
        <v>6.5134800000000007E-2</v>
      </c>
      <c r="S23" s="132">
        <v>8.8289599999999996E-2</v>
      </c>
      <c r="T23" s="131">
        <v>0.3800075</v>
      </c>
      <c r="U23" s="132">
        <v>2.3237000000000001E-2</v>
      </c>
      <c r="V23" s="132">
        <v>7.3753600000000002E-2</v>
      </c>
      <c r="W23" s="132">
        <v>9.6990499999999993E-2</v>
      </c>
    </row>
    <row r="24" spans="1:23" ht="15" customHeight="1">
      <c r="A24" s="103">
        <v>210022</v>
      </c>
      <c r="B24" s="104" t="s">
        <v>93</v>
      </c>
      <c r="C24" s="106">
        <v>-0.27493200000000001</v>
      </c>
      <c r="D24" s="131">
        <v>-0.89676999999999996</v>
      </c>
      <c r="E24" s="132">
        <v>2.9924800000000001E-2</v>
      </c>
      <c r="F24" s="132">
        <v>7.7692700000000003E-2</v>
      </c>
      <c r="G24" s="132">
        <v>0.1076175</v>
      </c>
      <c r="H24" s="131">
        <v>-0.86892899999999995</v>
      </c>
      <c r="I24" s="132">
        <v>3.0393900000000001E-2</v>
      </c>
      <c r="J24" s="132">
        <v>7.8738600000000006E-2</v>
      </c>
      <c r="K24" s="132">
        <v>0.10913249999999999</v>
      </c>
      <c r="L24" s="131">
        <v>-0.83971799999999996</v>
      </c>
      <c r="M24" s="132">
        <v>4.0625500000000002E-2</v>
      </c>
      <c r="N24" s="132">
        <v>7.4027300000000004E-2</v>
      </c>
      <c r="O24" s="132">
        <v>0.1146528</v>
      </c>
      <c r="P24" s="131">
        <v>-0.84589499999999995</v>
      </c>
      <c r="Q24" s="132">
        <v>3.66748E-2</v>
      </c>
      <c r="R24" s="132">
        <v>7.57636E-2</v>
      </c>
      <c r="S24" s="132">
        <v>0.11243839999999999</v>
      </c>
      <c r="T24" s="131">
        <v>-0.86316300000000001</v>
      </c>
      <c r="U24" s="132">
        <v>4.1271700000000001E-2</v>
      </c>
      <c r="V24" s="132">
        <v>8.4798700000000005E-2</v>
      </c>
      <c r="W24" s="132">
        <v>0.1260703</v>
      </c>
    </row>
    <row r="25" spans="1:23" ht="15" customHeight="1">
      <c r="A25" s="103">
        <v>210023</v>
      </c>
      <c r="B25" s="104" t="s">
        <v>94</v>
      </c>
      <c r="C25" s="106">
        <v>-1.8370000000000001E-3</v>
      </c>
      <c r="D25" s="131">
        <v>-0.60890900000000003</v>
      </c>
      <c r="E25" s="132">
        <v>2.8820999999999999E-2</v>
      </c>
      <c r="F25" s="132">
        <v>8.4528900000000004E-2</v>
      </c>
      <c r="G25" s="132">
        <v>0.1133499</v>
      </c>
      <c r="H25" s="131">
        <v>-0.61835200000000001</v>
      </c>
      <c r="I25" s="132">
        <v>2.7562300000000001E-2</v>
      </c>
      <c r="J25" s="132">
        <v>8.6966399999999999E-2</v>
      </c>
      <c r="K25" s="132">
        <v>0.1145287</v>
      </c>
      <c r="L25" s="131">
        <v>-0.650285</v>
      </c>
      <c r="M25" s="132">
        <v>2.7946499999999999E-2</v>
      </c>
      <c r="N25" s="132">
        <v>8.7712600000000002E-2</v>
      </c>
      <c r="O25" s="132">
        <v>0.1156591</v>
      </c>
      <c r="P25" s="131">
        <v>-0.65985899999999997</v>
      </c>
      <c r="Q25" s="132">
        <v>1.74009E-2</v>
      </c>
      <c r="R25" s="132">
        <v>8.7894100000000003E-2</v>
      </c>
      <c r="S25" s="132">
        <v>0.105295</v>
      </c>
      <c r="T25" s="131">
        <v>-0.67325999999999997</v>
      </c>
      <c r="U25" s="132">
        <v>2.8874E-2</v>
      </c>
      <c r="V25" s="132">
        <v>8.2118300000000005E-2</v>
      </c>
      <c r="W25" s="132">
        <v>0.1109923</v>
      </c>
    </row>
    <row r="26" spans="1:23" ht="15" customHeight="1">
      <c r="A26" s="103">
        <v>210024</v>
      </c>
      <c r="B26" s="104" t="s">
        <v>175</v>
      </c>
      <c r="C26" s="106">
        <v>-0.216414</v>
      </c>
      <c r="D26" s="131">
        <v>0.64132999999999996</v>
      </c>
      <c r="E26" s="132">
        <v>2.7444300000000001E-2</v>
      </c>
      <c r="F26" s="132">
        <v>8.3823099999999998E-2</v>
      </c>
      <c r="G26" s="132">
        <v>0.1112674</v>
      </c>
      <c r="H26" s="131">
        <v>0.6367718</v>
      </c>
      <c r="I26" s="132">
        <v>3.0560799999999999E-2</v>
      </c>
      <c r="J26" s="132">
        <v>8.4295300000000004E-2</v>
      </c>
      <c r="K26" s="132">
        <v>0.1148561</v>
      </c>
      <c r="L26" s="131">
        <v>0.60121740000000001</v>
      </c>
      <c r="M26" s="132">
        <v>3.024E-2</v>
      </c>
      <c r="N26" s="132">
        <v>7.8189300000000003E-2</v>
      </c>
      <c r="O26" s="132">
        <v>0.10842930000000001</v>
      </c>
      <c r="P26" s="131">
        <v>0.48699229999999999</v>
      </c>
      <c r="Q26" s="132">
        <v>2.39487E-2</v>
      </c>
      <c r="R26" s="132">
        <v>7.7252000000000001E-2</v>
      </c>
      <c r="S26" s="132">
        <v>0.1012007</v>
      </c>
      <c r="T26" s="131">
        <v>0.48640099999999997</v>
      </c>
      <c r="U26" s="132">
        <v>3.5024E-2</v>
      </c>
      <c r="V26" s="132">
        <v>7.3747699999999999E-2</v>
      </c>
      <c r="W26" s="132">
        <v>0.1087717</v>
      </c>
    </row>
    <row r="27" spans="1:23" ht="15" customHeight="1">
      <c r="A27" s="103">
        <v>210027</v>
      </c>
      <c r="B27" s="104" t="s">
        <v>176</v>
      </c>
      <c r="C27" s="106">
        <v>0.25899159999999999</v>
      </c>
      <c r="D27" s="131">
        <v>0.75587570000000004</v>
      </c>
      <c r="E27" s="132">
        <v>3.2224599999999999E-2</v>
      </c>
      <c r="F27" s="132">
        <v>6.8857500000000002E-2</v>
      </c>
      <c r="G27" s="132">
        <v>0.10108209999999999</v>
      </c>
      <c r="H27" s="131">
        <v>0.75084669999999998</v>
      </c>
      <c r="I27" s="132">
        <v>2.61248E-2</v>
      </c>
      <c r="J27" s="132">
        <v>6.3424400000000006E-2</v>
      </c>
      <c r="K27" s="132">
        <v>8.9549100000000006E-2</v>
      </c>
      <c r="L27" s="131">
        <v>0.74023810000000001</v>
      </c>
      <c r="M27" s="132">
        <v>2.5294299999999999E-2</v>
      </c>
      <c r="N27" s="132">
        <v>6.7181199999999996E-2</v>
      </c>
      <c r="O27" s="132">
        <v>9.2475500000000002E-2</v>
      </c>
      <c r="P27" s="131">
        <v>0.75431300000000001</v>
      </c>
      <c r="Q27" s="132">
        <v>3.04216E-2</v>
      </c>
      <c r="R27" s="132">
        <v>7.2017899999999996E-2</v>
      </c>
      <c r="S27" s="132">
        <v>0.1024395</v>
      </c>
      <c r="T27" s="131">
        <v>0.7399135</v>
      </c>
      <c r="U27" s="132">
        <v>2.55956E-2</v>
      </c>
      <c r="V27" s="132">
        <v>7.0145299999999994E-2</v>
      </c>
      <c r="W27" s="132">
        <v>9.5740900000000004E-2</v>
      </c>
    </row>
    <row r="28" spans="1:23" ht="15" customHeight="1">
      <c r="A28" s="103">
        <v>210028</v>
      </c>
      <c r="B28" s="104" t="s">
        <v>177</v>
      </c>
      <c r="C28" s="106">
        <v>-0.10305300000000001</v>
      </c>
      <c r="D28" s="131">
        <v>-0.33120899999999998</v>
      </c>
      <c r="E28" s="132">
        <v>3.56934E-2</v>
      </c>
      <c r="F28" s="132">
        <v>8.45669E-2</v>
      </c>
      <c r="G28" s="132">
        <v>0.1202603</v>
      </c>
      <c r="H28" s="131">
        <v>-0.33984300000000001</v>
      </c>
      <c r="I28" s="132">
        <v>4.15238E-2</v>
      </c>
      <c r="J28" s="132">
        <v>8.1547400000000006E-2</v>
      </c>
      <c r="K28" s="132">
        <v>0.12307120000000001</v>
      </c>
      <c r="L28" s="131">
        <v>-0.34525299999999998</v>
      </c>
      <c r="M28" s="132">
        <v>3.4175200000000003E-2</v>
      </c>
      <c r="N28" s="132">
        <v>7.4884800000000001E-2</v>
      </c>
      <c r="O28" s="132">
        <v>0.10906009999999999</v>
      </c>
      <c r="P28" s="131">
        <v>-0.33440999999999999</v>
      </c>
      <c r="Q28" s="132">
        <v>3.3482400000000002E-2</v>
      </c>
      <c r="R28" s="132">
        <v>7.5419299999999995E-2</v>
      </c>
      <c r="S28" s="132">
        <v>0.10890180000000001</v>
      </c>
      <c r="T28" s="131">
        <v>-0.335756</v>
      </c>
      <c r="U28" s="132">
        <v>3.9794400000000001E-2</v>
      </c>
      <c r="V28" s="132">
        <v>7.7274499999999996E-2</v>
      </c>
      <c r="W28" s="132">
        <v>0.1170689</v>
      </c>
    </row>
    <row r="29" spans="1:23" ht="15" customHeight="1">
      <c r="A29" s="103">
        <v>210029</v>
      </c>
      <c r="B29" s="104" t="s">
        <v>178</v>
      </c>
      <c r="C29" s="106">
        <v>-0.26389000000000001</v>
      </c>
      <c r="D29" s="131">
        <v>0.4000089</v>
      </c>
      <c r="E29" s="132">
        <v>2.4699599999999999E-2</v>
      </c>
      <c r="F29" s="132">
        <v>8.9975600000000003E-2</v>
      </c>
      <c r="G29" s="132">
        <v>0.1146752</v>
      </c>
      <c r="H29" s="131">
        <v>0.40323419999999999</v>
      </c>
      <c r="I29" s="132">
        <v>2.7375699999999999E-2</v>
      </c>
      <c r="J29" s="132">
        <v>9.4638200000000006E-2</v>
      </c>
      <c r="K29" s="132">
        <v>0.12201389999999999</v>
      </c>
      <c r="L29" s="131">
        <v>0.43898179999999998</v>
      </c>
      <c r="M29" s="132">
        <v>2.8334399999999999E-2</v>
      </c>
      <c r="N29" s="132">
        <v>9.0264800000000006E-2</v>
      </c>
      <c r="O29" s="132">
        <v>0.1185992</v>
      </c>
      <c r="P29" s="131">
        <v>0.46622849999999999</v>
      </c>
      <c r="Q29" s="132">
        <v>2.9439799999999999E-2</v>
      </c>
      <c r="R29" s="132">
        <v>9.6793799999999999E-2</v>
      </c>
      <c r="S29" s="132">
        <v>0.1262336</v>
      </c>
      <c r="T29" s="131">
        <v>0.47584939999999998</v>
      </c>
      <c r="U29" s="132">
        <v>3.3554199999999999E-2</v>
      </c>
      <c r="V29" s="132">
        <v>9.6083199999999994E-2</v>
      </c>
      <c r="W29" s="132">
        <v>0.12963740000000001</v>
      </c>
    </row>
    <row r="30" spans="1:23" ht="15" customHeight="1">
      <c r="A30" s="103">
        <v>210030</v>
      </c>
      <c r="B30" s="104" t="s">
        <v>95</v>
      </c>
      <c r="C30" s="106">
        <v>-0.124499</v>
      </c>
      <c r="D30" s="131">
        <v>-0.25348199999999999</v>
      </c>
      <c r="E30" s="132">
        <v>1.93405E-2</v>
      </c>
      <c r="F30" s="132">
        <v>6.7935200000000001E-2</v>
      </c>
      <c r="G30" s="132">
        <v>8.7275699999999998E-2</v>
      </c>
      <c r="H30" s="131">
        <v>-0.26024799999999998</v>
      </c>
      <c r="I30" s="132">
        <v>2.03289E-2</v>
      </c>
      <c r="J30" s="132">
        <v>6.4257499999999995E-2</v>
      </c>
      <c r="K30" s="132">
        <v>8.4586400000000006E-2</v>
      </c>
      <c r="L30" s="131">
        <v>-0.14190900000000001</v>
      </c>
      <c r="M30" s="132">
        <v>2.20337E-2</v>
      </c>
      <c r="N30" s="132">
        <v>6.4283900000000005E-2</v>
      </c>
      <c r="O30" s="132">
        <v>8.6317699999999997E-2</v>
      </c>
      <c r="P30" s="131">
        <v>-1.6563999999999999E-2</v>
      </c>
      <c r="Q30" s="132">
        <v>2.1328E-2</v>
      </c>
      <c r="R30" s="132">
        <v>5.9069200000000002E-2</v>
      </c>
      <c r="S30" s="132">
        <v>8.0397300000000005E-2</v>
      </c>
      <c r="T30" s="131">
        <v>-0.10523200000000001</v>
      </c>
      <c r="U30" s="132">
        <v>2.2090800000000001E-2</v>
      </c>
      <c r="V30" s="132">
        <v>6.0789599999999999E-2</v>
      </c>
      <c r="W30" s="132">
        <v>8.2880400000000007E-2</v>
      </c>
    </row>
    <row r="31" spans="1:23" ht="15" customHeight="1">
      <c r="A31" s="103">
        <v>210032</v>
      </c>
      <c r="B31" s="104" t="s">
        <v>96</v>
      </c>
      <c r="C31" s="106">
        <v>-9.9260000000000001E-2</v>
      </c>
      <c r="D31" s="131">
        <v>-0.118468</v>
      </c>
      <c r="E31" s="132">
        <v>2.66395E-2</v>
      </c>
      <c r="F31" s="132">
        <v>9.50574E-2</v>
      </c>
      <c r="G31" s="132">
        <v>0.121697</v>
      </c>
      <c r="H31" s="131">
        <v>-3.8838999999999999E-2</v>
      </c>
      <c r="I31" s="132">
        <v>3.0047399999999998E-2</v>
      </c>
      <c r="J31" s="132">
        <v>7.8345600000000001E-2</v>
      </c>
      <c r="K31" s="132">
        <v>0.108393</v>
      </c>
      <c r="L31" s="131">
        <v>-1.0238000000000001E-2</v>
      </c>
      <c r="M31" s="132">
        <v>2.3758700000000001E-2</v>
      </c>
      <c r="N31" s="132">
        <v>8.2674800000000007E-2</v>
      </c>
      <c r="O31" s="132">
        <v>0.1064336</v>
      </c>
      <c r="P31" s="131">
        <v>3.3049599999999998E-2</v>
      </c>
      <c r="Q31" s="132">
        <v>2.9145399999999998E-2</v>
      </c>
      <c r="R31" s="132">
        <v>8.0651399999999998E-2</v>
      </c>
      <c r="S31" s="132">
        <v>0.1097968</v>
      </c>
      <c r="T31" s="131">
        <v>1.43442E-2</v>
      </c>
      <c r="U31" s="132">
        <v>2.9575199999999999E-2</v>
      </c>
      <c r="V31" s="132">
        <v>7.6873499999999997E-2</v>
      </c>
      <c r="W31" s="132">
        <v>0.1064486</v>
      </c>
    </row>
    <row r="32" spans="1:23" ht="15" customHeight="1">
      <c r="A32" s="103">
        <v>210033</v>
      </c>
      <c r="B32" s="104" t="s">
        <v>97</v>
      </c>
      <c r="C32" s="106">
        <v>-0.33226299999999998</v>
      </c>
      <c r="D32" s="131">
        <v>-0.54744999999999999</v>
      </c>
      <c r="E32" s="132">
        <v>3.1822599999999999E-2</v>
      </c>
      <c r="F32" s="132">
        <v>8.5030599999999998E-2</v>
      </c>
      <c r="G32" s="132">
        <v>0.1168532</v>
      </c>
      <c r="H32" s="131">
        <v>-0.586391</v>
      </c>
      <c r="I32" s="132">
        <v>3.23897E-2</v>
      </c>
      <c r="J32" s="132">
        <v>7.5505000000000003E-2</v>
      </c>
      <c r="K32" s="132">
        <v>0.1078947</v>
      </c>
      <c r="L32" s="131">
        <v>-0.57301100000000005</v>
      </c>
      <c r="M32" s="132">
        <v>2.8188399999999999E-2</v>
      </c>
      <c r="N32" s="132">
        <v>7.4949500000000002E-2</v>
      </c>
      <c r="O32" s="132">
        <v>0.10313799999999999</v>
      </c>
      <c r="P32" s="131">
        <v>-0.57193400000000005</v>
      </c>
      <c r="Q32" s="132">
        <v>4.4654199999999998E-2</v>
      </c>
      <c r="R32" s="132">
        <v>8.6457400000000004E-2</v>
      </c>
      <c r="S32" s="132">
        <v>0.13111159999999999</v>
      </c>
      <c r="T32" s="131">
        <v>-0.56048100000000001</v>
      </c>
      <c r="U32" s="132">
        <v>4.7657400000000003E-2</v>
      </c>
      <c r="V32" s="132">
        <v>8.3337499999999995E-2</v>
      </c>
      <c r="W32" s="132">
        <v>0.1309949</v>
      </c>
    </row>
    <row r="33" spans="1:23" ht="15" customHeight="1">
      <c r="A33" s="103">
        <v>210034</v>
      </c>
      <c r="B33" s="104" t="s">
        <v>98</v>
      </c>
      <c r="C33" s="106">
        <v>-0.351914</v>
      </c>
      <c r="D33" s="131">
        <v>0.5403095</v>
      </c>
      <c r="E33" s="132">
        <v>1.8469099999999999E-2</v>
      </c>
      <c r="F33" s="132">
        <v>9.7188800000000006E-2</v>
      </c>
      <c r="G33" s="132">
        <v>0.11565789999999999</v>
      </c>
      <c r="H33" s="131">
        <v>0.5388984</v>
      </c>
      <c r="I33" s="132">
        <v>2.85989E-2</v>
      </c>
      <c r="J33" s="132">
        <v>9.6627900000000003E-2</v>
      </c>
      <c r="K33" s="132">
        <v>0.1252268</v>
      </c>
      <c r="L33" s="131">
        <v>0.64746729999999997</v>
      </c>
      <c r="M33" s="132">
        <v>2.7003900000000001E-2</v>
      </c>
      <c r="N33" s="132">
        <v>0.10206179999999999</v>
      </c>
      <c r="O33" s="132">
        <v>0.12906580000000001</v>
      </c>
      <c r="P33" s="131">
        <v>0.65067260000000005</v>
      </c>
      <c r="Q33" s="132">
        <v>1.23473E-2</v>
      </c>
      <c r="R33" s="132">
        <v>0.10247199999999999</v>
      </c>
      <c r="S33" s="132">
        <v>0.1148193</v>
      </c>
      <c r="T33" s="131">
        <v>0.60163889999999998</v>
      </c>
      <c r="U33" s="132">
        <v>2.84979E-2</v>
      </c>
      <c r="V33" s="132">
        <v>9.7920499999999994E-2</v>
      </c>
      <c r="W33" s="132">
        <v>0.12641839999999999</v>
      </c>
    </row>
    <row r="34" spans="1:23" ht="15" customHeight="1">
      <c r="A34" s="103">
        <v>210035</v>
      </c>
      <c r="B34" s="104" t="s">
        <v>99</v>
      </c>
      <c r="C34" s="106">
        <v>-0.12002699999999999</v>
      </c>
      <c r="D34" s="131">
        <v>-0.172983</v>
      </c>
      <c r="E34" s="132">
        <v>2.0165700000000002E-2</v>
      </c>
      <c r="F34" s="132">
        <v>7.6517600000000005E-2</v>
      </c>
      <c r="G34" s="132">
        <v>9.66833E-2</v>
      </c>
      <c r="H34" s="131">
        <v>-0.20452899999999999</v>
      </c>
      <c r="I34" s="132">
        <v>1.8987899999999999E-2</v>
      </c>
      <c r="J34" s="132">
        <v>7.5776499999999997E-2</v>
      </c>
      <c r="K34" s="132">
        <v>9.4764500000000002E-2</v>
      </c>
      <c r="L34" s="131">
        <v>-0.243979</v>
      </c>
      <c r="M34" s="132">
        <v>1.23467E-2</v>
      </c>
      <c r="N34" s="132">
        <v>7.9183199999999995E-2</v>
      </c>
      <c r="O34" s="132">
        <v>9.1529899999999997E-2</v>
      </c>
      <c r="P34" s="131">
        <v>-0.24701400000000001</v>
      </c>
      <c r="Q34" s="132">
        <v>1.9204700000000002E-2</v>
      </c>
      <c r="R34" s="132">
        <v>7.7827099999999996E-2</v>
      </c>
      <c r="S34" s="132">
        <v>9.7031800000000001E-2</v>
      </c>
      <c r="T34" s="131">
        <v>-0.23293800000000001</v>
      </c>
      <c r="U34" s="132">
        <v>2.2916300000000001E-2</v>
      </c>
      <c r="V34" s="132">
        <v>7.8335500000000002E-2</v>
      </c>
      <c r="W34" s="132">
        <v>0.1012518</v>
      </c>
    </row>
    <row r="35" spans="1:23" ht="15" customHeight="1">
      <c r="A35" s="103">
        <v>210037</v>
      </c>
      <c r="B35" s="104" t="s">
        <v>100</v>
      </c>
      <c r="C35" s="106">
        <v>-4.9353000000000001E-2</v>
      </c>
      <c r="D35" s="131">
        <v>6.8004200000000001E-2</v>
      </c>
      <c r="E35" s="132">
        <v>1.6840299999999999E-2</v>
      </c>
      <c r="F35" s="132">
        <v>6.9372199999999995E-2</v>
      </c>
      <c r="G35" s="132">
        <v>8.6212499999999997E-2</v>
      </c>
      <c r="H35" s="131">
        <v>6.7330100000000004E-2</v>
      </c>
      <c r="I35" s="132">
        <v>1.8851E-2</v>
      </c>
      <c r="J35" s="132">
        <v>6.6754300000000003E-2</v>
      </c>
      <c r="K35" s="132">
        <v>8.5605299999999995E-2</v>
      </c>
      <c r="L35" s="131">
        <v>4.5047000000000004E-3</v>
      </c>
      <c r="M35" s="132">
        <v>1.15464E-2</v>
      </c>
      <c r="N35" s="132">
        <v>5.8722200000000002E-2</v>
      </c>
      <c r="O35" s="132">
        <v>7.0268600000000001E-2</v>
      </c>
      <c r="P35" s="131">
        <v>2.2883000000000001E-2</v>
      </c>
      <c r="Q35" s="132">
        <v>1.03862E-2</v>
      </c>
      <c r="R35" s="132">
        <v>6.2871499999999997E-2</v>
      </c>
      <c r="S35" s="132">
        <v>7.3257699999999995E-2</v>
      </c>
      <c r="T35" s="131">
        <v>-1.2248E-2</v>
      </c>
      <c r="U35" s="132">
        <v>1.77146E-2</v>
      </c>
      <c r="V35" s="132">
        <v>6.4196500000000004E-2</v>
      </c>
      <c r="W35" s="132">
        <v>8.1911100000000001E-2</v>
      </c>
    </row>
    <row r="36" spans="1:23" ht="15" customHeight="1">
      <c r="A36" s="103">
        <v>210038</v>
      </c>
      <c r="B36" s="104" t="s">
        <v>179</v>
      </c>
      <c r="C36" s="106">
        <v>0.48545270000000001</v>
      </c>
      <c r="D36" s="131">
        <v>1.1094326999999999</v>
      </c>
      <c r="E36" s="132">
        <v>2.0226899999999999E-2</v>
      </c>
      <c r="F36" s="132">
        <v>9.0991699999999995E-2</v>
      </c>
      <c r="G36" s="132">
        <v>0.1112185</v>
      </c>
      <c r="H36" s="131">
        <v>1.0696327999999999</v>
      </c>
      <c r="I36" s="132">
        <v>1.84694E-2</v>
      </c>
      <c r="J36" s="132">
        <v>8.96845E-2</v>
      </c>
      <c r="K36" s="132">
        <v>0.1081539</v>
      </c>
      <c r="L36" s="131">
        <v>1.1680727</v>
      </c>
      <c r="M36" s="132">
        <v>2.2081E-2</v>
      </c>
      <c r="N36" s="132">
        <v>9.6776600000000004E-2</v>
      </c>
      <c r="O36" s="132">
        <v>0.1188575</v>
      </c>
      <c r="P36" s="131">
        <v>1.2153217000000001</v>
      </c>
      <c r="Q36" s="132">
        <v>1.6452000000000001E-2</v>
      </c>
      <c r="R36" s="132">
        <v>0.1068769</v>
      </c>
      <c r="S36" s="132">
        <v>0.12332890000000001</v>
      </c>
      <c r="T36" s="131">
        <v>1.2512436</v>
      </c>
      <c r="U36" s="132">
        <v>1.36166E-2</v>
      </c>
      <c r="V36" s="132">
        <v>0.1042559</v>
      </c>
      <c r="W36" s="132">
        <v>0.11787259999999999</v>
      </c>
    </row>
    <row r="37" spans="1:23" ht="15" customHeight="1">
      <c r="A37" s="103">
        <v>210039</v>
      </c>
      <c r="B37" s="104" t="s">
        <v>101</v>
      </c>
      <c r="C37" s="106">
        <v>0.24061199999999999</v>
      </c>
      <c r="D37" s="131">
        <v>-0.51441599999999998</v>
      </c>
      <c r="E37" s="132">
        <v>2.5329500000000001E-2</v>
      </c>
      <c r="F37" s="132">
        <v>7.7351799999999998E-2</v>
      </c>
      <c r="G37" s="132">
        <v>0.10268140000000001</v>
      </c>
      <c r="H37" s="131">
        <v>-0.54248099999999999</v>
      </c>
      <c r="I37" s="132">
        <v>2.7325599999999999E-2</v>
      </c>
      <c r="J37" s="132">
        <v>8.2561499999999996E-2</v>
      </c>
      <c r="K37" s="132">
        <v>0.1098871</v>
      </c>
      <c r="L37" s="131">
        <v>-0.54405199999999998</v>
      </c>
      <c r="M37" s="132">
        <v>3.1010699999999999E-2</v>
      </c>
      <c r="N37" s="132">
        <v>7.4914300000000003E-2</v>
      </c>
      <c r="O37" s="132">
        <v>0.10592500000000001</v>
      </c>
      <c r="P37" s="131">
        <v>-0.51600599999999996</v>
      </c>
      <c r="Q37" s="132">
        <v>3.2370000000000003E-2</v>
      </c>
      <c r="R37" s="132">
        <v>8.3968799999999996E-2</v>
      </c>
      <c r="S37" s="132">
        <v>0.11633880000000001</v>
      </c>
      <c r="T37" s="131">
        <v>-0.51815599999999995</v>
      </c>
      <c r="U37" s="132">
        <v>2.0417000000000001E-2</v>
      </c>
      <c r="V37" s="132">
        <v>8.3440200000000006E-2</v>
      </c>
      <c r="W37" s="132">
        <v>0.1038572</v>
      </c>
    </row>
    <row r="38" spans="1:23" ht="15" customHeight="1">
      <c r="A38" s="103">
        <v>210040</v>
      </c>
      <c r="B38" s="104" t="s">
        <v>102</v>
      </c>
      <c r="C38" s="106">
        <v>-0.22598399999999999</v>
      </c>
      <c r="D38" s="131">
        <v>0.45169490000000001</v>
      </c>
      <c r="E38" s="132">
        <v>2.85592E-2</v>
      </c>
      <c r="F38" s="132">
        <v>8.9326900000000001E-2</v>
      </c>
      <c r="G38" s="132">
        <v>0.11788609999999999</v>
      </c>
      <c r="H38" s="131">
        <v>0.48527120000000001</v>
      </c>
      <c r="I38" s="132">
        <v>2.0363599999999999E-2</v>
      </c>
      <c r="J38" s="132">
        <v>8.4693900000000003E-2</v>
      </c>
      <c r="K38" s="132">
        <v>0.1050575</v>
      </c>
      <c r="L38" s="131">
        <v>0.49494379999999999</v>
      </c>
      <c r="M38" s="132">
        <v>3.9293099999999997E-2</v>
      </c>
      <c r="N38" s="132">
        <v>7.5681600000000002E-2</v>
      </c>
      <c r="O38" s="132">
        <v>0.1149746</v>
      </c>
      <c r="P38" s="131">
        <v>0.39596039999999999</v>
      </c>
      <c r="Q38" s="132">
        <v>3.17758E-2</v>
      </c>
      <c r="R38" s="132">
        <v>7.1787199999999995E-2</v>
      </c>
      <c r="S38" s="132">
        <v>0.103563</v>
      </c>
      <c r="T38" s="131">
        <v>0.36472599999999999</v>
      </c>
      <c r="U38" s="132">
        <v>3.6897399999999997E-2</v>
      </c>
      <c r="V38" s="132">
        <v>7.7501700000000007E-2</v>
      </c>
      <c r="W38" s="132">
        <v>0.1143991</v>
      </c>
    </row>
    <row r="39" spans="1:23" ht="15" customHeight="1">
      <c r="A39" s="103">
        <v>210043</v>
      </c>
      <c r="B39" s="104" t="s">
        <v>103</v>
      </c>
      <c r="C39" s="106">
        <v>-3.5446999999999999E-2</v>
      </c>
      <c r="D39" s="131">
        <v>-0.242114</v>
      </c>
      <c r="E39" s="132">
        <v>2.72097E-2</v>
      </c>
      <c r="F39" s="132">
        <v>8.5111000000000006E-2</v>
      </c>
      <c r="G39" s="132">
        <v>0.11232060000000001</v>
      </c>
      <c r="H39" s="131">
        <v>-0.225882</v>
      </c>
      <c r="I39" s="132">
        <v>2.7645900000000001E-2</v>
      </c>
      <c r="J39" s="132">
        <v>8.6556099999999997E-2</v>
      </c>
      <c r="K39" s="132">
        <v>0.114202</v>
      </c>
      <c r="L39" s="131">
        <v>-0.25267800000000001</v>
      </c>
      <c r="M39" s="132">
        <v>2.72874E-2</v>
      </c>
      <c r="N39" s="132">
        <v>8.6241100000000001E-2</v>
      </c>
      <c r="O39" s="132">
        <v>0.1135285</v>
      </c>
      <c r="P39" s="131">
        <v>-0.25395499999999999</v>
      </c>
      <c r="Q39" s="132">
        <v>2.3163699999999999E-2</v>
      </c>
      <c r="R39" s="132">
        <v>9.1871900000000006E-2</v>
      </c>
      <c r="S39" s="132">
        <v>0.1150356</v>
      </c>
      <c r="T39" s="131">
        <v>-0.30610100000000001</v>
      </c>
      <c r="U39" s="132">
        <v>2.8209600000000001E-2</v>
      </c>
      <c r="V39" s="132">
        <v>9.1893000000000002E-2</v>
      </c>
      <c r="W39" s="132">
        <v>0.1201026</v>
      </c>
    </row>
    <row r="40" spans="1:23" ht="15" customHeight="1">
      <c r="A40" s="103">
        <v>210044</v>
      </c>
      <c r="B40" s="104" t="s">
        <v>104</v>
      </c>
      <c r="C40" s="106">
        <v>-0.24010400000000001</v>
      </c>
      <c r="D40" s="131">
        <v>-0.20355000000000001</v>
      </c>
      <c r="E40" s="132">
        <v>2.0193699999999998E-2</v>
      </c>
      <c r="F40" s="132">
        <v>7.4606800000000001E-2</v>
      </c>
      <c r="G40" s="132">
        <v>9.4800499999999996E-2</v>
      </c>
      <c r="H40" s="131">
        <v>-0.16433800000000001</v>
      </c>
      <c r="I40" s="132">
        <v>2.34871E-2</v>
      </c>
      <c r="J40" s="132">
        <v>6.5038399999999996E-2</v>
      </c>
      <c r="K40" s="132">
        <v>8.8525499999999993E-2</v>
      </c>
      <c r="L40" s="131">
        <v>-0.20510100000000001</v>
      </c>
      <c r="M40" s="132">
        <v>1.6127499999999999E-2</v>
      </c>
      <c r="N40" s="132">
        <v>7.3359300000000002E-2</v>
      </c>
      <c r="O40" s="132">
        <v>8.9486899999999994E-2</v>
      </c>
      <c r="P40" s="131">
        <v>-0.230938</v>
      </c>
      <c r="Q40" s="132">
        <v>2.1075699999999999E-2</v>
      </c>
      <c r="R40" s="132">
        <v>7.5700500000000004E-2</v>
      </c>
      <c r="S40" s="132">
        <v>9.6776100000000004E-2</v>
      </c>
      <c r="T40" s="131">
        <v>-0.25508199999999998</v>
      </c>
      <c r="U40" s="132">
        <v>2.6574299999999999E-2</v>
      </c>
      <c r="V40" s="132">
        <v>7.2507299999999997E-2</v>
      </c>
      <c r="W40" s="132">
        <v>9.9081600000000006E-2</v>
      </c>
    </row>
    <row r="41" spans="1:23" ht="15" customHeight="1">
      <c r="A41" s="103">
        <v>210048</v>
      </c>
      <c r="B41" s="104" t="s">
        <v>105</v>
      </c>
      <c r="C41" s="106">
        <v>4.65987E-2</v>
      </c>
      <c r="D41" s="131">
        <v>-0.57068300000000005</v>
      </c>
      <c r="E41" s="132">
        <v>3.2566400000000002E-2</v>
      </c>
      <c r="F41" s="132">
        <v>9.2996200000000001E-2</v>
      </c>
      <c r="G41" s="132">
        <v>0.1255626</v>
      </c>
      <c r="H41" s="131">
        <v>-0.56510300000000002</v>
      </c>
      <c r="I41" s="132">
        <v>3.1662099999999999E-2</v>
      </c>
      <c r="J41" s="132">
        <v>7.8119599999999997E-2</v>
      </c>
      <c r="K41" s="132">
        <v>0.1097817</v>
      </c>
      <c r="L41" s="131">
        <v>-0.55379699999999998</v>
      </c>
      <c r="M41" s="132">
        <v>3.54183E-2</v>
      </c>
      <c r="N41" s="132">
        <v>8.1716300000000006E-2</v>
      </c>
      <c r="O41" s="132">
        <v>0.11713460000000001</v>
      </c>
      <c r="P41" s="131">
        <v>-0.56894100000000003</v>
      </c>
      <c r="Q41" s="132">
        <v>2.7305300000000001E-2</v>
      </c>
      <c r="R41" s="132">
        <v>8.4624099999999994E-2</v>
      </c>
      <c r="S41" s="132">
        <v>0.1119294</v>
      </c>
      <c r="T41" s="131">
        <v>-0.57214399999999999</v>
      </c>
      <c r="U41" s="132">
        <v>3.1116499999999998E-2</v>
      </c>
      <c r="V41" s="132">
        <v>8.1393900000000005E-2</v>
      </c>
      <c r="W41" s="132">
        <v>0.11251029999999999</v>
      </c>
    </row>
    <row r="42" spans="1:23" ht="15" customHeight="1">
      <c r="A42" s="103">
        <v>210049</v>
      </c>
      <c r="B42" s="104" t="s">
        <v>106</v>
      </c>
      <c r="C42" s="106">
        <v>0.24549670000000001</v>
      </c>
      <c r="D42" s="131">
        <v>-0.39478000000000002</v>
      </c>
      <c r="E42" s="132">
        <v>3.4344100000000002E-2</v>
      </c>
      <c r="F42" s="132">
        <v>8.5739399999999993E-2</v>
      </c>
      <c r="G42" s="132">
        <v>0.1200835</v>
      </c>
      <c r="H42" s="131">
        <v>-0.38049899999999998</v>
      </c>
      <c r="I42" s="132">
        <v>3.1732999999999997E-2</v>
      </c>
      <c r="J42" s="132">
        <v>7.98817E-2</v>
      </c>
      <c r="K42" s="132">
        <v>0.1116147</v>
      </c>
      <c r="L42" s="131">
        <v>-0.39831800000000001</v>
      </c>
      <c r="M42" s="132">
        <v>2.0901300000000001E-2</v>
      </c>
      <c r="N42" s="132">
        <v>8.9071899999999996E-2</v>
      </c>
      <c r="O42" s="132">
        <v>0.10997319999999999</v>
      </c>
      <c r="P42" s="131">
        <v>-0.40441100000000002</v>
      </c>
      <c r="Q42" s="132">
        <v>2.4068200000000001E-2</v>
      </c>
      <c r="R42" s="132">
        <v>8.7778200000000001E-2</v>
      </c>
      <c r="S42" s="132">
        <v>0.1118464</v>
      </c>
      <c r="T42" s="131">
        <v>-0.43675199999999997</v>
      </c>
      <c r="U42" s="132">
        <v>2.7574600000000001E-2</v>
      </c>
      <c r="V42" s="132">
        <v>8.6045800000000006E-2</v>
      </c>
      <c r="W42" s="132">
        <v>0.1136204</v>
      </c>
    </row>
    <row r="43" spans="1:23" ht="15" customHeight="1">
      <c r="A43" s="103">
        <v>210051</v>
      </c>
      <c r="B43" s="104" t="s">
        <v>107</v>
      </c>
      <c r="C43" s="106">
        <v>-0.124434</v>
      </c>
      <c r="D43" s="131">
        <v>0.12868250000000001</v>
      </c>
      <c r="E43" s="132">
        <v>1.8775699999999999E-2</v>
      </c>
      <c r="F43" s="132">
        <v>7.2964200000000007E-2</v>
      </c>
      <c r="G43" s="132">
        <v>9.1739899999999999E-2</v>
      </c>
      <c r="H43" s="131">
        <v>0.14831030000000001</v>
      </c>
      <c r="I43" s="132">
        <v>2.3838100000000001E-2</v>
      </c>
      <c r="J43" s="132">
        <v>7.1710800000000005E-2</v>
      </c>
      <c r="K43" s="132">
        <v>9.5548900000000006E-2</v>
      </c>
      <c r="L43" s="131">
        <v>0.12466720000000001</v>
      </c>
      <c r="M43" s="132">
        <v>1.5188999999999999E-2</v>
      </c>
      <c r="N43" s="132">
        <v>7.1206199999999997E-2</v>
      </c>
      <c r="O43" s="132">
        <v>8.6395200000000005E-2</v>
      </c>
      <c r="P43" s="131">
        <v>0.12081359999999999</v>
      </c>
      <c r="Q43" s="132">
        <v>2.20716E-2</v>
      </c>
      <c r="R43" s="132">
        <v>6.7328299999999994E-2</v>
      </c>
      <c r="S43" s="132">
        <v>8.9399900000000004E-2</v>
      </c>
      <c r="T43" s="131">
        <v>0.101219</v>
      </c>
      <c r="U43" s="132">
        <v>2.1444000000000001E-2</v>
      </c>
      <c r="V43" s="132">
        <v>7.4873200000000001E-2</v>
      </c>
      <c r="W43" s="132">
        <v>9.6317200000000006E-2</v>
      </c>
    </row>
    <row r="44" spans="1:23" ht="15" customHeight="1">
      <c r="A44" s="103">
        <v>210056</v>
      </c>
      <c r="B44" s="104" t="s">
        <v>108</v>
      </c>
      <c r="C44" s="106">
        <v>1.63144E-2</v>
      </c>
      <c r="D44" s="131">
        <v>0.88597610000000004</v>
      </c>
      <c r="E44" s="132">
        <v>1.9797200000000001E-2</v>
      </c>
      <c r="F44" s="132">
        <v>0.10606359999999999</v>
      </c>
      <c r="G44" s="132">
        <v>0.12586079999999999</v>
      </c>
      <c r="H44" s="131">
        <v>0.88508589999999998</v>
      </c>
      <c r="I44" s="132">
        <v>2.9825600000000001E-2</v>
      </c>
      <c r="J44" s="132">
        <v>8.9066199999999998E-2</v>
      </c>
      <c r="K44" s="132">
        <v>0.1188917</v>
      </c>
      <c r="L44" s="131">
        <v>0.81771629999999995</v>
      </c>
      <c r="M44" s="132">
        <v>1.396E-2</v>
      </c>
      <c r="N44" s="132">
        <v>8.7916999999999995E-2</v>
      </c>
      <c r="O44" s="132">
        <v>0.101877</v>
      </c>
      <c r="P44" s="131">
        <v>0.86033470000000001</v>
      </c>
      <c r="Q44" s="132">
        <v>1.5772499999999998E-2</v>
      </c>
      <c r="R44" s="132">
        <v>9.46187E-2</v>
      </c>
      <c r="S44" s="132">
        <v>0.1103913</v>
      </c>
      <c r="T44" s="131">
        <v>0.85462439999999995</v>
      </c>
      <c r="U44" s="132">
        <v>1.9479400000000001E-2</v>
      </c>
      <c r="V44" s="132">
        <v>9.6841999999999998E-2</v>
      </c>
      <c r="W44" s="132">
        <v>0.11632140000000001</v>
      </c>
    </row>
    <row r="45" spans="1:23" ht="15" customHeight="1">
      <c r="A45" s="103">
        <v>210057</v>
      </c>
      <c r="B45" s="104" t="s">
        <v>109</v>
      </c>
      <c r="C45" s="106">
        <v>-0.615429</v>
      </c>
      <c r="D45" s="131">
        <v>-0.60838499999999995</v>
      </c>
      <c r="E45" s="132">
        <v>1.7196599999999999E-2</v>
      </c>
      <c r="F45" s="132">
        <v>7.8315200000000001E-2</v>
      </c>
      <c r="G45" s="132">
        <v>9.5511899999999997E-2</v>
      </c>
      <c r="H45" s="131">
        <v>-0.60248699999999999</v>
      </c>
      <c r="I45" s="132">
        <v>2.47169E-2</v>
      </c>
      <c r="J45" s="132">
        <v>7.8579099999999999E-2</v>
      </c>
      <c r="K45" s="132">
        <v>0.103296</v>
      </c>
      <c r="L45" s="131">
        <v>-0.54510899999999995</v>
      </c>
      <c r="M45" s="132">
        <v>4.1498699999999999E-2</v>
      </c>
      <c r="N45" s="132">
        <v>7.2839899999999999E-2</v>
      </c>
      <c r="O45" s="132">
        <v>0.1143387</v>
      </c>
      <c r="P45" s="131">
        <v>-0.56156300000000003</v>
      </c>
      <c r="Q45" s="132">
        <v>3.4222599999999999E-2</v>
      </c>
      <c r="R45" s="132">
        <v>7.0890300000000003E-2</v>
      </c>
      <c r="S45" s="132">
        <v>0.10511280000000001</v>
      </c>
      <c r="T45" s="131">
        <v>-0.54621200000000003</v>
      </c>
      <c r="U45" s="132">
        <v>4.4716400000000003E-2</v>
      </c>
      <c r="V45" s="132">
        <v>7.3195899999999994E-2</v>
      </c>
      <c r="W45" s="132">
        <v>0.1179123</v>
      </c>
    </row>
    <row r="46" spans="1:23" ht="15" customHeight="1">
      <c r="A46" s="103">
        <v>210058</v>
      </c>
      <c r="B46" s="104" t="s">
        <v>110</v>
      </c>
      <c r="C46" s="106">
        <v>7.0120500000000002E-2</v>
      </c>
      <c r="D46" s="131">
        <v>3.5176100000000002E-2</v>
      </c>
      <c r="E46" s="132">
        <v>2.4113800000000001E-2</v>
      </c>
      <c r="F46" s="132">
        <v>8.1647899999999995E-2</v>
      </c>
      <c r="G46" s="132">
        <v>0.1057617</v>
      </c>
      <c r="H46" s="131">
        <v>2.0025000000000001E-2</v>
      </c>
      <c r="I46" s="132">
        <v>2.6567799999999999E-2</v>
      </c>
      <c r="J46" s="132">
        <v>7.7888499999999999E-2</v>
      </c>
      <c r="K46" s="132">
        <v>0.1044563</v>
      </c>
      <c r="L46" s="131">
        <v>-0.167241</v>
      </c>
      <c r="M46" s="132">
        <v>2.3596499999999999E-2</v>
      </c>
      <c r="N46" s="132">
        <v>7.6471899999999995E-2</v>
      </c>
      <c r="O46" s="132">
        <v>0.1000684</v>
      </c>
      <c r="P46" s="131">
        <v>-0.25086199999999997</v>
      </c>
      <c r="Q46" s="132">
        <v>2.4822400000000001E-2</v>
      </c>
      <c r="R46" s="132">
        <v>7.4868500000000004E-2</v>
      </c>
      <c r="S46" s="132">
        <v>9.9690899999999999E-2</v>
      </c>
      <c r="T46" s="131">
        <v>-0.245006</v>
      </c>
      <c r="U46" s="132">
        <v>2.25337E-2</v>
      </c>
      <c r="V46" s="132">
        <v>6.9248000000000004E-2</v>
      </c>
      <c r="W46" s="132">
        <v>9.1781699999999994E-2</v>
      </c>
    </row>
    <row r="47" spans="1:23" ht="15" customHeight="1">
      <c r="A47" s="103">
        <v>210060</v>
      </c>
      <c r="B47" s="104" t="s">
        <v>180</v>
      </c>
      <c r="C47" s="106">
        <v>-0.21068300000000001</v>
      </c>
      <c r="D47" s="131">
        <v>7.4522000000000005E-2</v>
      </c>
      <c r="E47" s="132">
        <v>1.83527E-2</v>
      </c>
      <c r="F47" s="132">
        <v>7.1680300000000002E-2</v>
      </c>
      <c r="G47" s="132">
        <v>9.0033100000000005E-2</v>
      </c>
      <c r="H47" s="131">
        <v>3.65884E-2</v>
      </c>
      <c r="I47" s="132">
        <v>2.4739299999999999E-2</v>
      </c>
      <c r="J47" s="132">
        <v>7.3432300000000006E-2</v>
      </c>
      <c r="K47" s="132">
        <v>9.8171700000000001E-2</v>
      </c>
      <c r="L47" s="131">
        <v>3.7483999999999998E-3</v>
      </c>
      <c r="M47" s="132">
        <v>2.1464500000000001E-2</v>
      </c>
      <c r="N47" s="132">
        <v>7.3324399999999998E-2</v>
      </c>
      <c r="O47" s="132">
        <v>9.4788800000000006E-2</v>
      </c>
      <c r="P47" s="131">
        <v>7.4378399999999997E-2</v>
      </c>
      <c r="Q47" s="132">
        <v>1.8905399999999999E-2</v>
      </c>
      <c r="R47" s="132">
        <v>7.7114299999999997E-2</v>
      </c>
      <c r="S47" s="132">
        <v>9.6019699999999999E-2</v>
      </c>
      <c r="T47" s="131">
        <v>5.9214500000000003E-2</v>
      </c>
      <c r="U47" s="132">
        <v>2.3251399999999998E-2</v>
      </c>
      <c r="V47" s="132">
        <v>6.7926399999999998E-2</v>
      </c>
      <c r="W47" s="132">
        <v>9.1177800000000003E-2</v>
      </c>
    </row>
    <row r="48" spans="1:23" ht="15" customHeight="1">
      <c r="A48" s="103">
        <v>210061</v>
      </c>
      <c r="B48" s="104" t="s">
        <v>111</v>
      </c>
      <c r="C48" s="106">
        <v>3.5096700000000002E-2</v>
      </c>
      <c r="D48" s="131">
        <v>-0.28815000000000002</v>
      </c>
      <c r="E48" s="132">
        <v>1.9399300000000001E-2</v>
      </c>
      <c r="F48" s="132">
        <v>7.4170100000000003E-2</v>
      </c>
      <c r="G48" s="132">
        <v>9.3569299999999994E-2</v>
      </c>
      <c r="H48" s="131">
        <v>-0.32662799999999997</v>
      </c>
      <c r="I48" s="132">
        <v>1.8860200000000001E-2</v>
      </c>
      <c r="J48" s="132">
        <v>7.9483799999999993E-2</v>
      </c>
      <c r="K48" s="132">
        <v>9.8344000000000001E-2</v>
      </c>
      <c r="L48" s="131">
        <v>-0.35002100000000003</v>
      </c>
      <c r="M48" s="132">
        <v>2.27371E-2</v>
      </c>
      <c r="N48" s="132">
        <v>6.6826200000000002E-2</v>
      </c>
      <c r="O48" s="132">
        <v>8.9563299999999998E-2</v>
      </c>
      <c r="P48" s="131">
        <v>-0.33704200000000001</v>
      </c>
      <c r="Q48" s="132">
        <v>1.67227E-2</v>
      </c>
      <c r="R48" s="132">
        <v>7.1533200000000005E-2</v>
      </c>
      <c r="S48" s="132">
        <v>8.8255899999999998E-2</v>
      </c>
      <c r="T48" s="131">
        <v>-0.303672</v>
      </c>
      <c r="U48" s="132">
        <v>1.8741500000000001E-2</v>
      </c>
      <c r="V48" s="132">
        <v>7.3525300000000002E-2</v>
      </c>
      <c r="W48" s="132">
        <v>9.2266799999999996E-2</v>
      </c>
    </row>
    <row r="49" spans="1:23" ht="15" customHeight="1">
      <c r="A49" s="103">
        <v>210062</v>
      </c>
      <c r="B49" s="104" t="s">
        <v>112</v>
      </c>
      <c r="C49" s="106">
        <v>-1.2841E-2</v>
      </c>
      <c r="D49" s="131">
        <v>0.13883799999999999</v>
      </c>
      <c r="E49" s="132">
        <v>2.35158E-2</v>
      </c>
      <c r="F49" s="132">
        <v>7.3065500000000005E-2</v>
      </c>
      <c r="G49" s="132">
        <v>9.6581299999999995E-2</v>
      </c>
      <c r="H49" s="131">
        <v>0.14370659999999999</v>
      </c>
      <c r="I49" s="132">
        <v>2.2319800000000001E-2</v>
      </c>
      <c r="J49" s="132">
        <v>7.2358199999999998E-2</v>
      </c>
      <c r="K49" s="132">
        <v>9.4677999999999998E-2</v>
      </c>
      <c r="L49" s="131">
        <v>0.16409019999999999</v>
      </c>
      <c r="M49" s="132">
        <v>3.3484100000000003E-2</v>
      </c>
      <c r="N49" s="132">
        <v>6.7467799999999994E-2</v>
      </c>
      <c r="O49" s="132">
        <v>0.1009519</v>
      </c>
      <c r="P49" s="131">
        <v>0.1730496</v>
      </c>
      <c r="Q49" s="132">
        <v>2.6247400000000001E-2</v>
      </c>
      <c r="R49" s="132">
        <v>7.5011999999999995E-2</v>
      </c>
      <c r="S49" s="132">
        <v>0.1012595</v>
      </c>
      <c r="T49" s="131">
        <v>0.1833071</v>
      </c>
      <c r="U49" s="132">
        <v>2.3821700000000001E-2</v>
      </c>
      <c r="V49" s="132">
        <v>7.2338399999999997E-2</v>
      </c>
      <c r="W49" s="132">
        <v>9.6160099999999998E-2</v>
      </c>
    </row>
    <row r="50" spans="1:23" ht="15" customHeight="1">
      <c r="A50" s="103">
        <v>210063</v>
      </c>
      <c r="B50" s="104" t="s">
        <v>181</v>
      </c>
      <c r="C50" s="106">
        <v>-0.26023600000000002</v>
      </c>
      <c r="D50" s="131">
        <v>-0.28364800000000001</v>
      </c>
      <c r="E50" s="132">
        <v>2.10446E-2</v>
      </c>
      <c r="F50" s="132">
        <v>9.0528999999999998E-2</v>
      </c>
      <c r="G50" s="132">
        <v>0.1115736</v>
      </c>
      <c r="H50" s="131">
        <v>-0.33452599999999999</v>
      </c>
      <c r="I50" s="132">
        <v>2.3274099999999999E-2</v>
      </c>
      <c r="J50" s="132">
        <v>7.7540499999999998E-2</v>
      </c>
      <c r="K50" s="132">
        <v>0.1008146</v>
      </c>
      <c r="L50" s="131">
        <v>-0.38952100000000001</v>
      </c>
      <c r="M50" s="132">
        <v>2.36192E-2</v>
      </c>
      <c r="N50" s="132">
        <v>7.6525300000000004E-2</v>
      </c>
      <c r="O50" s="132">
        <v>0.1001446</v>
      </c>
      <c r="P50" s="131">
        <v>-0.37963200000000002</v>
      </c>
      <c r="Q50" s="132">
        <v>3.7127800000000002E-2</v>
      </c>
      <c r="R50" s="132">
        <v>7.4987700000000004E-2</v>
      </c>
      <c r="S50" s="132">
        <v>0.1121156</v>
      </c>
      <c r="T50" s="131">
        <v>-0.39168599999999998</v>
      </c>
      <c r="U50" s="132">
        <v>2.8447799999999999E-2</v>
      </c>
      <c r="V50" s="132">
        <v>8.0787700000000004E-2</v>
      </c>
      <c r="W50" s="132">
        <v>0.1092355</v>
      </c>
    </row>
    <row r="51" spans="1:23" ht="15" customHeight="1">
      <c r="A51" s="103">
        <v>210064</v>
      </c>
      <c r="B51" s="104" t="s">
        <v>113</v>
      </c>
      <c r="C51" s="106">
        <v>-0.29744599999999999</v>
      </c>
      <c r="D51" s="131">
        <v>-0.211591</v>
      </c>
      <c r="E51" s="132">
        <v>2.26004E-2</v>
      </c>
      <c r="F51" s="132">
        <v>7.6864799999999997E-2</v>
      </c>
      <c r="G51" s="132">
        <v>9.9465200000000004E-2</v>
      </c>
      <c r="H51" s="131">
        <v>-7.3695999999999998E-2</v>
      </c>
      <c r="I51" s="132">
        <v>2.28709E-2</v>
      </c>
      <c r="J51" s="132">
        <v>7.8891000000000003E-2</v>
      </c>
      <c r="K51" s="132">
        <v>0.1017618</v>
      </c>
      <c r="L51" s="131">
        <v>-3.3598000000000003E-2</v>
      </c>
      <c r="M51" s="132">
        <v>2.6525900000000002E-2</v>
      </c>
      <c r="N51" s="132">
        <v>8.8167800000000005E-2</v>
      </c>
      <c r="O51" s="132">
        <v>0.1146938</v>
      </c>
      <c r="P51" s="131">
        <v>-5.3270999999999999E-2</v>
      </c>
      <c r="Q51" s="132">
        <v>2.06071E-2</v>
      </c>
      <c r="R51" s="132">
        <v>7.8624600000000003E-2</v>
      </c>
      <c r="S51" s="132">
        <v>9.9231700000000006E-2</v>
      </c>
      <c r="T51" s="131">
        <v>-3.6088000000000002E-2</v>
      </c>
      <c r="U51" s="132">
        <v>3.21689E-2</v>
      </c>
      <c r="V51" s="132">
        <v>8.2053100000000004E-2</v>
      </c>
      <c r="W51" s="132">
        <v>0.114222</v>
      </c>
    </row>
    <row r="52" spans="1:23" ht="15" customHeight="1">
      <c r="A52" s="103">
        <v>210065</v>
      </c>
      <c r="B52" s="104" t="s">
        <v>117</v>
      </c>
      <c r="C52" s="106">
        <v>-0.29644399999999999</v>
      </c>
      <c r="D52" s="131">
        <v>-0.35670200000000002</v>
      </c>
      <c r="E52" s="132">
        <v>1.7853500000000001E-2</v>
      </c>
      <c r="F52" s="132">
        <v>8.6195599999999997E-2</v>
      </c>
      <c r="G52" s="132">
        <v>0.10404910000000001</v>
      </c>
      <c r="H52" s="131">
        <v>-0.37634200000000001</v>
      </c>
      <c r="I52" s="132">
        <v>1.94118E-2</v>
      </c>
      <c r="J52" s="132">
        <v>8.5733199999999996E-2</v>
      </c>
      <c r="K52" s="132">
        <v>0.105145</v>
      </c>
      <c r="L52" s="131">
        <v>-0.40144800000000003</v>
      </c>
      <c r="M52" s="132">
        <v>1.9439999999999999E-2</v>
      </c>
      <c r="N52" s="132">
        <v>8.2825399999999993E-2</v>
      </c>
      <c r="O52" s="132">
        <v>0.10226540000000001</v>
      </c>
      <c r="P52" s="131">
        <v>-0.42455199999999998</v>
      </c>
      <c r="Q52" s="132">
        <v>2.3099399999999999E-2</v>
      </c>
      <c r="R52" s="132">
        <v>8.4902000000000005E-2</v>
      </c>
      <c r="S52" s="132">
        <v>0.1080014</v>
      </c>
      <c r="T52" s="131">
        <v>-0.41833399999999998</v>
      </c>
      <c r="U52" s="132">
        <v>2.5376099999999999E-2</v>
      </c>
      <c r="V52" s="132">
        <v>9.1979000000000005E-2</v>
      </c>
      <c r="W52" s="132">
        <v>0.11735520000000001</v>
      </c>
    </row>
    <row r="53" spans="1:23" ht="12.95" customHeight="1"/>
    <row r="54" spans="1:23" s="114" customFormat="1" ht="12" customHeight="1">
      <c r="A54" s="114" t="s">
        <v>220</v>
      </c>
    </row>
    <row r="55" spans="1:23" ht="12.95" customHeight="1"/>
  </sheetData>
  <autoFilter ref="A8:T52" xr:uid="{00000000-0009-0000-0000-000000000000}"/>
  <mergeCells count="7">
    <mergeCell ref="A2:W2"/>
    <mergeCell ref="A7:B7"/>
    <mergeCell ref="D7:G7"/>
    <mergeCell ref="H7:K7"/>
    <mergeCell ref="L7:O7"/>
    <mergeCell ref="P7:S7"/>
    <mergeCell ref="T7:W7"/>
  </mergeCells>
  <pageMargins left="0" right="0" top="0" bottom="0" header="0.5" footer="0.5"/>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2036-177A-4174-802D-C22DE0C0D630}">
  <dimension ref="A1:C45"/>
  <sheetViews>
    <sheetView workbookViewId="0">
      <selection activeCell="B5" sqref="B5:B6"/>
    </sheetView>
  </sheetViews>
  <sheetFormatPr defaultRowHeight="15"/>
  <cols>
    <col min="1" max="1" width="18.7109375" bestFit="1" customWidth="1"/>
    <col min="2" max="2" width="42.85546875" bestFit="1" customWidth="1"/>
    <col min="3" max="3" width="44.140625" bestFit="1" customWidth="1"/>
    <col min="5" max="5" width="20" bestFit="1" customWidth="1"/>
    <col min="6" max="6" width="22.140625" bestFit="1" customWidth="1"/>
  </cols>
  <sheetData>
    <row r="1" spans="1:3">
      <c r="A1" s="135" t="s">
        <v>223</v>
      </c>
    </row>
    <row r="4" spans="1:3">
      <c r="B4" t="s">
        <v>120</v>
      </c>
      <c r="C4" t="s">
        <v>121</v>
      </c>
    </row>
    <row r="5" spans="1:3">
      <c r="A5" t="s">
        <v>122</v>
      </c>
      <c r="B5" s="82">
        <v>-0.22889458729602963</v>
      </c>
      <c r="C5" s="136">
        <v>2.5000000000000001E-3</v>
      </c>
    </row>
    <row r="6" spans="1:3">
      <c r="A6" t="s">
        <v>123</v>
      </c>
      <c r="B6" s="82">
        <v>-0.40539644249863949</v>
      </c>
      <c r="C6" s="136">
        <v>5.0000000000000001E-3</v>
      </c>
    </row>
    <row r="7" spans="1:3">
      <c r="A7" t="s">
        <v>124</v>
      </c>
      <c r="B7" s="136">
        <f>B6-B5</f>
        <v>-0.17650185520260986</v>
      </c>
    </row>
    <row r="8" spans="1:3">
      <c r="A8" t="s">
        <v>125</v>
      </c>
      <c r="B8" s="137">
        <f>B7/25</f>
        <v>-7.0600742081043943E-3</v>
      </c>
      <c r="C8" s="138"/>
    </row>
    <row r="15" spans="1:3">
      <c r="B15" s="180" t="s">
        <v>224</v>
      </c>
      <c r="C15" s="181" t="s">
        <v>225</v>
      </c>
    </row>
    <row r="16" spans="1:3">
      <c r="B16" s="180"/>
      <c r="C16" s="181"/>
    </row>
    <row r="17" spans="2:3">
      <c r="B17" s="139" t="s">
        <v>150</v>
      </c>
      <c r="C17" s="140" t="s">
        <v>151</v>
      </c>
    </row>
    <row r="18" spans="2:3">
      <c r="B18" s="141" t="s">
        <v>226</v>
      </c>
      <c r="C18" s="142"/>
    </row>
    <row r="19" spans="2:3">
      <c r="B19" s="143">
        <f>B6</f>
        <v>-0.40539644249863949</v>
      </c>
      <c r="C19" s="144">
        <v>5.0000000000000001E-3</v>
      </c>
    </row>
    <row r="20" spans="2:3">
      <c r="B20" s="82">
        <f t="shared" ref="B20:B44" si="0">B19-$B$8</f>
        <v>-0.39833636829053509</v>
      </c>
      <c r="C20" s="145">
        <f t="shared" ref="C20:C44" si="1">C19-0.01%</f>
        <v>4.8999999999999998E-3</v>
      </c>
    </row>
    <row r="21" spans="2:3">
      <c r="B21" s="82">
        <f t="shared" si="0"/>
        <v>-0.3912762940824307</v>
      </c>
      <c r="C21" s="145">
        <f t="shared" si="1"/>
        <v>4.7999999999999996E-3</v>
      </c>
    </row>
    <row r="22" spans="2:3">
      <c r="B22" s="82">
        <f t="shared" si="0"/>
        <v>-0.3842162198743263</v>
      </c>
      <c r="C22" s="145">
        <f t="shared" si="1"/>
        <v>4.6999999999999993E-3</v>
      </c>
    </row>
    <row r="23" spans="2:3">
      <c r="B23" s="82">
        <f t="shared" si="0"/>
        <v>-0.37715614566622191</v>
      </c>
      <c r="C23" s="145">
        <f t="shared" si="1"/>
        <v>4.5999999999999991E-3</v>
      </c>
    </row>
    <row r="24" spans="2:3">
      <c r="B24" s="82">
        <f t="shared" si="0"/>
        <v>-0.37009607145811751</v>
      </c>
      <c r="C24" s="145">
        <f t="shared" si="1"/>
        <v>4.4999999999999988E-3</v>
      </c>
    </row>
    <row r="25" spans="2:3">
      <c r="B25" s="82">
        <f t="shared" si="0"/>
        <v>-0.36303599725001312</v>
      </c>
      <c r="C25" s="145">
        <f t="shared" si="1"/>
        <v>4.3999999999999985E-3</v>
      </c>
    </row>
    <row r="26" spans="2:3">
      <c r="B26" s="82">
        <f t="shared" si="0"/>
        <v>-0.35597592304190873</v>
      </c>
      <c r="C26" s="145">
        <f t="shared" si="1"/>
        <v>4.2999999999999983E-3</v>
      </c>
    </row>
    <row r="27" spans="2:3">
      <c r="B27" s="82">
        <f t="shared" si="0"/>
        <v>-0.34891584883380433</v>
      </c>
      <c r="C27" s="145">
        <f t="shared" si="1"/>
        <v>4.199999999999998E-3</v>
      </c>
    </row>
    <row r="28" spans="2:3">
      <c r="B28" s="82">
        <f t="shared" si="0"/>
        <v>-0.34185577462569994</v>
      </c>
      <c r="C28" s="145">
        <f t="shared" si="1"/>
        <v>4.0999999999999977E-3</v>
      </c>
    </row>
    <row r="29" spans="2:3">
      <c r="B29" s="82">
        <f t="shared" si="0"/>
        <v>-0.33479570041759554</v>
      </c>
      <c r="C29" s="145">
        <f t="shared" si="1"/>
        <v>3.9999999999999975E-3</v>
      </c>
    </row>
    <row r="30" spans="2:3">
      <c r="B30" s="82">
        <f t="shared" si="0"/>
        <v>-0.32773562620949115</v>
      </c>
      <c r="C30" s="145">
        <f t="shared" si="1"/>
        <v>3.8999999999999977E-3</v>
      </c>
    </row>
    <row r="31" spans="2:3">
      <c r="B31" s="82">
        <f t="shared" si="0"/>
        <v>-0.32067555200138675</v>
      </c>
      <c r="C31" s="145">
        <f t="shared" si="1"/>
        <v>3.7999999999999978E-3</v>
      </c>
    </row>
    <row r="32" spans="2:3">
      <c r="B32" s="82">
        <f t="shared" si="0"/>
        <v>-0.31361547779328236</v>
      </c>
      <c r="C32" s="145">
        <f t="shared" si="1"/>
        <v>3.699999999999998E-3</v>
      </c>
    </row>
    <row r="33" spans="2:3">
      <c r="B33" s="82">
        <f t="shared" si="0"/>
        <v>-0.30655540358517797</v>
      </c>
      <c r="C33" s="145">
        <f t="shared" si="1"/>
        <v>3.5999999999999982E-3</v>
      </c>
    </row>
    <row r="34" spans="2:3">
      <c r="B34" s="82">
        <f t="shared" si="0"/>
        <v>-0.29949532937707357</v>
      </c>
      <c r="C34" s="145">
        <f t="shared" si="1"/>
        <v>3.4999999999999983E-3</v>
      </c>
    </row>
    <row r="35" spans="2:3">
      <c r="B35" s="82">
        <f t="shared" si="0"/>
        <v>-0.29243525516896918</v>
      </c>
      <c r="C35" s="145">
        <f t="shared" si="1"/>
        <v>3.3999999999999985E-3</v>
      </c>
    </row>
    <row r="36" spans="2:3">
      <c r="B36" s="82">
        <f t="shared" si="0"/>
        <v>-0.28537518096086478</v>
      </c>
      <c r="C36" s="145">
        <f t="shared" si="1"/>
        <v>3.2999999999999987E-3</v>
      </c>
    </row>
    <row r="37" spans="2:3">
      <c r="B37" s="82">
        <f t="shared" si="0"/>
        <v>-0.27831510675276039</v>
      </c>
      <c r="C37" s="145">
        <f t="shared" si="1"/>
        <v>3.1999999999999989E-3</v>
      </c>
    </row>
    <row r="38" spans="2:3">
      <c r="B38" s="82">
        <f t="shared" si="0"/>
        <v>-0.27125503254465599</v>
      </c>
      <c r="C38" s="145">
        <f t="shared" si="1"/>
        <v>3.099999999999999E-3</v>
      </c>
    </row>
    <row r="39" spans="2:3">
      <c r="B39" s="82">
        <f t="shared" si="0"/>
        <v>-0.2641949583365516</v>
      </c>
      <c r="C39" s="145">
        <f t="shared" si="1"/>
        <v>2.9999999999999992E-3</v>
      </c>
    </row>
    <row r="40" spans="2:3">
      <c r="B40" s="82">
        <f t="shared" si="0"/>
        <v>-0.25713488412844721</v>
      </c>
      <c r="C40" s="145">
        <f t="shared" si="1"/>
        <v>2.8999999999999994E-3</v>
      </c>
    </row>
    <row r="41" spans="2:3">
      <c r="B41" s="82">
        <f t="shared" si="0"/>
        <v>-0.25007480992034281</v>
      </c>
      <c r="C41" s="145">
        <f t="shared" si="1"/>
        <v>2.7999999999999995E-3</v>
      </c>
    </row>
    <row r="42" spans="2:3">
      <c r="B42" s="82">
        <f t="shared" si="0"/>
        <v>-0.24301473571223842</v>
      </c>
      <c r="C42" s="145">
        <f t="shared" si="1"/>
        <v>2.6999999999999997E-3</v>
      </c>
    </row>
    <row r="43" spans="2:3">
      <c r="B43" s="82">
        <f t="shared" si="0"/>
        <v>-0.23595466150413402</v>
      </c>
      <c r="C43" s="145">
        <f t="shared" si="1"/>
        <v>2.5999999999999999E-3</v>
      </c>
    </row>
    <row r="44" spans="2:3">
      <c r="B44" s="146">
        <f t="shared" si="0"/>
        <v>-0.22889458729602963</v>
      </c>
      <c r="C44" s="147">
        <f t="shared" si="1"/>
        <v>2.5000000000000001E-3</v>
      </c>
    </row>
    <row r="45" spans="2:3">
      <c r="B45" s="141" t="s">
        <v>227</v>
      </c>
      <c r="C45" s="142"/>
    </row>
  </sheetData>
  <mergeCells count="2">
    <mergeCell ref="B15:B16"/>
    <mergeCell ref="C15:C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6F5A506-A868-42C2-89DC-1B491F4E1743}"/>
</file>

<file path=customXml/itemProps2.xml><?xml version="1.0" encoding="utf-8"?>
<ds:datastoreItem xmlns:ds="http://schemas.openxmlformats.org/officeDocument/2006/customXml" ds:itemID="{945DB7AC-698E-44BB-BD91-768D25BF517B}"/>
</file>

<file path=customXml/itemProps3.xml><?xml version="1.0" encoding="utf-8"?>
<ds:datastoreItem xmlns:ds="http://schemas.openxmlformats.org/officeDocument/2006/customXml" ds:itemID="{B75EDF2B-7071-4084-BC93-9017795C86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RRIP &amp; PAI </vt:lpstr>
      <vt:lpstr>RRIP Modeling Results</vt:lpstr>
      <vt:lpstr>PAI revenue adjustments</vt:lpstr>
      <vt:lpstr>4.CY2022 Improve All Payers</vt:lpstr>
      <vt:lpstr>8.  CY22 Readmit Attainment</vt:lpstr>
      <vt:lpstr>2.Disparity Gap</vt:lpstr>
      <vt:lpstr>5. PAI Scale</vt:lpstr>
      <vt:lpstr>'RRIP Modeling Results'!AttMaxPenaltyScore</vt:lpstr>
      <vt:lpstr>'RRIP Modeling Results'!AttMaxRewardScore</vt:lpstr>
      <vt:lpstr>'RRIP Modeling Results'!AttTarget</vt:lpstr>
      <vt:lpstr>'RRIP Modeling Results'!ImpMaxPenaltyScore</vt:lpstr>
      <vt:lpstr>'RRIP Modeling Results'!ImpMaxRewardScore</vt:lpstr>
      <vt:lpstr>'RRIP Modeling Results'!ImpTarget</vt:lpstr>
      <vt:lpstr>'RRIP Modeling Results'!MaxPenalty</vt:lpstr>
      <vt:lpstr>'RRIP Modeling Results'!MaxReward</vt:lpstr>
      <vt:lpstr>'2.Disparity Gap'!Print_Titles</vt:lpstr>
      <vt:lpstr>'4.CY2022 Improve All Payers'!Print_Titles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Princess Collins</dc:creator>
  <cp:lastModifiedBy>Alyson Schuster</cp:lastModifiedBy>
  <dcterms:created xsi:type="dcterms:W3CDTF">2023-03-08T16:01:19Z</dcterms:created>
  <dcterms:modified xsi:type="dcterms:W3CDTF">2023-07-28T13:56:56Z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