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thornhill\Downloads\"/>
    </mc:Choice>
  </mc:AlternateContent>
  <xr:revisionPtr revIDLastSave="0" documentId="8_{7E41C74A-26FE-4FAB-872B-4638597BD200}" xr6:coauthVersionLast="47" xr6:coauthVersionMax="47" xr10:uidLastSave="{00000000-0000-0000-0000-000000000000}"/>
  <bookViews>
    <workbookView xWindow="-96" yWindow="-96" windowWidth="23232" windowHeight="13872" xr2:uid="{257C1A45-D4A7-4A8F-9B3B-86962D025BA8}"/>
  </bookViews>
  <sheets>
    <sheet name="Comparison" sheetId="6" r:id="rId1"/>
    <sheet name="Option 1 - Original, Proportion" sheetId="3" r:id="rId2"/>
    <sheet name="Option 2 - Split the Difference" sheetId="4" r:id="rId3"/>
    <sheet name="Option 3 - Funding Pool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" i="8" l="1"/>
  <c r="I5" i="4"/>
  <c r="G5" i="3"/>
  <c r="E4" i="8"/>
  <c r="E4" i="4"/>
  <c r="F4" i="3"/>
  <c r="G14" i="6"/>
  <c r="G15" i="6"/>
  <c r="G16" i="6"/>
  <c r="G17" i="6"/>
  <c r="G18" i="6"/>
  <c r="G19" i="6"/>
  <c r="G13" i="6"/>
  <c r="G6" i="6"/>
  <c r="G7" i="6"/>
  <c r="G8" i="6"/>
  <c r="G9" i="6"/>
  <c r="G10" i="6"/>
  <c r="G11" i="6"/>
  <c r="G5" i="6"/>
  <c r="C27" i="8"/>
  <c r="B27" i="8"/>
  <c r="C26" i="8"/>
  <c r="B26" i="8"/>
  <c r="C25" i="8"/>
  <c r="B25" i="8"/>
  <c r="C24" i="8"/>
  <c r="B24" i="8"/>
  <c r="C23" i="8"/>
  <c r="B23" i="8"/>
  <c r="C22" i="8"/>
  <c r="C28" i="8" s="1"/>
  <c r="B22" i="8"/>
  <c r="B28" i="8" s="1"/>
  <c r="C11" i="8"/>
  <c r="B11" i="8"/>
  <c r="C10" i="8"/>
  <c r="B10" i="8"/>
  <c r="C9" i="8"/>
  <c r="B9" i="8"/>
  <c r="C8" i="8"/>
  <c r="B8" i="8"/>
  <c r="C7" i="8"/>
  <c r="B7" i="8"/>
  <c r="C6" i="8"/>
  <c r="B6" i="8"/>
  <c r="B11" i="4"/>
  <c r="C11" i="4"/>
  <c r="B10" i="4"/>
  <c r="D10" i="8" l="1"/>
  <c r="E10" i="8" s="1"/>
  <c r="D7" i="8"/>
  <c r="F7" i="8" s="1"/>
  <c r="D27" i="8"/>
  <c r="F27" i="8" s="1"/>
  <c r="D26" i="8"/>
  <c r="F26" i="8" s="1"/>
  <c r="D25" i="8"/>
  <c r="D24" i="8"/>
  <c r="E24" i="8" s="1"/>
  <c r="D23" i="8"/>
  <c r="E23" i="8" s="1"/>
  <c r="D22" i="8"/>
  <c r="E22" i="8" s="1"/>
  <c r="D11" i="8"/>
  <c r="E11" i="8" s="1"/>
  <c r="D9" i="8"/>
  <c r="E9" i="8" s="1"/>
  <c r="D6" i="8"/>
  <c r="F6" i="8" s="1"/>
  <c r="F19" i="3"/>
  <c r="E20" i="4" s="1"/>
  <c r="D29" i="8" a="1"/>
  <c r="C12" i="8"/>
  <c r="D8" i="8"/>
  <c r="F8" i="8" s="1"/>
  <c r="B12" i="8"/>
  <c r="G20" i="3"/>
  <c r="C13" i="6"/>
  <c r="C14" i="6"/>
  <c r="C15" i="6"/>
  <c r="C16" i="6"/>
  <c r="C17" i="6"/>
  <c r="C18" i="6"/>
  <c r="B14" i="6"/>
  <c r="B15" i="6"/>
  <c r="B16" i="6"/>
  <c r="B17" i="6"/>
  <c r="B18" i="6"/>
  <c r="B13" i="6"/>
  <c r="C5" i="6"/>
  <c r="C6" i="6"/>
  <c r="C7" i="6"/>
  <c r="C8" i="6"/>
  <c r="C9" i="6"/>
  <c r="C10" i="6"/>
  <c r="B6" i="6"/>
  <c r="B7" i="6"/>
  <c r="B8" i="6"/>
  <c r="B9" i="6"/>
  <c r="B10" i="6"/>
  <c r="B5" i="6"/>
  <c r="B23" i="4"/>
  <c r="C23" i="4"/>
  <c r="B24" i="4"/>
  <c r="C24" i="4"/>
  <c r="D24" i="4" s="1"/>
  <c r="B25" i="4"/>
  <c r="C25" i="4"/>
  <c r="D25" i="4" s="1"/>
  <c r="B26" i="4"/>
  <c r="C26" i="4"/>
  <c r="B27" i="4"/>
  <c r="C27" i="4"/>
  <c r="C22" i="4"/>
  <c r="B22" i="4"/>
  <c r="B7" i="4"/>
  <c r="C7" i="4"/>
  <c r="B8" i="4"/>
  <c r="C8" i="4"/>
  <c r="D8" i="4" s="1"/>
  <c r="B9" i="4"/>
  <c r="C9" i="4"/>
  <c r="D9" i="4" s="1"/>
  <c r="C10" i="4"/>
  <c r="D10" i="4" s="1"/>
  <c r="C6" i="4"/>
  <c r="B6" i="4"/>
  <c r="F25" i="8" l="1"/>
  <c r="D28" i="8"/>
  <c r="I21" i="4"/>
  <c r="I21" i="8"/>
  <c r="E8" i="8"/>
  <c r="F9" i="8"/>
  <c r="E25" i="8"/>
  <c r="E6" i="8"/>
  <c r="F10" i="8"/>
  <c r="F23" i="8"/>
  <c r="E20" i="8"/>
  <c r="F24" i="8"/>
  <c r="E7" i="8"/>
  <c r="F22" i="8"/>
  <c r="F11" i="8"/>
  <c r="E27" i="8"/>
  <c r="E26" i="8"/>
  <c r="D12" i="8"/>
  <c r="D13" i="8" a="1"/>
  <c r="D23" i="4"/>
  <c r="E23" i="4" s="1"/>
  <c r="D27" i="4"/>
  <c r="E27" i="4" s="1"/>
  <c r="D11" i="4"/>
  <c r="E25" i="4"/>
  <c r="E24" i="4"/>
  <c r="D22" i="4"/>
  <c r="D6" i="4"/>
  <c r="D26" i="4"/>
  <c r="D7" i="4"/>
  <c r="E22" i="4"/>
  <c r="E26" i="4"/>
  <c r="E6" i="4"/>
  <c r="E28" i="8" l="1"/>
  <c r="E29" i="8" a="1"/>
  <c r="E13" i="8" a="1"/>
  <c r="E12" i="8"/>
  <c r="F29" i="8" a="1"/>
  <c r="F28" i="8"/>
  <c r="F13" i="8" a="1"/>
  <c r="F12" i="8"/>
  <c r="C28" i="4"/>
  <c r="B28" i="4"/>
  <c r="E7" i="4"/>
  <c r="E8" i="4"/>
  <c r="E9" i="4"/>
  <c r="E10" i="4"/>
  <c r="E11" i="4"/>
  <c r="C12" i="4"/>
  <c r="B12" i="4"/>
  <c r="C27" i="3"/>
  <c r="C19" i="6" s="1"/>
  <c r="B27" i="3"/>
  <c r="B19" i="6" s="1"/>
  <c r="C12" i="3"/>
  <c r="C11" i="6" s="1"/>
  <c r="B12" i="3"/>
  <c r="H25" i="8" l="1"/>
  <c r="H26" i="8"/>
  <c r="H27" i="8"/>
  <c r="G27" i="8"/>
  <c r="G24" i="8"/>
  <c r="H24" i="8" s="1"/>
  <c r="G25" i="8"/>
  <c r="G26" i="8"/>
  <c r="G23" i="8"/>
  <c r="H23" i="8" s="1"/>
  <c r="G22" i="8"/>
  <c r="H22" i="8" s="1"/>
  <c r="H8" i="8"/>
  <c r="H7" i="8"/>
  <c r="H6" i="8"/>
  <c r="G8" i="8"/>
  <c r="G9" i="8"/>
  <c r="H9" i="8" s="1"/>
  <c r="G11" i="8"/>
  <c r="H11" i="8" s="1"/>
  <c r="G10" i="8"/>
  <c r="H10" i="8" s="1"/>
  <c r="G7" i="8"/>
  <c r="G6" i="8"/>
  <c r="G13" i="8" s="1" a="1"/>
  <c r="D10" i="3"/>
  <c r="E10" i="3" s="1"/>
  <c r="F10" i="3" s="1"/>
  <c r="B11" i="6"/>
  <c r="D8" i="3"/>
  <c r="E8" i="3" s="1"/>
  <c r="F8" i="3" s="1"/>
  <c r="D6" i="3"/>
  <c r="D23" i="3"/>
  <c r="E23" i="3" s="1"/>
  <c r="F23" i="3" s="1"/>
  <c r="D31" i="4"/>
  <c r="D29" i="4" a="1"/>
  <c r="D30" i="4"/>
  <c r="D28" i="4"/>
  <c r="D15" i="4"/>
  <c r="D14" i="4"/>
  <c r="D13" i="4" a="1"/>
  <c r="D12" i="4"/>
  <c r="D9" i="3"/>
  <c r="E9" i="3" s="1"/>
  <c r="F9" i="3" s="1"/>
  <c r="E6" i="3"/>
  <c r="D22" i="3"/>
  <c r="E22" i="3" s="1"/>
  <c r="D24" i="3"/>
  <c r="E24" i="3" s="1"/>
  <c r="D21" i="3"/>
  <c r="D11" i="3"/>
  <c r="E11" i="3" s="1"/>
  <c r="D25" i="3"/>
  <c r="E25" i="3" s="1"/>
  <c r="D26" i="3"/>
  <c r="E26" i="3" s="1"/>
  <c r="D7" i="3"/>
  <c r="E7" i="3" s="1"/>
  <c r="G12" i="8" l="1"/>
  <c r="G29" i="8" a="1"/>
  <c r="G28" i="8"/>
  <c r="H29" i="8" a="1"/>
  <c r="I22" i="8" s="1"/>
  <c r="H28" i="8"/>
  <c r="H13" i="8" a="1"/>
  <c r="H12" i="8"/>
  <c r="F9" i="4"/>
  <c r="F26" i="4"/>
  <c r="F22" i="4"/>
  <c r="G22" i="4" s="1"/>
  <c r="H22" i="4" s="1"/>
  <c r="F27" i="4"/>
  <c r="F23" i="4"/>
  <c r="G23" i="4" s="1"/>
  <c r="H23" i="4" s="1"/>
  <c r="F25" i="4"/>
  <c r="F24" i="4"/>
  <c r="G24" i="4" s="1"/>
  <c r="H24" i="4" s="1"/>
  <c r="F11" i="4"/>
  <c r="F6" i="4"/>
  <c r="F7" i="4"/>
  <c r="F10" i="4"/>
  <c r="G10" i="4" s="1"/>
  <c r="F8" i="4"/>
  <c r="E12" i="3"/>
  <c r="E13" i="3" a="1"/>
  <c r="F6" i="3"/>
  <c r="F25" i="3"/>
  <c r="F24" i="3"/>
  <c r="F26" i="3"/>
  <c r="F11" i="3"/>
  <c r="D27" i="3"/>
  <c r="E21" i="3"/>
  <c r="F22" i="3"/>
  <c r="F7" i="3"/>
  <c r="D12" i="3"/>
  <c r="I7" i="8" l="1"/>
  <c r="J7" i="8" s="1"/>
  <c r="F6" i="6" s="1"/>
  <c r="J6" i="6" s="1"/>
  <c r="I8" i="8"/>
  <c r="J8" i="8" s="1"/>
  <c r="F7" i="6" s="1"/>
  <c r="J7" i="6" s="1"/>
  <c r="I9" i="8"/>
  <c r="J9" i="8" s="1"/>
  <c r="F8" i="6" s="1"/>
  <c r="J8" i="6" s="1"/>
  <c r="I10" i="8"/>
  <c r="J10" i="8" s="1"/>
  <c r="F9" i="6" s="1"/>
  <c r="J9" i="6" s="1"/>
  <c r="I11" i="8"/>
  <c r="J11" i="8" s="1"/>
  <c r="F10" i="6" s="1"/>
  <c r="J10" i="6" s="1"/>
  <c r="I6" i="8"/>
  <c r="I23" i="8"/>
  <c r="J23" i="8" s="1"/>
  <c r="F14" i="6" s="1"/>
  <c r="J14" i="6" s="1"/>
  <c r="I24" i="8"/>
  <c r="J24" i="8" s="1"/>
  <c r="F15" i="6" s="1"/>
  <c r="J15" i="6" s="1"/>
  <c r="I25" i="8"/>
  <c r="J25" i="8" s="1"/>
  <c r="F16" i="6" s="1"/>
  <c r="J16" i="6" s="1"/>
  <c r="I26" i="8"/>
  <c r="J26" i="8" s="1"/>
  <c r="F17" i="6" s="1"/>
  <c r="J17" i="6" s="1"/>
  <c r="I27" i="8"/>
  <c r="J27" i="8" s="1"/>
  <c r="F18" i="6" s="1"/>
  <c r="J18" i="6" s="1"/>
  <c r="F12" i="4"/>
  <c r="F29" i="4" a="1"/>
  <c r="F28" i="4"/>
  <c r="F12" i="3"/>
  <c r="F13" i="3" a="1"/>
  <c r="G6" i="3" s="1"/>
  <c r="F21" i="3"/>
  <c r="E27" i="3"/>
  <c r="E28" i="3" a="1"/>
  <c r="J22" i="8" l="1"/>
  <c r="I28" i="8"/>
  <c r="I29" i="8" a="1"/>
  <c r="J6" i="8"/>
  <c r="I12" i="8"/>
  <c r="I13" i="8" a="1"/>
  <c r="H10" i="4"/>
  <c r="F13" i="4" a="1"/>
  <c r="F28" i="3" a="1"/>
  <c r="F27" i="3"/>
  <c r="G11" i="3"/>
  <c r="H11" i="3" s="1"/>
  <c r="D10" i="6" s="1"/>
  <c r="H10" i="6" s="1"/>
  <c r="G7" i="3"/>
  <c r="H7" i="3" s="1"/>
  <c r="D6" i="6" s="1"/>
  <c r="H6" i="6" s="1"/>
  <c r="G8" i="3"/>
  <c r="H8" i="3" s="1"/>
  <c r="D7" i="6" s="1"/>
  <c r="H7" i="6" s="1"/>
  <c r="G9" i="3"/>
  <c r="H9" i="3" s="1"/>
  <c r="D8" i="6" s="1"/>
  <c r="H8" i="6" s="1"/>
  <c r="G10" i="3"/>
  <c r="H10" i="3" s="1"/>
  <c r="D9" i="6" s="1"/>
  <c r="H9" i="6" s="1"/>
  <c r="J28" i="8" l="1"/>
  <c r="F19" i="6" s="1"/>
  <c r="J19" i="6" s="1"/>
  <c r="F13" i="6"/>
  <c r="J13" i="6" s="1"/>
  <c r="J12" i="8"/>
  <c r="F11" i="6" s="1"/>
  <c r="J11" i="6" s="1"/>
  <c r="F5" i="6"/>
  <c r="J5" i="6" s="1"/>
  <c r="G23" i="3"/>
  <c r="H23" i="3" s="1"/>
  <c r="D15" i="6" s="1"/>
  <c r="H15" i="6" s="1"/>
  <c r="G25" i="3"/>
  <c r="H25" i="3" s="1"/>
  <c r="D17" i="6" s="1"/>
  <c r="H17" i="6" s="1"/>
  <c r="G21" i="3"/>
  <c r="G24" i="3"/>
  <c r="H24" i="3" s="1"/>
  <c r="D16" i="6" s="1"/>
  <c r="H16" i="6" s="1"/>
  <c r="G22" i="3"/>
  <c r="H22" i="3" s="1"/>
  <c r="D14" i="6" s="1"/>
  <c r="H14" i="6" s="1"/>
  <c r="G26" i="3"/>
  <c r="H26" i="3" s="1"/>
  <c r="D18" i="6" s="1"/>
  <c r="H18" i="6" s="1"/>
  <c r="G12" i="3"/>
  <c r="G13" i="3" a="1"/>
  <c r="H6" i="3"/>
  <c r="H12" i="3" l="1"/>
  <c r="D11" i="6" s="1"/>
  <c r="H11" i="6" s="1"/>
  <c r="D5" i="6"/>
  <c r="H5" i="6" s="1"/>
  <c r="G27" i="3"/>
  <c r="H21" i="3"/>
  <c r="G28" i="3" a="1"/>
  <c r="H27" i="3" l="1"/>
  <c r="D19" i="6" s="1"/>
  <c r="H19" i="6" s="1"/>
  <c r="D13" i="6"/>
  <c r="H13" i="6" s="1"/>
  <c r="E12" i="4"/>
  <c r="E29" i="4" a="1"/>
  <c r="G6" i="4" l="1"/>
  <c r="G11" i="4"/>
  <c r="H11" i="4" s="1"/>
  <c r="G9" i="4"/>
  <c r="H9" i="4" s="1"/>
  <c r="G7" i="4"/>
  <c r="H7" i="4" s="1"/>
  <c r="G8" i="4"/>
  <c r="H8" i="4" s="1"/>
  <c r="E13" i="4" a="1"/>
  <c r="E28" i="4"/>
  <c r="G25" i="4" s="1"/>
  <c r="H25" i="4" s="1"/>
  <c r="G26" i="4" l="1"/>
  <c r="G27" i="4"/>
  <c r="H27" i="4" s="1"/>
  <c r="H6" i="4"/>
  <c r="G12" i="4"/>
  <c r="G13" i="4" a="1"/>
  <c r="H26" i="4" l="1"/>
  <c r="G28" i="4"/>
  <c r="G29" i="4" a="1"/>
  <c r="H13" i="4" a="1"/>
  <c r="H12" i="4"/>
  <c r="H29" i="4" l="1" a="1"/>
  <c r="H28" i="4"/>
  <c r="I7" i="4"/>
  <c r="J7" i="4" s="1"/>
  <c r="E6" i="6" s="1"/>
  <c r="I6" i="6" s="1"/>
  <c r="I6" i="4"/>
  <c r="I9" i="4"/>
  <c r="J9" i="4" s="1"/>
  <c r="E8" i="6" s="1"/>
  <c r="I8" i="6" s="1"/>
  <c r="I11" i="4"/>
  <c r="J11" i="4" s="1"/>
  <c r="E10" i="6" s="1"/>
  <c r="I10" i="6" s="1"/>
  <c r="I8" i="4"/>
  <c r="J8" i="4" s="1"/>
  <c r="E7" i="6" s="1"/>
  <c r="I7" i="6" s="1"/>
  <c r="I10" i="4"/>
  <c r="J10" i="4" s="1"/>
  <c r="E9" i="6" s="1"/>
  <c r="I9" i="6" s="1"/>
  <c r="I23" i="4" l="1"/>
  <c r="J23" i="4" s="1"/>
  <c r="E14" i="6" s="1"/>
  <c r="I14" i="6" s="1"/>
  <c r="I24" i="4"/>
  <c r="J24" i="4" s="1"/>
  <c r="E15" i="6" s="1"/>
  <c r="I15" i="6" s="1"/>
  <c r="I25" i="4"/>
  <c r="J25" i="4" s="1"/>
  <c r="E16" i="6" s="1"/>
  <c r="I16" i="6" s="1"/>
  <c r="I26" i="4"/>
  <c r="J26" i="4" s="1"/>
  <c r="E17" i="6" s="1"/>
  <c r="I17" i="6" s="1"/>
  <c r="I22" i="4"/>
  <c r="I27" i="4"/>
  <c r="J27" i="4" s="1"/>
  <c r="E18" i="6" s="1"/>
  <c r="I18" i="6" s="1"/>
  <c r="J6" i="4"/>
  <c r="I13" i="4" a="1"/>
  <c r="I12" i="4"/>
  <c r="J12" i="4" l="1"/>
  <c r="E11" i="6" s="1"/>
  <c r="I11" i="6" s="1"/>
  <c r="E5" i="6"/>
  <c r="I5" i="6" s="1"/>
  <c r="J22" i="4"/>
  <c r="I29" i="4" a="1"/>
  <c r="I28" i="4"/>
  <c r="J28" i="4" l="1"/>
  <c r="E19" i="6" s="1"/>
  <c r="I19" i="6" s="1"/>
  <c r="E13" i="6"/>
  <c r="I13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<sst xmlns="http://schemas.openxmlformats.org/spreadsheetml/2006/main" count="181" uniqueCount="48">
  <si>
    <t>Positive total</t>
  </si>
  <si>
    <t>Negative total</t>
  </si>
  <si>
    <t>Abs Total</t>
  </si>
  <si>
    <t>Total</t>
  </si>
  <si>
    <t>Hospital Z</t>
  </si>
  <si>
    <t>Hospital Y</t>
  </si>
  <si>
    <t>Hospital X</t>
  </si>
  <si>
    <t>Hospital W</t>
  </si>
  <si>
    <t>Hospital V</t>
  </si>
  <si>
    <t>Hospital U</t>
  </si>
  <si>
    <t>Cap (State Agreement)</t>
  </si>
  <si>
    <t xml:space="preserve">State GB Weight </t>
  </si>
  <si>
    <t>B</t>
  </si>
  <si>
    <t>A</t>
  </si>
  <si>
    <t xml:space="preserve">Bridge Adjustment Cap Applied </t>
  </si>
  <si>
    <t>State GB Weight Applied</t>
  </si>
  <si>
    <t xml:space="preserve">PY3 Final HGB </t>
  </si>
  <si>
    <t>Difference</t>
  </si>
  <si>
    <t>Hospital-specific global budget (State)</t>
  </si>
  <si>
    <t>Hospital-specific global budget (CMMI)</t>
  </si>
  <si>
    <t>C=B/[Btotal] * [Atotal]</t>
  </si>
  <si>
    <t>D = C - A</t>
  </si>
  <si>
    <t>E = D * [% State GB Weight]</t>
  </si>
  <si>
    <t xml:space="preserve">F = E unless [Etotal]&gt;Cap, otherwise = [Eproportion] * Cap </t>
  </si>
  <si>
    <t>G = A + F</t>
  </si>
  <si>
    <t>Pool Positives and Negatives</t>
  </si>
  <si>
    <t>Only apply net+ to hospital+ and net- to hosptial-</t>
  </si>
  <si>
    <t xml:space="preserve">Bridge Adjustment with Cap Applied </t>
  </si>
  <si>
    <t>Bridge Adjustment without Cap</t>
  </si>
  <si>
    <t>Apply State Weight</t>
  </si>
  <si>
    <t>Final HGB</t>
  </si>
  <si>
    <t xml:space="preserve">State Equivalent HGB </t>
  </si>
  <si>
    <t>HBG Under Option 1 - Original</t>
  </si>
  <si>
    <t>HGB Under Option 2 - Split the Difference</t>
  </si>
  <si>
    <t>Option 1 applies a bridge adjustment to spread the aggregate (state-level) difference between CMMI and state global budgets across all hospitals as weighted by a glide path factor (i.e. state weight)</t>
  </si>
  <si>
    <t>Option 2 splits the difference between the hospital and state global budgets based on a glide path factor, and shifts additional budget based on the aggregate, state-level difference to ensure a budget neutral bridge adjustment</t>
  </si>
  <si>
    <t>Option 3 creates a pool of bridge funding from hospitals with a CMMI global budget higher than their state global budget based on a glide path factor (i.e. state weight of 50%) and distributes the pool based on proportional changes in global budgets to hospitals with a CMMI global budget less than their state global budget, up to a maximum associated with the glide path factor.</t>
  </si>
  <si>
    <t>Generate funding pool (based on weight)</t>
  </si>
  <si>
    <t>Calculate Raw Funding Shift</t>
  </si>
  <si>
    <t>Calculate Funding Shift, Proportional to available pool</t>
  </si>
  <si>
    <t>HGB Under Option 3 - Funding Pool</t>
  </si>
  <si>
    <t>Percent Difference before Bridge</t>
  </si>
  <si>
    <t>Percent Difference After Bridge - Option 1</t>
  </si>
  <si>
    <t>Percent Difference After Bridge - Option 3</t>
  </si>
  <si>
    <t>Percent Difference After Bridge - Option 2</t>
  </si>
  <si>
    <t>Scenario A: Total Medicare FFS Hospital GB CMMI &gt; Maryland</t>
  </si>
  <si>
    <t>Scenario B: Total Medicare FFS Hospital GB CMMI &lt; Maryland</t>
  </si>
  <si>
    <t>Scenario B: Total Medicare FFS Hospital GB CMMI &gt; Maryland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</si>
</sst>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2" fillId="0" borderId="0" xfId="0" applyFont="1"/>
    <xf numFmtId="164" fontId="2" fillId="3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164" fontId="2" fillId="0" borderId="1" xfId="0" applyNumberFormat="1" applyFont="1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9" fontId="4" fillId="4" borderId="1" xfId="0" applyNumberFormat="1" applyFont="1" applyFill="1" applyBorder="1"/>
    <xf numFmtId="9" fontId="0" fillId="0" borderId="1" xfId="0" applyNumberFormat="1" applyBorder="1"/>
    <xf numFmtId="0" fontId="0" fillId="4" borderId="1" xfId="0" applyFill="1" applyBorder="1" applyAlignment="1">
      <alignment wrapText="1"/>
    </xf>
    <xf numFmtId="9" fontId="0" fillId="5" borderId="1" xfId="0" applyNumberFormat="1" applyFill="1" applyBorder="1"/>
    <xf numFmtId="0" fontId="0" fillId="5" borderId="1" xfId="0" applyFill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3" fillId="8" borderId="0" xfId="0" applyFont="1" applyFill="1" applyAlignment="1">
      <alignment horizontal="centerContinuous" wrapText="1"/>
    </xf>
    <xf numFmtId="0" fontId="3" fillId="8" borderId="0" xfId="0" applyFont="1" applyFill="1" applyAlignment="1">
      <alignment horizontal="centerContinuous"/>
    </xf>
    <xf numFmtId="0" fontId="3" fillId="8" borderId="1" xfId="0" applyFont="1" applyFill="1" applyBorder="1" applyAlignment="1">
      <alignment horizontal="centerContinuous"/>
    </xf>
    <xf numFmtId="0" fontId="6" fillId="0" borderId="5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/>
    </xf>
    <xf numFmtId="0" fontId="4" fillId="0" borderId="0" xfId="0" applyFont="1"/>
    <xf numFmtId="165" fontId="0" fillId="0" borderId="1" xfId="1" applyNumberFormat="1" applyFont="1" applyBorder="1"/>
    <xf numFmtId="9" fontId="2" fillId="3" borderId="1" xfId="1" applyFont="1" applyFill="1" applyBorder="1"/>
    <xf numFmtId="164" fontId="0" fillId="0" borderId="1" xfId="1" applyNumberFormat="1" applyFont="1" applyBorder="1"/>
    <xf numFmtId="164" fontId="2" fillId="3" borderId="1" xfId="1" applyNumberFormat="1" applyFont="1" applyFill="1" applyBorder="1"/>
    <xf numFmtId="9" fontId="0" fillId="2" borderId="1" xfId="1" applyFont="1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0" xfId="0" applyFill="1" applyAlignment="1">
      <alignment horizontal="centerContinuous"/>
    </xf>
    <xf numFmtId="0" fontId="3" fillId="8" borderId="1" xfId="0" applyFont="1" applyFill="1" applyBorder="1" applyAlignment="1">
      <alignment horizontal="centerContinuous" wrapText="1"/>
    </xf>
    <xf numFmtId="0" fontId="2" fillId="0" borderId="1" xfId="0" applyFont="1" applyBorder="1"/>
    <xf numFmtId="0" fontId="2" fillId="8" borderId="1" xfId="0" applyFont="1" applyFill="1" applyBorder="1" applyAlignment="1">
      <alignment horizontal="centerContinuous"/>
    </xf>
    <xf numFmtId="9" fontId="0" fillId="5" borderId="1" xfId="1" applyFont="1" applyFill="1" applyBorder="1" applyAlignment="1">
      <alignment wrapText="1"/>
    </xf>
    <xf numFmtId="9" fontId="0" fillId="4" borderId="1" xfId="1" applyFont="1" applyFill="1" applyBorder="1" applyAlignment="1">
      <alignment wrapText="1"/>
    </xf>
    <xf numFmtId="9" fontId="4" fillId="0" borderId="1" xfId="0" applyNumberFormat="1" applyFont="1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0" xfId="0" applyFill="1"/>
    <xf numFmtId="0" fontId="0" fillId="0" borderId="1" xfId="0" applyFill="1" applyBorder="1" applyAlignment="1">
      <alignment wrapText="1"/>
    </xf>
    <xf numFmtId="9" fontId="4" fillId="9" borderId="1" xfId="0" applyNumberFormat="1" applyFont="1" applyFill="1" applyBorder="1"/>
    <xf numFmtId="9" fontId="0" fillId="0" borderId="1" xfId="1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7" fillId="10" borderId="1" xfId="0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328D2-24D6-49AE-866C-B45DEF651D00}">
  <dimension ref="A1:J19"/>
  <sheetViews>
    <sheetView tabSelected="1" topLeftCell="A3" workbookViewId="0">
      <selection activeCell="B2" sqref="B2"/>
    </sheetView>
  </sheetViews>
  <sheetFormatPr defaultRowHeight="14.4" x14ac:dyDescent="0.55000000000000004"/>
  <cols>
    <col min="1" max="1" width="24.3125" customWidth="1"/>
    <col min="2" max="3" width="16.41796875" customWidth="1"/>
    <col min="4" max="4" width="33.05078125" customWidth="1"/>
    <col min="5" max="5" width="28" customWidth="1"/>
    <col min="6" max="6" width="32.83984375" customWidth="1"/>
    <col min="7" max="10" width="10.578125" customWidth="1"/>
  </cols>
  <sheetData>
    <row r="1" spans="1:10" x14ac:dyDescent="0.55000000000000004">
      <c r="A1" s="16" t="s">
        <v>11</v>
      </c>
      <c r="B1" s="42">
        <v>0.5</v>
      </c>
      <c r="C1" s="1"/>
      <c r="D1" s="1"/>
      <c r="E1" s="1"/>
    </row>
    <row r="2" spans="1:10" ht="28.8" x14ac:dyDescent="0.55000000000000004">
      <c r="A2" s="14" t="s">
        <v>10</v>
      </c>
      <c r="B2" s="43">
        <v>0.3</v>
      </c>
      <c r="C2" s="1"/>
      <c r="D2" s="1"/>
      <c r="E2" s="1"/>
    </row>
    <row r="3" spans="1:10" ht="144" x14ac:dyDescent="0.55000000000000004">
      <c r="A3" s="48"/>
      <c r="B3" s="50"/>
      <c r="C3" s="1"/>
      <c r="D3" s="53" t="s">
        <v>34</v>
      </c>
      <c r="E3" s="53" t="s">
        <v>35</v>
      </c>
      <c r="F3" s="54" t="s">
        <v>36</v>
      </c>
    </row>
    <row r="4" spans="1:10" ht="57.6" x14ac:dyDescent="0.55000000000000004">
      <c r="A4" s="52" t="s">
        <v>45</v>
      </c>
      <c r="B4" s="11" t="s">
        <v>19</v>
      </c>
      <c r="C4" s="11" t="s">
        <v>18</v>
      </c>
      <c r="D4" s="11" t="s">
        <v>32</v>
      </c>
      <c r="E4" s="11" t="s">
        <v>33</v>
      </c>
      <c r="F4" s="11" t="s">
        <v>40</v>
      </c>
      <c r="G4" s="51" t="s">
        <v>41</v>
      </c>
      <c r="H4" s="51" t="s">
        <v>42</v>
      </c>
      <c r="I4" s="51" t="s">
        <v>44</v>
      </c>
      <c r="J4" s="51" t="s">
        <v>43</v>
      </c>
    </row>
    <row r="5" spans="1:10" x14ac:dyDescent="0.55000000000000004">
      <c r="A5" s="1" t="s">
        <v>9</v>
      </c>
      <c r="B5" s="9">
        <f>'Option 1 - Original, Proportion'!B6</f>
        <v>50</v>
      </c>
      <c r="C5" s="9">
        <f>'Option 1 - Original, Proportion'!C6</f>
        <v>45</v>
      </c>
      <c r="D5" s="9">
        <f>'Option 1 - Original, Proportion'!H6</f>
        <v>47.816901408450704</v>
      </c>
      <c r="E5" s="9">
        <f>'Option 2 - Split the Difference'!J6</f>
        <v>48.214285714285715</v>
      </c>
      <c r="F5" s="9">
        <f>'Option 3 - Funding Pool'!J6</f>
        <v>48.214285714285715</v>
      </c>
      <c r="G5" s="31">
        <f>B5/C5-1</f>
        <v>0.11111111111111116</v>
      </c>
      <c r="H5" s="31">
        <f>D5/C5-1</f>
        <v>6.2597809076682331E-2</v>
      </c>
      <c r="I5" s="31">
        <f>E5/C5-1</f>
        <v>7.1428571428571397E-2</v>
      </c>
      <c r="J5" s="31">
        <f>F5/C5-1</f>
        <v>7.1428571428571397E-2</v>
      </c>
    </row>
    <row r="6" spans="1:10" x14ac:dyDescent="0.55000000000000004">
      <c r="A6" s="1" t="s">
        <v>8</v>
      </c>
      <c r="B6" s="9">
        <f>'Option 1 - Original, Proportion'!B7</f>
        <v>7</v>
      </c>
      <c r="C6" s="9">
        <f>'Option 1 - Original, Proportion'!C7</f>
        <v>6</v>
      </c>
      <c r="D6" s="9">
        <f>'Option 1 - Original, Proportion'!H7</f>
        <v>6.5422535211267601</v>
      </c>
      <c r="E6" s="9">
        <f>'Option 2 - Split the Difference'!J7</f>
        <v>6.6428571428571432</v>
      </c>
      <c r="F6" s="9">
        <f>'Option 3 - Funding Pool'!J7</f>
        <v>6.6428571428571432</v>
      </c>
      <c r="G6" s="31">
        <f t="shared" ref="G6:G11" si="0">B6/C6-1</f>
        <v>0.16666666666666674</v>
      </c>
      <c r="H6" s="31">
        <f t="shared" ref="H6:H11" si="1">D6/C6-1</f>
        <v>9.037558685446001E-2</v>
      </c>
      <c r="I6" s="31">
        <f t="shared" ref="I6:I11" si="2">E6/C6-1</f>
        <v>0.10714285714285721</v>
      </c>
      <c r="J6" s="31">
        <f t="shared" ref="J6:J11" si="3">F6/C6-1</f>
        <v>0.10714285714285721</v>
      </c>
    </row>
    <row r="7" spans="1:10" x14ac:dyDescent="0.55000000000000004">
      <c r="A7" s="1" t="s">
        <v>7</v>
      </c>
      <c r="B7" s="9">
        <f>'Option 1 - Original, Proportion'!B8</f>
        <v>11</v>
      </c>
      <c r="C7" s="9">
        <f>'Option 1 - Original, Proportion'!C8</f>
        <v>10</v>
      </c>
      <c r="D7" s="9">
        <f>'Option 1 - Original, Proportion'!H8</f>
        <v>10.570422535211268</v>
      </c>
      <c r="E7" s="9">
        <f>'Option 2 - Split the Difference'!J8</f>
        <v>10.642857142857142</v>
      </c>
      <c r="F7" s="9">
        <f>'Option 3 - Funding Pool'!J8</f>
        <v>10.642857142857142</v>
      </c>
      <c r="G7" s="31">
        <f t="shared" si="0"/>
        <v>0.10000000000000009</v>
      </c>
      <c r="H7" s="31">
        <f t="shared" si="1"/>
        <v>5.7042253521126796E-2</v>
      </c>
      <c r="I7" s="31">
        <f t="shared" si="2"/>
        <v>6.4285714285714279E-2</v>
      </c>
      <c r="J7" s="31">
        <f t="shared" si="3"/>
        <v>6.4285714285714279E-2</v>
      </c>
    </row>
    <row r="8" spans="1:10" x14ac:dyDescent="0.55000000000000004">
      <c r="A8" s="1" t="s">
        <v>6</v>
      </c>
      <c r="B8" s="9">
        <f>'Option 1 - Original, Proportion'!B9</f>
        <v>21</v>
      </c>
      <c r="C8" s="9">
        <f>'Option 1 - Original, Proportion'!C9</f>
        <v>22</v>
      </c>
      <c r="D8" s="9">
        <f>'Option 1 - Original, Proportion'!H9</f>
        <v>21.654929577464788</v>
      </c>
      <c r="E8" s="9">
        <f>'Option 2 - Split the Difference'!J9</f>
        <v>21.5</v>
      </c>
      <c r="F8" s="9">
        <f>'Option 3 - Funding Pool'!J9</f>
        <v>21.5</v>
      </c>
      <c r="G8" s="31">
        <f t="shared" si="0"/>
        <v>-4.5454545454545414E-2</v>
      </c>
      <c r="H8" s="31">
        <f t="shared" si="1"/>
        <v>-1.5685019206145956E-2</v>
      </c>
      <c r="I8" s="31">
        <f t="shared" si="2"/>
        <v>-2.2727272727272707E-2</v>
      </c>
      <c r="J8" s="31">
        <f t="shared" si="3"/>
        <v>-2.2727272727272707E-2</v>
      </c>
    </row>
    <row r="9" spans="1:10" x14ac:dyDescent="0.55000000000000004">
      <c r="A9" s="1" t="s">
        <v>5</v>
      </c>
      <c r="B9" s="9">
        <f>'Option 1 - Original, Proportion'!B10</f>
        <v>32</v>
      </c>
      <c r="C9" s="9">
        <f>'Option 1 - Original, Proportion'!C10</f>
        <v>34</v>
      </c>
      <c r="D9" s="9">
        <f>'Option 1 - Original, Proportion'!H10</f>
        <v>33.239436619718305</v>
      </c>
      <c r="E9" s="9">
        <f>'Option 2 - Split the Difference'!J10</f>
        <v>33</v>
      </c>
      <c r="F9" s="9">
        <f>'Option 3 - Funding Pool'!J10</f>
        <v>33</v>
      </c>
      <c r="G9" s="31">
        <f t="shared" si="0"/>
        <v>-5.8823529411764719E-2</v>
      </c>
      <c r="H9" s="31">
        <f t="shared" si="1"/>
        <v>-2.2369511184755719E-2</v>
      </c>
      <c r="I9" s="31">
        <f t="shared" si="2"/>
        <v>-2.9411764705882359E-2</v>
      </c>
      <c r="J9" s="31">
        <f t="shared" si="3"/>
        <v>-2.9411764705882359E-2</v>
      </c>
    </row>
    <row r="10" spans="1:10" x14ac:dyDescent="0.55000000000000004">
      <c r="A10" s="1" t="s">
        <v>4</v>
      </c>
      <c r="B10" s="9">
        <f>'Option 1 - Original, Proportion'!B11</f>
        <v>23</v>
      </c>
      <c r="C10" s="9">
        <f>'Option 1 - Original, Proportion'!C11</f>
        <v>25</v>
      </c>
      <c r="D10" s="9">
        <f>'Option 1 - Original, Proportion'!H11</f>
        <v>24.176056338028168</v>
      </c>
      <c r="E10" s="9">
        <f>'Option 2 - Split the Difference'!J11</f>
        <v>24</v>
      </c>
      <c r="F10" s="9">
        <f>'Option 3 - Funding Pool'!J11</f>
        <v>24</v>
      </c>
      <c r="G10" s="31">
        <f t="shared" si="0"/>
        <v>-7.999999999999996E-2</v>
      </c>
      <c r="H10" s="31">
        <f t="shared" si="1"/>
        <v>-3.2957746478873284E-2</v>
      </c>
      <c r="I10" s="31">
        <f t="shared" si="2"/>
        <v>-4.0000000000000036E-2</v>
      </c>
      <c r="J10" s="31">
        <f t="shared" si="3"/>
        <v>-4.0000000000000036E-2</v>
      </c>
    </row>
    <row r="11" spans="1:10" x14ac:dyDescent="0.55000000000000004">
      <c r="A11" s="40" t="s">
        <v>3</v>
      </c>
      <c r="B11" s="8">
        <f>'Option 1 - Original, Proportion'!B12</f>
        <v>144</v>
      </c>
      <c r="C11" s="8">
        <f>'Option 1 - Original, Proportion'!C12</f>
        <v>142</v>
      </c>
      <c r="D11" s="8">
        <f>'Option 1 - Original, Proportion'!H12</f>
        <v>144</v>
      </c>
      <c r="E11" s="8">
        <f>'Option 2 - Split the Difference'!J12</f>
        <v>144</v>
      </c>
      <c r="F11" s="8">
        <f>'Option 3 - Funding Pool'!J12</f>
        <v>144</v>
      </c>
      <c r="G11" s="31">
        <f t="shared" si="0"/>
        <v>1.4084507042253502E-2</v>
      </c>
      <c r="H11" s="31">
        <f t="shared" si="1"/>
        <v>1.4084507042253502E-2</v>
      </c>
      <c r="I11" s="31">
        <f t="shared" si="2"/>
        <v>1.4084507042253502E-2</v>
      </c>
      <c r="J11" s="31">
        <f t="shared" si="3"/>
        <v>1.4084507042253502E-2</v>
      </c>
    </row>
    <row r="12" spans="1:10" ht="57.6" x14ac:dyDescent="0.55000000000000004">
      <c r="A12" s="52" t="s">
        <v>46</v>
      </c>
      <c r="B12" s="11" t="s">
        <v>19</v>
      </c>
      <c r="C12" s="11" t="s">
        <v>18</v>
      </c>
      <c r="D12" s="11" t="s">
        <v>32</v>
      </c>
      <c r="E12" s="11" t="s">
        <v>33</v>
      </c>
      <c r="F12" s="11" t="s">
        <v>40</v>
      </c>
      <c r="G12" s="51" t="s">
        <v>41</v>
      </c>
      <c r="H12" s="51" t="s">
        <v>42</v>
      </c>
      <c r="I12" s="51" t="s">
        <v>44</v>
      </c>
      <c r="J12" s="51" t="s">
        <v>43</v>
      </c>
    </row>
    <row r="13" spans="1:10" x14ac:dyDescent="0.55000000000000004">
      <c r="A13" s="1" t="s">
        <v>9</v>
      </c>
      <c r="B13" s="9">
        <f>'Option 1 - Original, Proportion'!B21</f>
        <v>45</v>
      </c>
      <c r="C13" s="9">
        <f>'Option 1 - Original, Proportion'!C21</f>
        <v>50</v>
      </c>
      <c r="D13" s="9">
        <f>'Option 1 - Original, Proportion'!H21</f>
        <v>47.152777777777779</v>
      </c>
      <c r="E13" s="9">
        <f>'Option 2 - Split the Difference'!J22</f>
        <v>47.5</v>
      </c>
      <c r="F13" s="9">
        <f>'Option 3 - Funding Pool'!J22</f>
        <v>46.785714285714285</v>
      </c>
      <c r="G13" s="31">
        <f>B13/C13-1</f>
        <v>-9.9999999999999978E-2</v>
      </c>
      <c r="H13" s="31">
        <f>$D13/C13-1</f>
        <v>-5.6944444444444464E-2</v>
      </c>
      <c r="I13" s="31">
        <f>E13/C13-1</f>
        <v>-5.0000000000000044E-2</v>
      </c>
      <c r="J13" s="31">
        <f>F13/C13-1</f>
        <v>-6.4285714285714279E-2</v>
      </c>
    </row>
    <row r="14" spans="1:10" x14ac:dyDescent="0.55000000000000004">
      <c r="A14" s="1" t="s">
        <v>8</v>
      </c>
      <c r="B14" s="9">
        <f>'Option 1 - Original, Proportion'!B22</f>
        <v>6</v>
      </c>
      <c r="C14" s="9">
        <f>'Option 1 - Original, Proportion'!C22</f>
        <v>7</v>
      </c>
      <c r="D14" s="9">
        <f>'Option 1 - Original, Proportion'!H22</f>
        <v>6.4513888888888893</v>
      </c>
      <c r="E14" s="9">
        <f>'Option 2 - Split the Difference'!J23</f>
        <v>6.5</v>
      </c>
      <c r="F14" s="9">
        <f>'Option 3 - Funding Pool'!J23</f>
        <v>6.3571428571428568</v>
      </c>
      <c r="G14" s="31">
        <f t="shared" ref="G14:G19" si="4">B14/C14-1</f>
        <v>-0.1428571428571429</v>
      </c>
      <c r="H14" s="31">
        <f t="shared" ref="H14:H19" si="5">$D14/C14-1</f>
        <v>-7.8373015873015817E-2</v>
      </c>
      <c r="I14" s="31">
        <f t="shared" ref="I14:I19" si="6">E14/C14-1</f>
        <v>-7.1428571428571397E-2</v>
      </c>
      <c r="J14" s="31">
        <f t="shared" ref="J14:J19" si="7">F14/C14-1</f>
        <v>-9.1836734693877653E-2</v>
      </c>
    </row>
    <row r="15" spans="1:10" x14ac:dyDescent="0.55000000000000004">
      <c r="A15" s="1" t="s">
        <v>7</v>
      </c>
      <c r="B15" s="9">
        <f>'Option 1 - Original, Proportion'!B23</f>
        <v>10</v>
      </c>
      <c r="C15" s="9">
        <f>'Option 1 - Original, Proportion'!C23</f>
        <v>11</v>
      </c>
      <c r="D15" s="9">
        <f>'Option 1 - Original, Proportion'!H23</f>
        <v>10.423611111111111</v>
      </c>
      <c r="E15" s="9">
        <f>'Option 2 - Split the Difference'!J24</f>
        <v>10.5</v>
      </c>
      <c r="F15" s="9">
        <f>'Option 3 - Funding Pool'!J24</f>
        <v>10.357142857142858</v>
      </c>
      <c r="G15" s="31">
        <f t="shared" si="4"/>
        <v>-9.0909090909090939E-2</v>
      </c>
      <c r="H15" s="31">
        <f t="shared" si="5"/>
        <v>-5.2398989898989945E-2</v>
      </c>
      <c r="I15" s="31">
        <f t="shared" si="6"/>
        <v>-4.5454545454545414E-2</v>
      </c>
      <c r="J15" s="31">
        <f t="shared" si="7"/>
        <v>-5.8441558441558406E-2</v>
      </c>
    </row>
    <row r="16" spans="1:10" x14ac:dyDescent="0.55000000000000004">
      <c r="A16" s="1" t="s">
        <v>6</v>
      </c>
      <c r="B16" s="9">
        <f>'Option 1 - Original, Proportion'!B24</f>
        <v>22</v>
      </c>
      <c r="C16" s="9">
        <f>'Option 1 - Original, Proportion'!C24</f>
        <v>21</v>
      </c>
      <c r="D16" s="9">
        <f>'Option 1 - Original, Proportion'!H24</f>
        <v>21.354166666666668</v>
      </c>
      <c r="E16" s="9">
        <f>'Option 2 - Split the Difference'!J25</f>
        <v>21.3</v>
      </c>
      <c r="F16" s="9">
        <f>'Option 3 - Funding Pool'!J25</f>
        <v>21.5</v>
      </c>
      <c r="G16" s="31">
        <f t="shared" si="4"/>
        <v>4.7619047619047672E-2</v>
      </c>
      <c r="H16" s="31">
        <f t="shared" si="5"/>
        <v>1.6865079365079527E-2</v>
      </c>
      <c r="I16" s="31">
        <f t="shared" si="6"/>
        <v>1.4285714285714235E-2</v>
      </c>
      <c r="J16" s="31">
        <f t="shared" si="7"/>
        <v>2.3809523809523725E-2</v>
      </c>
    </row>
    <row r="17" spans="1:10" x14ac:dyDescent="0.55000000000000004">
      <c r="A17" s="1" t="s">
        <v>5</v>
      </c>
      <c r="B17" s="9">
        <f>'Option 1 - Original, Proportion'!B25</f>
        <v>34</v>
      </c>
      <c r="C17" s="9">
        <f>'Option 1 - Original, Proportion'!C25</f>
        <v>32</v>
      </c>
      <c r="D17" s="9">
        <f>'Option 1 - Original, Proportion'!H25</f>
        <v>32.777777777777779</v>
      </c>
      <c r="E17" s="9">
        <f>'Option 2 - Split the Difference'!J26</f>
        <v>32.6</v>
      </c>
      <c r="F17" s="9">
        <f>'Option 3 - Funding Pool'!J26</f>
        <v>33</v>
      </c>
      <c r="G17" s="31">
        <f t="shared" si="4"/>
        <v>6.25E-2</v>
      </c>
      <c r="H17" s="31">
        <f t="shared" si="5"/>
        <v>2.430555555555558E-2</v>
      </c>
      <c r="I17" s="31">
        <f t="shared" si="6"/>
        <v>1.8750000000000044E-2</v>
      </c>
      <c r="J17" s="31">
        <f t="shared" si="7"/>
        <v>3.125E-2</v>
      </c>
    </row>
    <row r="18" spans="1:10" x14ac:dyDescent="0.55000000000000004">
      <c r="A18" s="1" t="s">
        <v>4</v>
      </c>
      <c r="B18" s="9">
        <f>'Option 1 - Original, Proportion'!B26</f>
        <v>25</v>
      </c>
      <c r="C18" s="9">
        <f>'Option 1 - Original, Proportion'!C26</f>
        <v>23</v>
      </c>
      <c r="D18" s="9">
        <f>'Option 1 - Original, Proportion'!H26</f>
        <v>23.840277777777779</v>
      </c>
      <c r="E18" s="9">
        <f>'Option 2 - Split the Difference'!J27</f>
        <v>23.6</v>
      </c>
      <c r="F18" s="9">
        <f>'Option 3 - Funding Pool'!J27</f>
        <v>24</v>
      </c>
      <c r="G18" s="31">
        <f t="shared" si="4"/>
        <v>8.6956521739130377E-2</v>
      </c>
      <c r="H18" s="31">
        <f t="shared" si="5"/>
        <v>3.6533816425120769E-2</v>
      </c>
      <c r="I18" s="31">
        <f t="shared" si="6"/>
        <v>2.6086956521739202E-2</v>
      </c>
      <c r="J18" s="31">
        <f t="shared" si="7"/>
        <v>4.3478260869565188E-2</v>
      </c>
    </row>
    <row r="19" spans="1:10" x14ac:dyDescent="0.55000000000000004">
      <c r="A19" s="40" t="s">
        <v>3</v>
      </c>
      <c r="B19" s="8">
        <f>'Option 1 - Original, Proportion'!B27</f>
        <v>142</v>
      </c>
      <c r="C19" s="8">
        <f>'Option 1 - Original, Proportion'!C27</f>
        <v>144</v>
      </c>
      <c r="D19" s="8">
        <f>'Option 1 - Original, Proportion'!H27</f>
        <v>142</v>
      </c>
      <c r="E19" s="8">
        <f>'Option 2 - Split the Difference'!J28</f>
        <v>142</v>
      </c>
      <c r="F19" s="8">
        <f>'Option 3 - Funding Pool'!J28</f>
        <v>142</v>
      </c>
      <c r="G19" s="31">
        <f t="shared" si="4"/>
        <v>-1.388888888888884E-2</v>
      </c>
      <c r="H19" s="31">
        <f t="shared" si="5"/>
        <v>-1.388888888888884E-2</v>
      </c>
      <c r="I19" s="31">
        <f t="shared" si="6"/>
        <v>-1.388888888888884E-2</v>
      </c>
      <c r="J19" s="31">
        <f t="shared" si="7"/>
        <v>-1.388888888888884E-2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DB9C4-B6DA-4053-A1BD-A5DAC5A6A62D}">
  <dimension ref="A1:H31"/>
  <sheetViews>
    <sheetView zoomScale="110" zoomScaleNormal="110" workbookViewId="0">
      <selection activeCell="A17" sqref="A17"/>
    </sheetView>
  </sheetViews>
  <sheetFormatPr defaultRowHeight="14.4" x14ac:dyDescent="0.55000000000000004"/>
  <cols>
    <col min="1" max="1" width="21.578125" style="2" customWidth="1"/>
    <col min="2" max="8" width="19.26171875" customWidth="1"/>
  </cols>
  <sheetData>
    <row r="1" spans="1:8" x14ac:dyDescent="0.55000000000000004">
      <c r="A1" s="23" t="s">
        <v>45</v>
      </c>
      <c r="B1" s="24"/>
      <c r="C1" s="24"/>
      <c r="D1" s="24"/>
      <c r="E1" s="24"/>
      <c r="F1" s="24"/>
      <c r="G1" s="24"/>
      <c r="H1" s="24"/>
    </row>
    <row r="2" spans="1:8" s="2" customFormat="1" ht="28.8" x14ac:dyDescent="0.55000000000000004">
      <c r="A2" s="22"/>
      <c r="B2" s="22" t="s">
        <v>19</v>
      </c>
      <c r="C2" s="22" t="s">
        <v>18</v>
      </c>
      <c r="D2" s="21" t="s">
        <v>31</v>
      </c>
      <c r="E2" s="22" t="s">
        <v>17</v>
      </c>
      <c r="F2" s="22" t="s">
        <v>15</v>
      </c>
      <c r="G2" s="21" t="s">
        <v>14</v>
      </c>
      <c r="H2" s="20" t="s">
        <v>16</v>
      </c>
    </row>
    <row r="3" spans="1:8" ht="57.6" x14ac:dyDescent="0.55000000000000004">
      <c r="A3" s="10"/>
      <c r="B3" s="18" t="s">
        <v>13</v>
      </c>
      <c r="C3" s="18" t="s">
        <v>12</v>
      </c>
      <c r="D3" s="26" t="s">
        <v>20</v>
      </c>
      <c r="E3" s="18" t="s">
        <v>21</v>
      </c>
      <c r="F3" s="18" t="s">
        <v>22</v>
      </c>
      <c r="G3" s="18" t="s">
        <v>23</v>
      </c>
      <c r="H3" s="17" t="s">
        <v>24</v>
      </c>
    </row>
    <row r="4" spans="1:8" x14ac:dyDescent="0.55000000000000004">
      <c r="A4" s="16" t="s">
        <v>11</v>
      </c>
      <c r="B4" s="10"/>
      <c r="C4" s="10"/>
      <c r="D4" s="10"/>
      <c r="E4" s="10"/>
      <c r="F4" s="15">
        <f>Comparison!B1</f>
        <v>0.5</v>
      </c>
      <c r="G4" s="1"/>
      <c r="H4" s="11"/>
    </row>
    <row r="5" spans="1:8" x14ac:dyDescent="0.55000000000000004">
      <c r="A5" s="14" t="s">
        <v>10</v>
      </c>
      <c r="B5" s="10"/>
      <c r="C5" s="10"/>
      <c r="D5" s="10"/>
      <c r="E5" s="10"/>
      <c r="F5" s="13"/>
      <c r="G5" s="12">
        <f>Comparison!B2</f>
        <v>0.3</v>
      </c>
      <c r="H5" s="11"/>
    </row>
    <row r="6" spans="1:8" x14ac:dyDescent="0.55000000000000004">
      <c r="A6" s="10" t="s">
        <v>9</v>
      </c>
      <c r="B6" s="9">
        <v>50</v>
      </c>
      <c r="C6" s="9">
        <v>45</v>
      </c>
      <c r="D6" s="9">
        <f>C6/$C$12*$B$12</f>
        <v>45.633802816901408</v>
      </c>
      <c r="E6" s="9">
        <f>D6-B6</f>
        <v>-4.3661971830985919</v>
      </c>
      <c r="F6" s="9">
        <f t="shared" ref="F6:F11" si="0">E6*$F$4</f>
        <v>-2.183098591549296</v>
      </c>
      <c r="G6" s="9">
        <f>IF($F$13&lt;($B$12*$G$5),F6,(F6/$F$13*($B$12*$G$5)))</f>
        <v>-2.183098591549296</v>
      </c>
      <c r="H6" s="8">
        <f t="shared" ref="H6:H11" si="1">$B6+G6</f>
        <v>47.816901408450704</v>
      </c>
    </row>
    <row r="7" spans="1:8" x14ac:dyDescent="0.55000000000000004">
      <c r="A7" s="10" t="s">
        <v>8</v>
      </c>
      <c r="B7" s="9">
        <v>7</v>
      </c>
      <c r="C7" s="9">
        <v>6</v>
      </c>
      <c r="D7" s="9">
        <f t="shared" ref="D7:D11" si="2">C7/$C$12*$B$12</f>
        <v>6.084507042253521</v>
      </c>
      <c r="E7" s="9">
        <f t="shared" ref="E7:E10" si="3">D7-B7</f>
        <v>-0.91549295774647899</v>
      </c>
      <c r="F7" s="9">
        <f t="shared" si="0"/>
        <v>-0.45774647887323949</v>
      </c>
      <c r="G7" s="9">
        <f t="shared" ref="G7:G11" si="4">IF($F$13&lt;($B$12*$G$5),F7,(F7/$F$13*($B$12*$G$5)))</f>
        <v>-0.45774647887323949</v>
      </c>
      <c r="H7" s="8">
        <f t="shared" si="1"/>
        <v>6.5422535211267601</v>
      </c>
    </row>
    <row r="8" spans="1:8" x14ac:dyDescent="0.55000000000000004">
      <c r="A8" s="10" t="s">
        <v>7</v>
      </c>
      <c r="B8" s="9">
        <v>11</v>
      </c>
      <c r="C8" s="9">
        <v>10</v>
      </c>
      <c r="D8" s="9">
        <f t="shared" si="2"/>
        <v>10.140845070422536</v>
      </c>
      <c r="E8" s="9">
        <f t="shared" si="3"/>
        <v>-0.85915492957746409</v>
      </c>
      <c r="F8" s="9">
        <f t="shared" si="0"/>
        <v>-0.42957746478873204</v>
      </c>
      <c r="G8" s="9">
        <f t="shared" si="4"/>
        <v>-0.42957746478873204</v>
      </c>
      <c r="H8" s="8">
        <f t="shared" si="1"/>
        <v>10.570422535211268</v>
      </c>
    </row>
    <row r="9" spans="1:8" x14ac:dyDescent="0.55000000000000004">
      <c r="A9" s="10" t="s">
        <v>6</v>
      </c>
      <c r="B9" s="9">
        <v>21</v>
      </c>
      <c r="C9" s="9">
        <v>22</v>
      </c>
      <c r="D9" s="9">
        <f t="shared" si="2"/>
        <v>22.309859154929576</v>
      </c>
      <c r="E9" s="9">
        <f t="shared" si="3"/>
        <v>1.3098591549295762</v>
      </c>
      <c r="F9" s="9">
        <f t="shared" si="0"/>
        <v>0.65492957746478808</v>
      </c>
      <c r="G9" s="9">
        <f t="shared" si="4"/>
        <v>0.65492957746478808</v>
      </c>
      <c r="H9" s="8">
        <f t="shared" si="1"/>
        <v>21.654929577464788</v>
      </c>
    </row>
    <row r="10" spans="1:8" x14ac:dyDescent="0.55000000000000004">
      <c r="A10" s="10" t="s">
        <v>5</v>
      </c>
      <c r="B10" s="9">
        <v>32</v>
      </c>
      <c r="C10" s="9">
        <v>34</v>
      </c>
      <c r="D10" s="9">
        <f t="shared" si="2"/>
        <v>34.478873239436616</v>
      </c>
      <c r="E10" s="9">
        <f t="shared" si="3"/>
        <v>2.4788732394366164</v>
      </c>
      <c r="F10" s="9">
        <f t="shared" si="0"/>
        <v>1.2394366197183082</v>
      </c>
      <c r="G10" s="9">
        <f t="shared" si="4"/>
        <v>1.2394366197183082</v>
      </c>
      <c r="H10" s="8">
        <f t="shared" si="1"/>
        <v>33.239436619718305</v>
      </c>
    </row>
    <row r="11" spans="1:8" x14ac:dyDescent="0.55000000000000004">
      <c r="A11" s="10" t="s">
        <v>4</v>
      </c>
      <c r="B11" s="9">
        <v>23</v>
      </c>
      <c r="C11" s="9">
        <v>25</v>
      </c>
      <c r="D11" s="9">
        <f t="shared" si="2"/>
        <v>25.352112676056336</v>
      </c>
      <c r="E11" s="9">
        <f>D11-B11</f>
        <v>2.3521126760563362</v>
      </c>
      <c r="F11" s="9">
        <f t="shared" si="0"/>
        <v>1.1760563380281681</v>
      </c>
      <c r="G11" s="9">
        <f t="shared" si="4"/>
        <v>1.1760563380281681</v>
      </c>
      <c r="H11" s="8">
        <f t="shared" si="1"/>
        <v>24.176056338028168</v>
      </c>
    </row>
    <row r="12" spans="1:8" s="5" customFormat="1" x14ac:dyDescent="0.55000000000000004">
      <c r="A12" s="7" t="s">
        <v>3</v>
      </c>
      <c r="B12" s="6">
        <f t="shared" ref="B12:F12" si="5">SUM(B6:B11)</f>
        <v>144</v>
      </c>
      <c r="C12" s="6">
        <f t="shared" si="5"/>
        <v>142</v>
      </c>
      <c r="D12" s="6">
        <f>SUM(D6:D11)</f>
        <v>144</v>
      </c>
      <c r="E12" s="6">
        <f t="shared" si="5"/>
        <v>-6.2172489379008766E-15</v>
      </c>
      <c r="F12" s="6">
        <f t="shared" si="5"/>
        <v>-3.1086244689504383E-15</v>
      </c>
      <c r="G12" s="6">
        <f>SUM(G6:G11)</f>
        <v>-3.1086244689504383E-15</v>
      </c>
      <c r="H12" s="6">
        <f>SUM(H6:H11)</f>
        <v>144</v>
      </c>
    </row>
    <row r="13" spans="1:8" x14ac:dyDescent="0.55000000000000004">
      <c r="A13" s="4" t="s">
        <v>2</v>
      </c>
      <c r="B13" s="1"/>
      <c r="C13" s="1"/>
      <c r="D13" s="1"/>
      <c r="E13" s="3" cm="1">
        <f t="array" ref="E13">SUM(ABS(E6:E11))</f>
        <v>12.281690140845065</v>
      </c>
      <c r="F13" s="3" cm="1">
        <f t="array" ref="F13">SUM(ABS(F6:F11))</f>
        <v>6.1408450704225324</v>
      </c>
      <c r="G13" s="3" cm="1">
        <f t="array" ref="G13">SUM(ABS(G6:G11))</f>
        <v>6.1408450704225324</v>
      </c>
      <c r="H13" s="1"/>
    </row>
    <row r="14" spans="1:8" x14ac:dyDescent="0.55000000000000004">
      <c r="E14" s="27"/>
      <c r="F14" s="27"/>
      <c r="G14" s="27"/>
    </row>
    <row r="15" spans="1:8" x14ac:dyDescent="0.55000000000000004">
      <c r="A15" s="28"/>
      <c r="B15" s="29"/>
      <c r="C15" s="29"/>
      <c r="D15" s="29"/>
      <c r="E15" s="29"/>
      <c r="F15" s="29"/>
      <c r="G15" s="29"/>
      <c r="H15" s="29"/>
    </row>
    <row r="16" spans="1:8" x14ac:dyDescent="0.55000000000000004">
      <c r="A16" s="23" t="s">
        <v>46</v>
      </c>
      <c r="B16" s="24"/>
      <c r="C16" s="24"/>
      <c r="D16" s="24"/>
      <c r="E16" s="24"/>
      <c r="F16" s="24"/>
      <c r="G16" s="24"/>
      <c r="H16" s="24"/>
    </row>
    <row r="17" spans="1:8" ht="28.8" x14ac:dyDescent="0.55000000000000004">
      <c r="A17" s="22"/>
      <c r="B17" s="22" t="s">
        <v>19</v>
      </c>
      <c r="C17" s="22" t="s">
        <v>18</v>
      </c>
      <c r="D17" s="21" t="s">
        <v>31</v>
      </c>
      <c r="E17" s="22" t="s">
        <v>17</v>
      </c>
      <c r="F17" s="22" t="s">
        <v>15</v>
      </c>
      <c r="G17" s="21" t="s">
        <v>14</v>
      </c>
      <c r="H17" s="20" t="s">
        <v>16</v>
      </c>
    </row>
    <row r="18" spans="1:8" ht="57.6" x14ac:dyDescent="0.55000000000000004">
      <c r="A18" s="10"/>
      <c r="B18" s="18" t="s">
        <v>13</v>
      </c>
      <c r="C18" s="18" t="s">
        <v>12</v>
      </c>
      <c r="D18" s="26" t="s">
        <v>20</v>
      </c>
      <c r="E18" s="18" t="s">
        <v>21</v>
      </c>
      <c r="F18" s="18" t="s">
        <v>22</v>
      </c>
      <c r="G18" s="18" t="s">
        <v>23</v>
      </c>
      <c r="H18" s="17" t="s">
        <v>24</v>
      </c>
    </row>
    <row r="19" spans="1:8" x14ac:dyDescent="0.55000000000000004">
      <c r="A19" s="10" t="s">
        <v>11</v>
      </c>
      <c r="B19" s="10"/>
      <c r="C19" s="10"/>
      <c r="D19" s="10"/>
      <c r="E19" s="10"/>
      <c r="F19" s="13">
        <f>F4</f>
        <v>0.5</v>
      </c>
      <c r="G19" s="1"/>
      <c r="H19" s="11"/>
    </row>
    <row r="20" spans="1:8" x14ac:dyDescent="0.55000000000000004">
      <c r="A20" s="10" t="s">
        <v>10</v>
      </c>
      <c r="B20" s="10"/>
      <c r="C20" s="10"/>
      <c r="D20" s="10"/>
      <c r="E20" s="10"/>
      <c r="F20" s="13"/>
      <c r="G20" s="44">
        <f>G5</f>
        <v>0.3</v>
      </c>
      <c r="H20" s="11"/>
    </row>
    <row r="21" spans="1:8" x14ac:dyDescent="0.55000000000000004">
      <c r="A21" s="10" t="s">
        <v>9</v>
      </c>
      <c r="B21" s="9">
        <v>45</v>
      </c>
      <c r="C21" s="9">
        <v>50</v>
      </c>
      <c r="D21" s="9">
        <f>C21/$C$27*$B$27</f>
        <v>49.305555555555557</v>
      </c>
      <c r="E21" s="9">
        <f>D21-B21</f>
        <v>4.3055555555555571</v>
      </c>
      <c r="F21" s="9">
        <f>E21*$F$19</f>
        <v>2.1527777777777786</v>
      </c>
      <c r="G21" s="9">
        <f>IF($F$28&lt;($B$27*$G$20),F21,(F21/$F$28*($B$27*$G$20)))</f>
        <v>2.1527777777777786</v>
      </c>
      <c r="H21" s="8">
        <f>$B21+G21</f>
        <v>47.152777777777779</v>
      </c>
    </row>
    <row r="22" spans="1:8" x14ac:dyDescent="0.55000000000000004">
      <c r="A22" s="10" t="s">
        <v>8</v>
      </c>
      <c r="B22" s="9">
        <v>6</v>
      </c>
      <c r="C22" s="9">
        <v>7</v>
      </c>
      <c r="D22" s="9">
        <f t="shared" ref="D22:D26" si="6">C22/$C$27*$B$27</f>
        <v>6.9027777777777777</v>
      </c>
      <c r="E22" s="9">
        <f t="shared" ref="E22:E25" si="7">D22-B22</f>
        <v>0.90277777777777768</v>
      </c>
      <c r="F22" s="9">
        <f t="shared" ref="F22:F26" si="8">E22*$F$19</f>
        <v>0.45138888888888884</v>
      </c>
      <c r="G22" s="9">
        <f t="shared" ref="G22:G26" si="9">IF($F$28&lt;($B$27*$G$20),F22,(F22/$F$28*($B$27*$G$20)))</f>
        <v>0.45138888888888884</v>
      </c>
      <c r="H22" s="8">
        <f t="shared" ref="H22:H26" si="10">$B22+G22</f>
        <v>6.4513888888888893</v>
      </c>
    </row>
    <row r="23" spans="1:8" x14ac:dyDescent="0.55000000000000004">
      <c r="A23" s="10" t="s">
        <v>7</v>
      </c>
      <c r="B23" s="9">
        <v>10</v>
      </c>
      <c r="C23" s="9">
        <v>11</v>
      </c>
      <c r="D23" s="9">
        <f t="shared" si="6"/>
        <v>10.847222222222223</v>
      </c>
      <c r="E23" s="9">
        <f t="shared" si="7"/>
        <v>0.84722222222222321</v>
      </c>
      <c r="F23" s="9">
        <f t="shared" si="8"/>
        <v>0.4236111111111116</v>
      </c>
      <c r="G23" s="9">
        <f t="shared" si="9"/>
        <v>0.4236111111111116</v>
      </c>
      <c r="H23" s="8">
        <f t="shared" si="10"/>
        <v>10.423611111111111</v>
      </c>
    </row>
    <row r="24" spans="1:8" x14ac:dyDescent="0.55000000000000004">
      <c r="A24" s="10" t="s">
        <v>6</v>
      </c>
      <c r="B24" s="9">
        <v>22</v>
      </c>
      <c r="C24" s="9">
        <v>21</v>
      </c>
      <c r="D24" s="9">
        <f t="shared" si="6"/>
        <v>20.708333333333336</v>
      </c>
      <c r="E24" s="9">
        <f t="shared" si="7"/>
        <v>-1.2916666666666643</v>
      </c>
      <c r="F24" s="9">
        <f t="shared" si="8"/>
        <v>-0.64583333333333215</v>
      </c>
      <c r="G24" s="9">
        <f t="shared" si="9"/>
        <v>-0.64583333333333215</v>
      </c>
      <c r="H24" s="8">
        <f t="shared" si="10"/>
        <v>21.354166666666668</v>
      </c>
    </row>
    <row r="25" spans="1:8" x14ac:dyDescent="0.55000000000000004">
      <c r="A25" s="10" t="s">
        <v>5</v>
      </c>
      <c r="B25" s="9">
        <v>34</v>
      </c>
      <c r="C25" s="9">
        <v>32</v>
      </c>
      <c r="D25" s="9">
        <f t="shared" si="6"/>
        <v>31.555555555555554</v>
      </c>
      <c r="E25" s="9">
        <f t="shared" si="7"/>
        <v>-2.4444444444444464</v>
      </c>
      <c r="F25" s="9">
        <f t="shared" si="8"/>
        <v>-1.2222222222222232</v>
      </c>
      <c r="G25" s="9">
        <f t="shared" si="9"/>
        <v>-1.2222222222222232</v>
      </c>
      <c r="H25" s="8">
        <f t="shared" si="10"/>
        <v>32.777777777777779</v>
      </c>
    </row>
    <row r="26" spans="1:8" x14ac:dyDescent="0.55000000000000004">
      <c r="A26" s="10" t="s">
        <v>4</v>
      </c>
      <c r="B26" s="9">
        <v>25</v>
      </c>
      <c r="C26" s="9">
        <v>23</v>
      </c>
      <c r="D26" s="9">
        <f t="shared" si="6"/>
        <v>22.680555555555554</v>
      </c>
      <c r="E26" s="9">
        <f>D26-B26</f>
        <v>-2.3194444444444464</v>
      </c>
      <c r="F26" s="9">
        <f t="shared" si="8"/>
        <v>-1.1597222222222232</v>
      </c>
      <c r="G26" s="9">
        <f t="shared" si="9"/>
        <v>-1.1597222222222232</v>
      </c>
      <c r="H26" s="8">
        <f t="shared" si="10"/>
        <v>23.840277777777779</v>
      </c>
    </row>
    <row r="27" spans="1:8" x14ac:dyDescent="0.55000000000000004">
      <c r="A27" s="7" t="s">
        <v>3</v>
      </c>
      <c r="B27" s="6">
        <f t="shared" ref="B27:H27" si="11">SUM(B21:B26)</f>
        <v>142</v>
      </c>
      <c r="C27" s="6">
        <f t="shared" si="11"/>
        <v>144</v>
      </c>
      <c r="D27" s="6">
        <f t="shared" si="11"/>
        <v>142</v>
      </c>
      <c r="E27" s="6">
        <f t="shared" si="11"/>
        <v>0</v>
      </c>
      <c r="F27" s="6">
        <f t="shared" si="11"/>
        <v>0</v>
      </c>
      <c r="G27" s="6">
        <f t="shared" si="11"/>
        <v>0</v>
      </c>
      <c r="H27" s="6">
        <f t="shared" si="11"/>
        <v>142</v>
      </c>
    </row>
    <row r="28" spans="1:8" s="5" customFormat="1" x14ac:dyDescent="0.55000000000000004">
      <c r="A28" s="4" t="s">
        <v>2</v>
      </c>
      <c r="B28" s="1"/>
      <c r="C28" s="1"/>
      <c r="D28" s="1"/>
      <c r="E28" s="3" cm="1">
        <f t="array" ref="E28">SUM(ABS(E21:E26))</f>
        <v>12.111111111111114</v>
      </c>
      <c r="F28" s="3" cm="1">
        <f t="array" ref="F28">SUM(ABS(F21:F26))</f>
        <v>6.0555555555555571</v>
      </c>
      <c r="G28" s="3" cm="1">
        <f t="array" ref="G28">SUM(ABS(G21:G26))</f>
        <v>6.0555555555555571</v>
      </c>
      <c r="H28" s="1"/>
    </row>
    <row r="30" spans="1:8" x14ac:dyDescent="0.55000000000000004">
      <c r="A30" s="30"/>
    </row>
    <row r="31" spans="1:8" x14ac:dyDescent="0.55000000000000004">
      <c r="A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4E60B-A526-4F7F-A65F-6156CBB6E1C3}">
  <dimension ref="A1:J31"/>
  <sheetViews>
    <sheetView zoomScale="120" zoomScaleNormal="120" workbookViewId="0">
      <selection activeCell="A18" sqref="A18"/>
    </sheetView>
  </sheetViews>
  <sheetFormatPr defaultRowHeight="14.4" x14ac:dyDescent="0.55000000000000004"/>
  <cols>
    <col min="1" max="1" width="21.578125" style="2" customWidth="1"/>
    <col min="2" max="10" width="16" customWidth="1"/>
  </cols>
  <sheetData>
    <row r="1" spans="1:10" ht="15" customHeight="1" x14ac:dyDescent="0.55000000000000004">
      <c r="A1" s="23" t="s">
        <v>45</v>
      </c>
      <c r="B1" s="24"/>
      <c r="C1" s="24"/>
      <c r="D1" s="24"/>
      <c r="E1" s="24"/>
      <c r="F1" s="24"/>
      <c r="G1" s="24"/>
      <c r="H1" s="24"/>
      <c r="I1" s="24"/>
      <c r="J1" s="38"/>
    </row>
    <row r="2" spans="1:10" s="2" customFormat="1" ht="43.2" x14ac:dyDescent="0.55000000000000004">
      <c r="A2" s="22"/>
      <c r="B2" s="22" t="s">
        <v>19</v>
      </c>
      <c r="C2" s="22" t="s">
        <v>18</v>
      </c>
      <c r="D2" s="22" t="s">
        <v>17</v>
      </c>
      <c r="E2" s="21" t="s">
        <v>29</v>
      </c>
      <c r="F2" s="10" t="s">
        <v>25</v>
      </c>
      <c r="G2" s="21" t="s">
        <v>26</v>
      </c>
      <c r="H2" s="21" t="s">
        <v>28</v>
      </c>
      <c r="I2" s="10" t="s">
        <v>27</v>
      </c>
      <c r="J2" s="11" t="s">
        <v>30</v>
      </c>
    </row>
    <row r="3" spans="1:10" x14ac:dyDescent="0.55000000000000004">
      <c r="A3" s="10"/>
      <c r="B3" s="18" t="s">
        <v>13</v>
      </c>
      <c r="C3" s="18" t="s">
        <v>12</v>
      </c>
      <c r="D3" s="18"/>
      <c r="E3" s="18"/>
      <c r="F3" s="19"/>
      <c r="G3" s="19"/>
      <c r="H3" s="19"/>
      <c r="I3" s="19"/>
      <c r="J3" s="40"/>
    </row>
    <row r="4" spans="1:10" x14ac:dyDescent="0.55000000000000004">
      <c r="A4" s="10" t="s">
        <v>11</v>
      </c>
      <c r="B4" s="10"/>
      <c r="C4" s="10"/>
      <c r="D4" s="10"/>
      <c r="E4" s="15">
        <f>Comparison!B1</f>
        <v>0.5</v>
      </c>
      <c r="F4" s="1"/>
      <c r="G4" s="1"/>
      <c r="H4" s="1"/>
      <c r="I4" s="1"/>
      <c r="J4" s="40"/>
    </row>
    <row r="5" spans="1:10" x14ac:dyDescent="0.55000000000000004">
      <c r="A5" s="10" t="s">
        <v>10</v>
      </c>
      <c r="B5" s="10"/>
      <c r="C5" s="10"/>
      <c r="D5" s="10"/>
      <c r="E5" s="11"/>
      <c r="F5" s="13"/>
      <c r="G5" s="13"/>
      <c r="H5" s="13"/>
      <c r="I5" s="49">
        <f>Comparison!B2</f>
        <v>0.3</v>
      </c>
      <c r="J5" s="40"/>
    </row>
    <row r="6" spans="1:10" x14ac:dyDescent="0.55000000000000004">
      <c r="A6" s="10" t="s">
        <v>9</v>
      </c>
      <c r="B6" s="9">
        <f>'Option 1 - Original, Proportion'!B6</f>
        <v>50</v>
      </c>
      <c r="C6" s="9">
        <f>'Option 1 - Original, Proportion'!C6</f>
        <v>45</v>
      </c>
      <c r="D6" s="9">
        <f>C6-B6</f>
        <v>-5</v>
      </c>
      <c r="E6" s="9">
        <f>D6*$E$4</f>
        <v>-2.5</v>
      </c>
      <c r="F6" s="31">
        <f>IF(D6&gt;0, D6/ABS($D$15), D6/ABS($D$14))</f>
        <v>-0.7142857142857143</v>
      </c>
      <c r="G6" s="33">
        <f>IF(F6&lt;0, F6*$E$12, 0)</f>
        <v>0.7142857142857143</v>
      </c>
      <c r="H6" s="33">
        <f>E6+G6</f>
        <v>-1.7857142857142856</v>
      </c>
      <c r="I6" s="9">
        <f>IF($H$13&lt;($B$12*$I$5),H6,(H6/$H$13)*($B$12*$I$5))</f>
        <v>-1.7857142857142856</v>
      </c>
      <c r="J6" s="8">
        <f>B6+I6</f>
        <v>48.214285714285715</v>
      </c>
    </row>
    <row r="7" spans="1:10" x14ac:dyDescent="0.55000000000000004">
      <c r="A7" s="10" t="s">
        <v>8</v>
      </c>
      <c r="B7" s="9">
        <f>'Option 1 - Original, Proportion'!B7</f>
        <v>7</v>
      </c>
      <c r="C7" s="9">
        <f>'Option 1 - Original, Proportion'!C7</f>
        <v>6</v>
      </c>
      <c r="D7" s="9">
        <f t="shared" ref="D7:D11" si="0">C7-B7</f>
        <v>-1</v>
      </c>
      <c r="E7" s="9">
        <f t="shared" ref="E7:E11" si="1">D7*$E$4</f>
        <v>-0.5</v>
      </c>
      <c r="F7" s="31">
        <f t="shared" ref="F7:F10" si="2">IF(D7&gt;0, D7/ABS($D$15), D7/ABS($D$14))</f>
        <v>-0.14285714285714285</v>
      </c>
      <c r="G7" s="33">
        <f t="shared" ref="G7:G11" si="3">IF(F7&lt;0, F7*$E$12, 0)</f>
        <v>0.14285714285714285</v>
      </c>
      <c r="H7" s="33">
        <f t="shared" ref="H7:H11" si="4">E7+G7</f>
        <v>-0.35714285714285715</v>
      </c>
      <c r="I7" s="9">
        <f t="shared" ref="I7:I11" si="5">IF($H$13&lt;($B$12*$I$5),H7,(H7/$H$13)*($B$12*$I$5))</f>
        <v>-0.35714285714285715</v>
      </c>
      <c r="J7" s="8">
        <f t="shared" ref="J7:J11" si="6">B7+I7</f>
        <v>6.6428571428571432</v>
      </c>
    </row>
    <row r="8" spans="1:10" x14ac:dyDescent="0.55000000000000004">
      <c r="A8" s="10" t="s">
        <v>7</v>
      </c>
      <c r="B8" s="9">
        <f>'Option 1 - Original, Proportion'!B8</f>
        <v>11</v>
      </c>
      <c r="C8" s="9">
        <f>'Option 1 - Original, Proportion'!C8</f>
        <v>10</v>
      </c>
      <c r="D8" s="9">
        <f t="shared" si="0"/>
        <v>-1</v>
      </c>
      <c r="E8" s="9">
        <f t="shared" si="1"/>
        <v>-0.5</v>
      </c>
      <c r="F8" s="31">
        <f t="shared" si="2"/>
        <v>-0.14285714285714285</v>
      </c>
      <c r="G8" s="33">
        <f t="shared" si="3"/>
        <v>0.14285714285714285</v>
      </c>
      <c r="H8" s="33">
        <f t="shared" si="4"/>
        <v>-0.35714285714285715</v>
      </c>
      <c r="I8" s="9">
        <f t="shared" si="5"/>
        <v>-0.35714285714285715</v>
      </c>
      <c r="J8" s="8">
        <f t="shared" si="6"/>
        <v>10.642857142857142</v>
      </c>
    </row>
    <row r="9" spans="1:10" x14ac:dyDescent="0.55000000000000004">
      <c r="A9" s="10" t="s">
        <v>6</v>
      </c>
      <c r="B9" s="9">
        <f>'Option 1 - Original, Proportion'!B9</f>
        <v>21</v>
      </c>
      <c r="C9" s="9">
        <f>'Option 1 - Original, Proportion'!C9</f>
        <v>22</v>
      </c>
      <c r="D9" s="9">
        <f t="shared" si="0"/>
        <v>1</v>
      </c>
      <c r="E9" s="9">
        <f t="shared" si="1"/>
        <v>0.5</v>
      </c>
      <c r="F9" s="31">
        <f t="shared" si="2"/>
        <v>0.2</v>
      </c>
      <c r="G9" s="33">
        <f t="shared" si="3"/>
        <v>0</v>
      </c>
      <c r="H9" s="33">
        <f t="shared" si="4"/>
        <v>0.5</v>
      </c>
      <c r="I9" s="9">
        <f t="shared" si="5"/>
        <v>0.5</v>
      </c>
      <c r="J9" s="8">
        <f t="shared" si="6"/>
        <v>21.5</v>
      </c>
    </row>
    <row r="10" spans="1:10" x14ac:dyDescent="0.55000000000000004">
      <c r="A10" s="10" t="s">
        <v>5</v>
      </c>
      <c r="B10" s="9">
        <f>'Option 1 - Original, Proportion'!B10</f>
        <v>32</v>
      </c>
      <c r="C10" s="9">
        <f>'Option 1 - Original, Proportion'!C10</f>
        <v>34</v>
      </c>
      <c r="D10" s="9">
        <f t="shared" si="0"/>
        <v>2</v>
      </c>
      <c r="E10" s="9">
        <f t="shared" si="1"/>
        <v>1</v>
      </c>
      <c r="F10" s="31">
        <f t="shared" si="2"/>
        <v>0.4</v>
      </c>
      <c r="G10" s="33">
        <f t="shared" si="3"/>
        <v>0</v>
      </c>
      <c r="H10" s="33">
        <f t="shared" si="4"/>
        <v>1</v>
      </c>
      <c r="I10" s="9">
        <f t="shared" si="5"/>
        <v>1</v>
      </c>
      <c r="J10" s="8">
        <f t="shared" si="6"/>
        <v>33</v>
      </c>
    </row>
    <row r="11" spans="1:10" x14ac:dyDescent="0.55000000000000004">
      <c r="A11" s="10" t="s">
        <v>4</v>
      </c>
      <c r="B11" s="9">
        <f>'Option 1 - Original, Proportion'!B11</f>
        <v>23</v>
      </c>
      <c r="C11" s="9">
        <f>'Option 1 - Original, Proportion'!C11</f>
        <v>25</v>
      </c>
      <c r="D11" s="9">
        <f t="shared" si="0"/>
        <v>2</v>
      </c>
      <c r="E11" s="9">
        <f t="shared" si="1"/>
        <v>1</v>
      </c>
      <c r="F11" s="31">
        <f>IF(D11&gt;0, D11/ABS($D$15), D11/ABS($D$14))</f>
        <v>0.4</v>
      </c>
      <c r="G11" s="33">
        <f t="shared" si="3"/>
        <v>0</v>
      </c>
      <c r="H11" s="33">
        <f t="shared" si="4"/>
        <v>1</v>
      </c>
      <c r="I11" s="9">
        <f t="shared" si="5"/>
        <v>1</v>
      </c>
      <c r="J11" s="8">
        <f t="shared" si="6"/>
        <v>24</v>
      </c>
    </row>
    <row r="12" spans="1:10" s="5" customFormat="1" x14ac:dyDescent="0.55000000000000004">
      <c r="A12" s="7" t="s">
        <v>3</v>
      </c>
      <c r="B12" s="6">
        <f t="shared" ref="B12:J12" si="7">SUM(B6:B11)</f>
        <v>144</v>
      </c>
      <c r="C12" s="6">
        <f t="shared" si="7"/>
        <v>142</v>
      </c>
      <c r="D12" s="6">
        <f t="shared" si="7"/>
        <v>-2</v>
      </c>
      <c r="E12" s="34">
        <f t="shared" si="7"/>
        <v>-1</v>
      </c>
      <c r="F12" s="32">
        <f t="shared" si="7"/>
        <v>0</v>
      </c>
      <c r="G12" s="34">
        <f t="shared" si="7"/>
        <v>1</v>
      </c>
      <c r="H12" s="34">
        <f t="shared" si="7"/>
        <v>0</v>
      </c>
      <c r="I12" s="6">
        <f t="shared" si="7"/>
        <v>0</v>
      </c>
      <c r="J12" s="6">
        <f t="shared" si="7"/>
        <v>144</v>
      </c>
    </row>
    <row r="13" spans="1:10" x14ac:dyDescent="0.55000000000000004">
      <c r="A13" s="4" t="s">
        <v>2</v>
      </c>
      <c r="B13" s="1"/>
      <c r="C13" s="1"/>
      <c r="D13" s="3" cm="1">
        <f t="array" ref="D13">SUM(ABS(D6:D11))</f>
        <v>12</v>
      </c>
      <c r="E13" s="3" cm="1">
        <f t="array" ref="E13">SUM(ABS(E6:E11))</f>
        <v>6</v>
      </c>
      <c r="F13" s="35" cm="1">
        <f t="array" ref="F13">SUM(ABS(F6:F11))</f>
        <v>2</v>
      </c>
      <c r="G13" s="3" cm="1">
        <f t="array" ref="G13">SUM(ABS(G6:G11))</f>
        <v>1</v>
      </c>
      <c r="H13" s="3" cm="1">
        <f t="array" ref="H13">SUM(ABS(H6:H11))</f>
        <v>5</v>
      </c>
      <c r="I13" s="3" cm="1">
        <f t="array" ref="I13">SUM(ABS(I6:I11))</f>
        <v>5</v>
      </c>
      <c r="J13" s="40"/>
    </row>
    <row r="14" spans="1:10" x14ac:dyDescent="0.55000000000000004">
      <c r="A14" s="36" t="s">
        <v>1</v>
      </c>
      <c r="B14" s="1"/>
      <c r="C14" s="1"/>
      <c r="D14" s="36">
        <f>SUMIF(D6:D11,"&lt;0")</f>
        <v>-7</v>
      </c>
      <c r="E14" s="1"/>
      <c r="F14" s="1"/>
      <c r="G14" s="1"/>
      <c r="H14" s="1"/>
      <c r="I14" s="1"/>
      <c r="J14" s="40"/>
    </row>
    <row r="15" spans="1:10" x14ac:dyDescent="0.55000000000000004">
      <c r="A15" s="37" t="s">
        <v>0</v>
      </c>
      <c r="B15" s="1"/>
      <c r="C15" s="1"/>
      <c r="D15" s="37">
        <f>SUMIF(D6:D11,"&gt;0")</f>
        <v>5</v>
      </c>
      <c r="E15" s="1"/>
      <c r="F15" s="1"/>
      <c r="G15" s="1"/>
      <c r="H15" s="1"/>
      <c r="I15" s="1"/>
      <c r="J15" s="40"/>
    </row>
    <row r="16" spans="1:10" x14ac:dyDescent="0.55000000000000004">
      <c r="J16" s="5"/>
    </row>
    <row r="17" spans="1:10" ht="15" customHeight="1" x14ac:dyDescent="0.55000000000000004">
      <c r="A17" s="39" t="s">
        <v>47</v>
      </c>
      <c r="B17" s="25"/>
      <c r="C17" s="25"/>
      <c r="D17" s="25"/>
      <c r="E17" s="25"/>
      <c r="F17" s="25"/>
      <c r="G17" s="25"/>
      <c r="H17" s="25"/>
      <c r="I17" s="25"/>
      <c r="J17" s="41"/>
    </row>
    <row r="18" spans="1:10" s="2" customFormat="1" ht="43.2" x14ac:dyDescent="0.55000000000000004">
      <c r="A18" s="10"/>
      <c r="B18" s="10" t="s">
        <v>19</v>
      </c>
      <c r="C18" s="10" t="s">
        <v>18</v>
      </c>
      <c r="D18" s="10" t="s">
        <v>17</v>
      </c>
      <c r="E18" s="10" t="s">
        <v>29</v>
      </c>
      <c r="F18" s="10" t="s">
        <v>25</v>
      </c>
      <c r="G18" s="10" t="s">
        <v>26</v>
      </c>
      <c r="H18" s="10" t="s">
        <v>28</v>
      </c>
      <c r="I18" s="10" t="s">
        <v>14</v>
      </c>
      <c r="J18" s="11" t="s">
        <v>30</v>
      </c>
    </row>
    <row r="19" spans="1:10" x14ac:dyDescent="0.55000000000000004">
      <c r="A19" s="10"/>
      <c r="B19" s="19" t="s">
        <v>13</v>
      </c>
      <c r="C19" s="19" t="s">
        <v>12</v>
      </c>
      <c r="D19" s="19"/>
      <c r="E19" s="19"/>
      <c r="F19" s="19"/>
      <c r="G19" s="19"/>
      <c r="H19" s="19"/>
      <c r="I19" s="19"/>
      <c r="J19" s="40"/>
    </row>
    <row r="20" spans="1:10" x14ac:dyDescent="0.55000000000000004">
      <c r="A20" s="10" t="s">
        <v>11</v>
      </c>
      <c r="B20" s="10"/>
      <c r="C20" s="10"/>
      <c r="D20" s="10"/>
      <c r="E20" s="13">
        <f>'Option 1 - Original, Proportion'!F19</f>
        <v>0.5</v>
      </c>
      <c r="F20" s="1"/>
      <c r="G20" s="1"/>
      <c r="H20" s="1"/>
      <c r="I20" s="1"/>
      <c r="J20" s="40"/>
    </row>
    <row r="21" spans="1:10" x14ac:dyDescent="0.55000000000000004">
      <c r="A21" s="10" t="s">
        <v>10</v>
      </c>
      <c r="B21" s="10"/>
      <c r="C21" s="10"/>
      <c r="D21" s="10"/>
      <c r="E21" s="11"/>
      <c r="F21" s="13"/>
      <c r="G21" s="13"/>
      <c r="H21" s="13"/>
      <c r="I21" s="44">
        <f>'Option 1 - Original, Proportion'!G20</f>
        <v>0.3</v>
      </c>
      <c r="J21" s="40"/>
    </row>
    <row r="22" spans="1:10" x14ac:dyDescent="0.55000000000000004">
      <c r="A22" s="10" t="s">
        <v>9</v>
      </c>
      <c r="B22" s="9">
        <f>'Option 1 - Original, Proportion'!B21</f>
        <v>45</v>
      </c>
      <c r="C22" s="9">
        <f>'Option 1 - Original, Proportion'!C21</f>
        <v>50</v>
      </c>
      <c r="D22" s="9">
        <f>C22-B22</f>
        <v>5</v>
      </c>
      <c r="E22" s="9">
        <f>D22*$E$20</f>
        <v>2.5</v>
      </c>
      <c r="F22" s="31">
        <f>IF(D22&gt;0, D22/ABS($D$31), D22/ABS($D$30))</f>
        <v>0.7142857142857143</v>
      </c>
      <c r="G22" s="33">
        <f>IF(F22&lt;0, F22*$E$28, 0)</f>
        <v>0</v>
      </c>
      <c r="H22" s="33">
        <f>E22+G22</f>
        <v>2.5</v>
      </c>
      <c r="I22" s="9">
        <f>IF($H$29&lt;($B$12*$I$21),H22,(H22/$H$29)*($B$12*$I$21))</f>
        <v>2.5</v>
      </c>
      <c r="J22" s="8">
        <f>B22+I22</f>
        <v>47.5</v>
      </c>
    </row>
    <row r="23" spans="1:10" x14ac:dyDescent="0.55000000000000004">
      <c r="A23" s="10" t="s">
        <v>8</v>
      </c>
      <c r="B23" s="9">
        <f>'Option 1 - Original, Proportion'!B22</f>
        <v>6</v>
      </c>
      <c r="C23" s="9">
        <f>'Option 1 - Original, Proportion'!C22</f>
        <v>7</v>
      </c>
      <c r="D23" s="9">
        <f t="shared" ref="D23:D27" si="8">C23-B23</f>
        <v>1</v>
      </c>
      <c r="E23" s="9">
        <f t="shared" ref="E23:E27" si="9">D23*$E$20</f>
        <v>0.5</v>
      </c>
      <c r="F23" s="31">
        <f t="shared" ref="F23:F27" si="10">IF(D23&gt;0, D23/ABS($D$31), D23/ABS($D$30))</f>
        <v>0.14285714285714285</v>
      </c>
      <c r="G23" s="33">
        <f t="shared" ref="G23:G27" si="11">IF(F23&lt;0, F23*$E$28, 0)</f>
        <v>0</v>
      </c>
      <c r="H23" s="33">
        <f t="shared" ref="H23:H27" si="12">E23+G23</f>
        <v>0.5</v>
      </c>
      <c r="I23" s="9">
        <f t="shared" ref="I23:I27" si="13">IF($H$29&lt;($B$12*$I$21),H23,(H23/$H$29)*($B$12*$I$21))</f>
        <v>0.5</v>
      </c>
      <c r="J23" s="8">
        <f t="shared" ref="J23:J27" si="14">B23+I23</f>
        <v>6.5</v>
      </c>
    </row>
    <row r="24" spans="1:10" x14ac:dyDescent="0.55000000000000004">
      <c r="A24" s="10" t="s">
        <v>7</v>
      </c>
      <c r="B24" s="9">
        <f>'Option 1 - Original, Proportion'!B23</f>
        <v>10</v>
      </c>
      <c r="C24" s="9">
        <f>'Option 1 - Original, Proportion'!C23</f>
        <v>11</v>
      </c>
      <c r="D24" s="9">
        <f t="shared" si="8"/>
        <v>1</v>
      </c>
      <c r="E24" s="9">
        <f t="shared" si="9"/>
        <v>0.5</v>
      </c>
      <c r="F24" s="31">
        <f t="shared" si="10"/>
        <v>0.14285714285714285</v>
      </c>
      <c r="G24" s="33">
        <f t="shared" si="11"/>
        <v>0</v>
      </c>
      <c r="H24" s="33">
        <f t="shared" si="12"/>
        <v>0.5</v>
      </c>
      <c r="I24" s="9">
        <f t="shared" si="13"/>
        <v>0.5</v>
      </c>
      <c r="J24" s="8">
        <f t="shared" si="14"/>
        <v>10.5</v>
      </c>
    </row>
    <row r="25" spans="1:10" x14ac:dyDescent="0.55000000000000004">
      <c r="A25" s="10" t="s">
        <v>6</v>
      </c>
      <c r="B25" s="9">
        <f>'Option 1 - Original, Proportion'!B24</f>
        <v>22</v>
      </c>
      <c r="C25" s="9">
        <f>'Option 1 - Original, Proportion'!C24</f>
        <v>21</v>
      </c>
      <c r="D25" s="9">
        <f t="shared" si="8"/>
        <v>-1</v>
      </c>
      <c r="E25" s="9">
        <f>D25*$E$20</f>
        <v>-0.5</v>
      </c>
      <c r="F25" s="31">
        <f t="shared" si="10"/>
        <v>-0.2</v>
      </c>
      <c r="G25" s="33">
        <f t="shared" si="11"/>
        <v>-0.2</v>
      </c>
      <c r="H25" s="33">
        <f t="shared" si="12"/>
        <v>-0.7</v>
      </c>
      <c r="I25" s="9">
        <f t="shared" si="13"/>
        <v>-0.7</v>
      </c>
      <c r="J25" s="8">
        <f t="shared" si="14"/>
        <v>21.3</v>
      </c>
    </row>
    <row r="26" spans="1:10" x14ac:dyDescent="0.55000000000000004">
      <c r="A26" s="10" t="s">
        <v>5</v>
      </c>
      <c r="B26" s="9">
        <f>'Option 1 - Original, Proportion'!B25</f>
        <v>34</v>
      </c>
      <c r="C26" s="9">
        <f>'Option 1 - Original, Proportion'!C25</f>
        <v>32</v>
      </c>
      <c r="D26" s="9">
        <f t="shared" si="8"/>
        <v>-2</v>
      </c>
      <c r="E26" s="9">
        <f t="shared" si="9"/>
        <v>-1</v>
      </c>
      <c r="F26" s="31">
        <f t="shared" si="10"/>
        <v>-0.4</v>
      </c>
      <c r="G26" s="33">
        <f t="shared" si="11"/>
        <v>-0.4</v>
      </c>
      <c r="H26" s="33">
        <f t="shared" si="12"/>
        <v>-1.4</v>
      </c>
      <c r="I26" s="9">
        <f t="shared" si="13"/>
        <v>-1.4</v>
      </c>
      <c r="J26" s="8">
        <f t="shared" si="14"/>
        <v>32.6</v>
      </c>
    </row>
    <row r="27" spans="1:10" x14ac:dyDescent="0.55000000000000004">
      <c r="A27" s="10" t="s">
        <v>4</v>
      </c>
      <c r="B27" s="9">
        <f>'Option 1 - Original, Proportion'!B26</f>
        <v>25</v>
      </c>
      <c r="C27" s="9">
        <f>'Option 1 - Original, Proportion'!C26</f>
        <v>23</v>
      </c>
      <c r="D27" s="9">
        <f t="shared" si="8"/>
        <v>-2</v>
      </c>
      <c r="E27" s="9">
        <f t="shared" si="9"/>
        <v>-1</v>
      </c>
      <c r="F27" s="31">
        <f t="shared" si="10"/>
        <v>-0.4</v>
      </c>
      <c r="G27" s="33">
        <f t="shared" si="11"/>
        <v>-0.4</v>
      </c>
      <c r="H27" s="33">
        <f t="shared" si="12"/>
        <v>-1.4</v>
      </c>
      <c r="I27" s="9">
        <f t="shared" si="13"/>
        <v>-1.4</v>
      </c>
      <c r="J27" s="8">
        <f t="shared" si="14"/>
        <v>23.6</v>
      </c>
    </row>
    <row r="28" spans="1:10" s="5" customFormat="1" x14ac:dyDescent="0.55000000000000004">
      <c r="A28" s="7" t="s">
        <v>3</v>
      </c>
      <c r="B28" s="6">
        <f t="shared" ref="B28:J28" si="15">SUM(B22:B27)</f>
        <v>142</v>
      </c>
      <c r="C28" s="6">
        <f t="shared" si="15"/>
        <v>144</v>
      </c>
      <c r="D28" s="6">
        <f t="shared" si="15"/>
        <v>2</v>
      </c>
      <c r="E28" s="34">
        <f t="shared" si="15"/>
        <v>1</v>
      </c>
      <c r="F28" s="32">
        <f t="shared" si="15"/>
        <v>0</v>
      </c>
      <c r="G28" s="34">
        <f t="shared" si="15"/>
        <v>-1</v>
      </c>
      <c r="H28" s="34">
        <f t="shared" si="15"/>
        <v>0</v>
      </c>
      <c r="I28" s="6">
        <f t="shared" si="15"/>
        <v>0</v>
      </c>
      <c r="J28" s="6">
        <f t="shared" si="15"/>
        <v>142</v>
      </c>
    </row>
    <row r="29" spans="1:10" x14ac:dyDescent="0.55000000000000004">
      <c r="A29" s="4" t="s">
        <v>2</v>
      </c>
      <c r="B29" s="1"/>
      <c r="C29" s="1"/>
      <c r="D29" s="3" cm="1">
        <f t="array" ref="D29">SUM(ABS(D22:D27))</f>
        <v>12</v>
      </c>
      <c r="E29" s="3" cm="1">
        <f t="array" ref="E29">SUM(ABS(E22:E27))</f>
        <v>6</v>
      </c>
      <c r="F29" s="3" cm="1">
        <f t="array" ref="F29">SUM(ABS(F22:F27))</f>
        <v>2</v>
      </c>
      <c r="G29" s="3" cm="1">
        <f t="array" ref="G29">SUM(ABS(G22:G27))</f>
        <v>1</v>
      </c>
      <c r="H29" s="3" cm="1">
        <f t="array" ref="H29">SUM(ABS(H22:H27))</f>
        <v>7</v>
      </c>
      <c r="I29" s="3" cm="1">
        <f t="array" ref="I29">SUM(ABS(I22:I27))</f>
        <v>7</v>
      </c>
      <c r="J29" s="1"/>
    </row>
    <row r="30" spans="1:10" x14ac:dyDescent="0.55000000000000004">
      <c r="A30" s="36" t="s">
        <v>1</v>
      </c>
      <c r="B30" s="1"/>
      <c r="C30" s="1"/>
      <c r="D30" s="36">
        <f>SUMIF(D22:D27,"&lt;0")</f>
        <v>-5</v>
      </c>
      <c r="E30" s="1"/>
      <c r="F30" s="1"/>
      <c r="G30" s="1"/>
      <c r="H30" s="1"/>
      <c r="I30" s="1"/>
      <c r="J30" s="1"/>
    </row>
    <row r="31" spans="1:10" x14ac:dyDescent="0.55000000000000004">
      <c r="A31" s="37" t="s">
        <v>0</v>
      </c>
      <c r="B31" s="1"/>
      <c r="C31" s="1"/>
      <c r="D31" s="37">
        <f>SUMIF(D22:D27,"&gt;0")</f>
        <v>7</v>
      </c>
      <c r="E31" s="1"/>
      <c r="F31" s="1"/>
      <c r="G31" s="1"/>
      <c r="H31" s="1"/>
      <c r="I31" s="1"/>
      <c r="J31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EB5F-461C-4741-A3C9-7E8110E2A4EE}">
  <dimension ref="A1:J29"/>
  <sheetViews>
    <sheetView zoomScale="110" zoomScaleNormal="110" workbookViewId="0">
      <selection activeCell="A18" sqref="A18"/>
    </sheetView>
  </sheetViews>
  <sheetFormatPr defaultRowHeight="14.4" x14ac:dyDescent="0.55000000000000004"/>
  <cols>
    <col min="1" max="1" width="21.578125" style="2" customWidth="1"/>
    <col min="2" max="10" width="16" customWidth="1"/>
  </cols>
  <sheetData>
    <row r="1" spans="1:10" ht="15" customHeight="1" x14ac:dyDescent="0.55000000000000004">
      <c r="A1" s="23" t="s">
        <v>45</v>
      </c>
      <c r="B1" s="24"/>
      <c r="C1" s="24"/>
      <c r="D1" s="24"/>
      <c r="E1" s="24"/>
      <c r="F1" s="24"/>
      <c r="G1" s="24"/>
      <c r="H1" s="24"/>
      <c r="I1" s="24"/>
      <c r="J1" s="38"/>
    </row>
    <row r="2" spans="1:10" s="2" customFormat="1" ht="43.2" x14ac:dyDescent="0.55000000000000004">
      <c r="A2" s="22"/>
      <c r="B2" s="22" t="s">
        <v>19</v>
      </c>
      <c r="C2" s="22" t="s">
        <v>18</v>
      </c>
      <c r="D2" s="22" t="s">
        <v>17</v>
      </c>
      <c r="E2" s="21" t="s">
        <v>37</v>
      </c>
      <c r="F2" s="10" t="s">
        <v>38</v>
      </c>
      <c r="G2" s="21" t="s">
        <v>39</v>
      </c>
      <c r="H2" s="21" t="s">
        <v>28</v>
      </c>
      <c r="I2" s="10" t="s">
        <v>27</v>
      </c>
      <c r="J2" s="11" t="s">
        <v>30</v>
      </c>
    </row>
    <row r="3" spans="1:10" x14ac:dyDescent="0.55000000000000004">
      <c r="A3" s="10"/>
      <c r="B3" s="18" t="s">
        <v>13</v>
      </c>
      <c r="C3" s="18" t="s">
        <v>12</v>
      </c>
      <c r="D3" s="18"/>
      <c r="E3" s="18"/>
      <c r="F3" s="19"/>
      <c r="G3" s="19"/>
      <c r="H3" s="19"/>
      <c r="I3" s="19"/>
      <c r="J3" s="40"/>
    </row>
    <row r="4" spans="1:10" x14ac:dyDescent="0.55000000000000004">
      <c r="A4" s="10" t="s">
        <v>11</v>
      </c>
      <c r="B4" s="10"/>
      <c r="C4" s="10"/>
      <c r="D4" s="10"/>
      <c r="E4" s="15">
        <f>Comparison!B1</f>
        <v>0.5</v>
      </c>
      <c r="F4" s="1"/>
      <c r="G4" s="1"/>
      <c r="H4" s="1"/>
      <c r="I4" s="1"/>
      <c r="J4" s="40"/>
    </row>
    <row r="5" spans="1:10" x14ac:dyDescent="0.55000000000000004">
      <c r="A5" s="10" t="s">
        <v>10</v>
      </c>
      <c r="B5" s="10"/>
      <c r="C5" s="10"/>
      <c r="D5" s="10"/>
      <c r="E5" s="11"/>
      <c r="F5" s="13"/>
      <c r="G5" s="13"/>
      <c r="H5" s="13"/>
      <c r="I5" s="49">
        <f>Comparison!B2</f>
        <v>0.3</v>
      </c>
      <c r="J5" s="40"/>
    </row>
    <row r="6" spans="1:10" x14ac:dyDescent="0.55000000000000004">
      <c r="A6" s="10" t="s">
        <v>9</v>
      </c>
      <c r="B6" s="9">
        <f>'Option 1 - Original, Proportion'!B6</f>
        <v>50</v>
      </c>
      <c r="C6" s="9">
        <f>'Option 1 - Original, Proportion'!C6</f>
        <v>45</v>
      </c>
      <c r="D6" s="9">
        <f>C6-B6</f>
        <v>-5</v>
      </c>
      <c r="E6" s="9">
        <f>IF(D6&lt;0,D6*$E$4,0)</f>
        <v>-2.5</v>
      </c>
      <c r="F6" s="9">
        <f>IF(D6&gt;0,D6*$E$4,0)</f>
        <v>0</v>
      </c>
      <c r="G6" s="33">
        <f>IF(ABS($F$12)&lt;=ABS($E$12),F6,F6/$F$12*ABS(E12))</f>
        <v>0</v>
      </c>
      <c r="H6" s="33">
        <f>IF(D6&lt;0,IF(ABS($E$12)&gt;ABS($F$12),E6/$E$12*$F$12*-1,E6),G6)</f>
        <v>-1.7857142857142858</v>
      </c>
      <c r="I6" s="9">
        <f>IF($H$13&lt;($B$12*$I$5),H6,(H6/$H$13)*($B$12*$I$5))</f>
        <v>-1.7857142857142858</v>
      </c>
      <c r="J6" s="8">
        <f>B6+I6</f>
        <v>48.214285714285715</v>
      </c>
    </row>
    <row r="7" spans="1:10" x14ac:dyDescent="0.55000000000000004">
      <c r="A7" s="10" t="s">
        <v>8</v>
      </c>
      <c r="B7" s="9">
        <f>'Option 1 - Original, Proportion'!B7</f>
        <v>7</v>
      </c>
      <c r="C7" s="9">
        <f>'Option 1 - Original, Proportion'!C7</f>
        <v>6</v>
      </c>
      <c r="D7" s="9">
        <f t="shared" ref="D7:D11" si="0">C7-B7</f>
        <v>-1</v>
      </c>
      <c r="E7" s="9">
        <f t="shared" ref="E7:E11" si="1">IF(D7&lt;0,D7*$E$4,0)</f>
        <v>-0.5</v>
      </c>
      <c r="F7" s="9">
        <f t="shared" ref="F7:F11" si="2">IF(D7&gt;0,D7*$E$4,0)</f>
        <v>0</v>
      </c>
      <c r="G7" s="33">
        <f t="shared" ref="G7:G11" si="3">IF(ABS($F$12)&lt;=ABS($E$12),F7,F7/$F$12*ABS(E13))</f>
        <v>0</v>
      </c>
      <c r="H7" s="33">
        <f t="shared" ref="H7:H11" si="4">IF(D7&lt;0,IF(ABS($E$12)&gt;ABS($F$12),E7/$E$12*$F$12*-1,E7),G7)</f>
        <v>-0.3571428571428571</v>
      </c>
      <c r="I7" s="9">
        <f t="shared" ref="I7:I11" si="5">IF($H$13&lt;($B$12*$I$5),H7,(H7/$H$13)*($B$12*$I$5))</f>
        <v>-0.3571428571428571</v>
      </c>
      <c r="J7" s="8">
        <f t="shared" ref="J7:J11" si="6">B7+I7</f>
        <v>6.6428571428571432</v>
      </c>
    </row>
    <row r="8" spans="1:10" x14ac:dyDescent="0.55000000000000004">
      <c r="A8" s="10" t="s">
        <v>7</v>
      </c>
      <c r="B8" s="9">
        <f>'Option 1 - Original, Proportion'!B8</f>
        <v>11</v>
      </c>
      <c r="C8" s="9">
        <f>'Option 1 - Original, Proportion'!C8</f>
        <v>10</v>
      </c>
      <c r="D8" s="9">
        <f t="shared" si="0"/>
        <v>-1</v>
      </c>
      <c r="E8" s="9">
        <f t="shared" si="1"/>
        <v>-0.5</v>
      </c>
      <c r="F8" s="9">
        <f t="shared" si="2"/>
        <v>0</v>
      </c>
      <c r="G8" s="33">
        <f t="shared" si="3"/>
        <v>0</v>
      </c>
      <c r="H8" s="33">
        <f t="shared" si="4"/>
        <v>-0.3571428571428571</v>
      </c>
      <c r="I8" s="9">
        <f t="shared" si="5"/>
        <v>-0.3571428571428571</v>
      </c>
      <c r="J8" s="8">
        <f t="shared" si="6"/>
        <v>10.642857142857142</v>
      </c>
    </row>
    <row r="9" spans="1:10" x14ac:dyDescent="0.55000000000000004">
      <c r="A9" s="10" t="s">
        <v>6</v>
      </c>
      <c r="B9" s="9">
        <f>'Option 1 - Original, Proportion'!B9</f>
        <v>21</v>
      </c>
      <c r="C9" s="9">
        <f>'Option 1 - Original, Proportion'!C9</f>
        <v>22</v>
      </c>
      <c r="D9" s="9">
        <f t="shared" si="0"/>
        <v>1</v>
      </c>
      <c r="E9" s="9">
        <f t="shared" si="1"/>
        <v>0</v>
      </c>
      <c r="F9" s="9">
        <f t="shared" si="2"/>
        <v>0.5</v>
      </c>
      <c r="G9" s="33">
        <f t="shared" si="3"/>
        <v>0.5</v>
      </c>
      <c r="H9" s="33">
        <f t="shared" si="4"/>
        <v>0.5</v>
      </c>
      <c r="I9" s="9">
        <f t="shared" si="5"/>
        <v>0.5</v>
      </c>
      <c r="J9" s="8">
        <f t="shared" si="6"/>
        <v>21.5</v>
      </c>
    </row>
    <row r="10" spans="1:10" x14ac:dyDescent="0.55000000000000004">
      <c r="A10" s="10" t="s">
        <v>5</v>
      </c>
      <c r="B10" s="9">
        <f>'Option 1 - Original, Proportion'!B10</f>
        <v>32</v>
      </c>
      <c r="C10" s="9">
        <f>'Option 1 - Original, Proportion'!C10</f>
        <v>34</v>
      </c>
      <c r="D10" s="9">
        <f t="shared" si="0"/>
        <v>2</v>
      </c>
      <c r="E10" s="9">
        <f t="shared" si="1"/>
        <v>0</v>
      </c>
      <c r="F10" s="9">
        <f t="shared" si="2"/>
        <v>1</v>
      </c>
      <c r="G10" s="33">
        <f t="shared" si="3"/>
        <v>1</v>
      </c>
      <c r="H10" s="33">
        <f t="shared" si="4"/>
        <v>1</v>
      </c>
      <c r="I10" s="9">
        <f t="shared" si="5"/>
        <v>1</v>
      </c>
      <c r="J10" s="8">
        <f t="shared" si="6"/>
        <v>33</v>
      </c>
    </row>
    <row r="11" spans="1:10" x14ac:dyDescent="0.55000000000000004">
      <c r="A11" s="10" t="s">
        <v>4</v>
      </c>
      <c r="B11" s="9">
        <f>'Option 1 - Original, Proportion'!B11</f>
        <v>23</v>
      </c>
      <c r="C11" s="9">
        <f>'Option 1 - Original, Proportion'!C11</f>
        <v>25</v>
      </c>
      <c r="D11" s="9">
        <f t="shared" si="0"/>
        <v>2</v>
      </c>
      <c r="E11" s="9">
        <f t="shared" si="1"/>
        <v>0</v>
      </c>
      <c r="F11" s="9">
        <f t="shared" si="2"/>
        <v>1</v>
      </c>
      <c r="G11" s="33">
        <f t="shared" si="3"/>
        <v>1</v>
      </c>
      <c r="H11" s="33">
        <f t="shared" si="4"/>
        <v>1</v>
      </c>
      <c r="I11" s="9">
        <f t="shared" si="5"/>
        <v>1</v>
      </c>
      <c r="J11" s="8">
        <f t="shared" si="6"/>
        <v>24</v>
      </c>
    </row>
    <row r="12" spans="1:10" s="5" customFormat="1" x14ac:dyDescent="0.55000000000000004">
      <c r="A12" s="7" t="s">
        <v>3</v>
      </c>
      <c r="B12" s="6">
        <f t="shared" ref="B12:I12" si="7">SUM(B6:B11)</f>
        <v>144</v>
      </c>
      <c r="C12" s="6">
        <f t="shared" si="7"/>
        <v>142</v>
      </c>
      <c r="D12" s="6">
        <f t="shared" si="7"/>
        <v>-2</v>
      </c>
      <c r="E12" s="34">
        <f t="shared" si="7"/>
        <v>-3.5</v>
      </c>
      <c r="F12" s="34">
        <f t="shared" si="7"/>
        <v>2.5</v>
      </c>
      <c r="G12" s="34">
        <f t="shared" si="7"/>
        <v>2.5</v>
      </c>
      <c r="H12" s="34">
        <f t="shared" si="7"/>
        <v>0</v>
      </c>
      <c r="I12" s="6">
        <f t="shared" si="7"/>
        <v>0</v>
      </c>
      <c r="J12" s="6">
        <f>SUM(J6:J11)</f>
        <v>144</v>
      </c>
    </row>
    <row r="13" spans="1:10" x14ac:dyDescent="0.55000000000000004">
      <c r="A13" s="4" t="s">
        <v>2</v>
      </c>
      <c r="B13" s="1"/>
      <c r="C13" s="1"/>
      <c r="D13" s="3" cm="1">
        <f t="array" ref="D13">SUM(ABS(D6:D11))</f>
        <v>12</v>
      </c>
      <c r="E13" s="3" cm="1">
        <f t="array" ref="E13">SUM(ABS(E6:E11))</f>
        <v>3.5</v>
      </c>
      <c r="F13" s="3" cm="1">
        <f t="array" ref="F13">SUM(ABS(F6:F11))</f>
        <v>2.5</v>
      </c>
      <c r="G13" s="3" cm="1">
        <f t="array" ref="G13">SUM(ABS(G6:G11))</f>
        <v>2.5</v>
      </c>
      <c r="H13" s="3" cm="1">
        <f t="array" ref="H13">SUM(ABS(H6:H11))</f>
        <v>5</v>
      </c>
      <c r="I13" s="3" cm="1">
        <f t="array" ref="I13">SUM(ABS(I6:I11))</f>
        <v>5</v>
      </c>
      <c r="J13" s="40"/>
    </row>
    <row r="14" spans="1:10" s="47" customFormat="1" x14ac:dyDescent="0.55000000000000004">
      <c r="A14" s="45"/>
      <c r="B14" s="45"/>
      <c r="C14" s="45"/>
      <c r="D14" s="45"/>
      <c r="E14" s="45"/>
      <c r="F14" s="45"/>
      <c r="G14" s="45"/>
      <c r="H14" s="45"/>
      <c r="I14" s="45"/>
      <c r="J14" s="46"/>
    </row>
    <row r="15" spans="1:10" s="47" customFormat="1" x14ac:dyDescent="0.55000000000000004">
      <c r="A15" s="45"/>
      <c r="B15" s="45"/>
      <c r="C15" s="45"/>
      <c r="D15" s="45"/>
      <c r="E15" s="45"/>
      <c r="F15" s="45"/>
      <c r="G15" s="45"/>
      <c r="H15" s="45"/>
      <c r="I15" s="45"/>
      <c r="J15" s="46"/>
    </row>
    <row r="16" spans="1:10" x14ac:dyDescent="0.55000000000000004">
      <c r="J16" s="5"/>
    </row>
    <row r="17" spans="1:10" ht="15" customHeight="1" x14ac:dyDescent="0.55000000000000004">
      <c r="A17" s="39" t="s">
        <v>47</v>
      </c>
      <c r="B17" s="25"/>
      <c r="C17" s="25"/>
      <c r="D17" s="25"/>
      <c r="E17" s="25"/>
      <c r="F17" s="25"/>
      <c r="G17" s="25"/>
      <c r="H17" s="25"/>
      <c r="I17" s="25"/>
      <c r="J17" s="41"/>
    </row>
    <row r="18" spans="1:10" s="2" customFormat="1" ht="43.2" x14ac:dyDescent="0.55000000000000004">
      <c r="A18" s="10"/>
      <c r="B18" s="10" t="s">
        <v>19</v>
      </c>
      <c r="C18" s="10" t="s">
        <v>18</v>
      </c>
      <c r="D18" s="10" t="s">
        <v>17</v>
      </c>
      <c r="E18" s="21" t="s">
        <v>37</v>
      </c>
      <c r="F18" s="10" t="s">
        <v>38</v>
      </c>
      <c r="G18" s="21" t="s">
        <v>39</v>
      </c>
      <c r="H18" s="21" t="s">
        <v>28</v>
      </c>
      <c r="I18" s="10" t="s">
        <v>14</v>
      </c>
      <c r="J18" s="11" t="s">
        <v>30</v>
      </c>
    </row>
    <row r="19" spans="1:10" x14ac:dyDescent="0.55000000000000004">
      <c r="A19" s="10"/>
      <c r="B19" s="19" t="s">
        <v>13</v>
      </c>
      <c r="C19" s="19" t="s">
        <v>12</v>
      </c>
      <c r="D19" s="19"/>
      <c r="E19" s="18"/>
      <c r="F19" s="19"/>
      <c r="G19" s="19"/>
      <c r="H19" s="19"/>
      <c r="I19" s="19"/>
      <c r="J19" s="40"/>
    </row>
    <row r="20" spans="1:10" x14ac:dyDescent="0.55000000000000004">
      <c r="A20" s="10" t="s">
        <v>11</v>
      </c>
      <c r="B20" s="10"/>
      <c r="C20" s="10"/>
      <c r="D20" s="10"/>
      <c r="E20" s="13">
        <f>E4</f>
        <v>0.5</v>
      </c>
      <c r="F20" s="1"/>
      <c r="G20" s="1"/>
      <c r="H20" s="1"/>
      <c r="I20" s="1"/>
      <c r="J20" s="40"/>
    </row>
    <row r="21" spans="1:10" x14ac:dyDescent="0.55000000000000004">
      <c r="A21" s="10" t="s">
        <v>10</v>
      </c>
      <c r="B21" s="10"/>
      <c r="C21" s="10"/>
      <c r="D21" s="10"/>
      <c r="E21" s="11"/>
      <c r="F21" s="13"/>
      <c r="G21" s="13"/>
      <c r="H21" s="13"/>
      <c r="I21" s="44">
        <f>'Option 1 - Original, Proportion'!G20</f>
        <v>0.3</v>
      </c>
      <c r="J21" s="40"/>
    </row>
    <row r="22" spans="1:10" x14ac:dyDescent="0.55000000000000004">
      <c r="A22" s="10" t="s">
        <v>9</v>
      </c>
      <c r="B22" s="9">
        <f>'Option 1 - Original, Proportion'!B21</f>
        <v>45</v>
      </c>
      <c r="C22" s="9">
        <f>'Option 1 - Original, Proportion'!C21</f>
        <v>50</v>
      </c>
      <c r="D22" s="9">
        <f>C22-B22</f>
        <v>5</v>
      </c>
      <c r="E22" s="9">
        <f>IF(D22&lt;0,D22*$E$4,0)</f>
        <v>0</v>
      </c>
      <c r="F22" s="9">
        <f>IF(D22&gt;0,D22*$E$4,0)</f>
        <v>2.5</v>
      </c>
      <c r="G22" s="33">
        <f>IF(ABS($F$28)&lt;=ABS($E$28),F22,F22/$F$28*ABS($E$28))</f>
        <v>1.7857142857142858</v>
      </c>
      <c r="H22" s="33">
        <f>IF(D22&lt;0,IF(ABS($E$28)&gt;ABS($F$28),E22/$E$28*$F$28*-1,E22),G22)</f>
        <v>1.7857142857142858</v>
      </c>
      <c r="I22" s="9">
        <f>IF($H$29&lt;($B$12*$I$21),H22,(H22/$H$29)*($B$12*$I$21))</f>
        <v>1.7857142857142858</v>
      </c>
      <c r="J22" s="8">
        <f>B22+I22</f>
        <v>46.785714285714285</v>
      </c>
    </row>
    <row r="23" spans="1:10" x14ac:dyDescent="0.55000000000000004">
      <c r="A23" s="10" t="s">
        <v>8</v>
      </c>
      <c r="B23" s="9">
        <f>'Option 1 - Original, Proportion'!B22</f>
        <v>6</v>
      </c>
      <c r="C23" s="9">
        <f>'Option 1 - Original, Proportion'!C22</f>
        <v>7</v>
      </c>
      <c r="D23" s="9">
        <f t="shared" ref="D23:D27" si="8">C23-B23</f>
        <v>1</v>
      </c>
      <c r="E23" s="9">
        <f t="shared" ref="E23:E27" si="9">IF(D23&lt;0,D23*$E$4,0)</f>
        <v>0</v>
      </c>
      <c r="F23" s="9">
        <f t="shared" ref="F23:F27" si="10">IF(D23&gt;0,D23*$E$4,0)</f>
        <v>0.5</v>
      </c>
      <c r="G23" s="33">
        <f t="shared" ref="G23:G27" si="11">IF(ABS($F$28)&lt;=ABS($E$28),F23,F23/$F$28*ABS($E$28))</f>
        <v>0.3571428571428571</v>
      </c>
      <c r="H23" s="33">
        <f t="shared" ref="H23:H27" si="12">IF(D23&lt;0,IF(ABS($E$28)&gt;ABS($F$28),E23/$E$28*$F$28*-1,E23),G23)</f>
        <v>0.3571428571428571</v>
      </c>
      <c r="I23" s="9">
        <f t="shared" ref="I23:I27" si="13">IF($H$29&lt;($B$12*$I$21),H23,(H23/$H$29)*($B$12*$I$21))</f>
        <v>0.3571428571428571</v>
      </c>
      <c r="J23" s="8">
        <f t="shared" ref="J23:J27" si="14">B23+I23</f>
        <v>6.3571428571428568</v>
      </c>
    </row>
    <row r="24" spans="1:10" x14ac:dyDescent="0.55000000000000004">
      <c r="A24" s="10" t="s">
        <v>7</v>
      </c>
      <c r="B24" s="9">
        <f>'Option 1 - Original, Proportion'!B23</f>
        <v>10</v>
      </c>
      <c r="C24" s="9">
        <f>'Option 1 - Original, Proportion'!C23</f>
        <v>11</v>
      </c>
      <c r="D24" s="9">
        <f t="shared" si="8"/>
        <v>1</v>
      </c>
      <c r="E24" s="9">
        <f t="shared" si="9"/>
        <v>0</v>
      </c>
      <c r="F24" s="9">
        <f t="shared" si="10"/>
        <v>0.5</v>
      </c>
      <c r="G24" s="33">
        <f t="shared" si="11"/>
        <v>0.3571428571428571</v>
      </c>
      <c r="H24" s="33">
        <f t="shared" si="12"/>
        <v>0.3571428571428571</v>
      </c>
      <c r="I24" s="9">
        <f t="shared" si="13"/>
        <v>0.3571428571428571</v>
      </c>
      <c r="J24" s="8">
        <f t="shared" si="14"/>
        <v>10.357142857142858</v>
      </c>
    </row>
    <row r="25" spans="1:10" x14ac:dyDescent="0.55000000000000004">
      <c r="A25" s="10" t="s">
        <v>6</v>
      </c>
      <c r="B25" s="9">
        <f>'Option 1 - Original, Proportion'!B24</f>
        <v>22</v>
      </c>
      <c r="C25" s="9">
        <f>'Option 1 - Original, Proportion'!C24</f>
        <v>21</v>
      </c>
      <c r="D25" s="9">
        <f t="shared" si="8"/>
        <v>-1</v>
      </c>
      <c r="E25" s="9">
        <f t="shared" si="9"/>
        <v>-0.5</v>
      </c>
      <c r="F25" s="9">
        <f t="shared" si="10"/>
        <v>0</v>
      </c>
      <c r="G25" s="33">
        <f t="shared" si="11"/>
        <v>0</v>
      </c>
      <c r="H25" s="33">
        <f t="shared" si="12"/>
        <v>-0.5</v>
      </c>
      <c r="I25" s="9">
        <f t="shared" si="13"/>
        <v>-0.5</v>
      </c>
      <c r="J25" s="8">
        <f t="shared" si="14"/>
        <v>21.5</v>
      </c>
    </row>
    <row r="26" spans="1:10" x14ac:dyDescent="0.55000000000000004">
      <c r="A26" s="10" t="s">
        <v>5</v>
      </c>
      <c r="B26" s="9">
        <f>'Option 1 - Original, Proportion'!B25</f>
        <v>34</v>
      </c>
      <c r="C26" s="9">
        <f>'Option 1 - Original, Proportion'!C25</f>
        <v>32</v>
      </c>
      <c r="D26" s="9">
        <f t="shared" si="8"/>
        <v>-2</v>
      </c>
      <c r="E26" s="9">
        <f t="shared" si="9"/>
        <v>-1</v>
      </c>
      <c r="F26" s="9">
        <f t="shared" si="10"/>
        <v>0</v>
      </c>
      <c r="G26" s="33">
        <f t="shared" si="11"/>
        <v>0</v>
      </c>
      <c r="H26" s="33">
        <f t="shared" si="12"/>
        <v>-1</v>
      </c>
      <c r="I26" s="9">
        <f t="shared" si="13"/>
        <v>-1</v>
      </c>
      <c r="J26" s="8">
        <f t="shared" si="14"/>
        <v>33</v>
      </c>
    </row>
    <row r="27" spans="1:10" x14ac:dyDescent="0.55000000000000004">
      <c r="A27" s="10" t="s">
        <v>4</v>
      </c>
      <c r="B27" s="9">
        <f>'Option 1 - Original, Proportion'!B26</f>
        <v>25</v>
      </c>
      <c r="C27" s="9">
        <f>'Option 1 - Original, Proportion'!C26</f>
        <v>23</v>
      </c>
      <c r="D27" s="9">
        <f t="shared" si="8"/>
        <v>-2</v>
      </c>
      <c r="E27" s="9">
        <f t="shared" si="9"/>
        <v>-1</v>
      </c>
      <c r="F27" s="9">
        <f t="shared" si="10"/>
        <v>0</v>
      </c>
      <c r="G27" s="33">
        <f t="shared" si="11"/>
        <v>0</v>
      </c>
      <c r="H27" s="33">
        <f t="shared" si="12"/>
        <v>-1</v>
      </c>
      <c r="I27" s="9">
        <f t="shared" si="13"/>
        <v>-1</v>
      </c>
      <c r="J27" s="8">
        <f t="shared" si="14"/>
        <v>24</v>
      </c>
    </row>
    <row r="28" spans="1:10" s="5" customFormat="1" x14ac:dyDescent="0.55000000000000004">
      <c r="A28" s="7" t="s">
        <v>3</v>
      </c>
      <c r="B28" s="6">
        <f t="shared" ref="B28:J28" si="15">SUM(B22:B27)</f>
        <v>142</v>
      </c>
      <c r="C28" s="6">
        <f t="shared" si="15"/>
        <v>144</v>
      </c>
      <c r="D28" s="6">
        <f t="shared" si="15"/>
        <v>2</v>
      </c>
      <c r="E28" s="34">
        <f t="shared" si="15"/>
        <v>-2.5</v>
      </c>
      <c r="F28" s="34">
        <f t="shared" si="15"/>
        <v>3.5</v>
      </c>
      <c r="G28" s="34">
        <f t="shared" si="15"/>
        <v>2.5</v>
      </c>
      <c r="H28" s="34">
        <f t="shared" si="15"/>
        <v>0</v>
      </c>
      <c r="I28" s="6">
        <f t="shared" si="15"/>
        <v>0</v>
      </c>
      <c r="J28" s="6">
        <f t="shared" si="15"/>
        <v>142</v>
      </c>
    </row>
    <row r="29" spans="1:10" x14ac:dyDescent="0.55000000000000004">
      <c r="A29" s="4" t="s">
        <v>2</v>
      </c>
      <c r="B29" s="1"/>
      <c r="C29" s="1"/>
      <c r="D29" s="3" cm="1">
        <f t="array" ref="D29">SUM(ABS(D22:D27))</f>
        <v>12</v>
      </c>
      <c r="E29" s="3" cm="1">
        <f t="array" ref="E29">SUM(ABS(E22:E27))</f>
        <v>2.5</v>
      </c>
      <c r="F29" s="3" cm="1">
        <f t="array" ref="F29">SUM(ABS(F22:F27))</f>
        <v>3.5</v>
      </c>
      <c r="G29" s="3" cm="1">
        <f t="array" ref="G29">SUM(ABS(G22:G27))</f>
        <v>2.5</v>
      </c>
      <c r="H29" s="3" cm="1">
        <f t="array" ref="H29">SUM(ABS(H22:H27))</f>
        <v>5</v>
      </c>
      <c r="I29" s="3" cm="1">
        <f t="array" ref="I29">SUM(ABS(I22:I27))</f>
        <v>5</v>
      </c>
      <c r="J2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D40D51286D8B4D9C836A50BBB33558" ma:contentTypeVersion="2" ma:contentTypeDescription="Create a new document." ma:contentTypeScope="" ma:versionID="d14e5c4da1db565cb04c30bec4da997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41CAEE-3526-4E9F-BED7-6E103DB68812}"/>
</file>

<file path=customXml/itemProps2.xml><?xml version="1.0" encoding="utf-8"?>
<ds:datastoreItem xmlns:ds="http://schemas.openxmlformats.org/officeDocument/2006/customXml" ds:itemID="{958E0D02-F5FF-4F7B-9923-90FBDE58C5CB}"/>
</file>

<file path=customXml/itemProps3.xml><?xml version="1.0" encoding="utf-8"?>
<ds:datastoreItem xmlns:ds="http://schemas.openxmlformats.org/officeDocument/2006/customXml" ds:itemID="{17D99CE0-75DA-42C4-B05B-F3344FD0A2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Comparison</vt:lpstr>
      <vt:lpstr>Option 1 - Original, Proportion</vt:lpstr>
      <vt:lpstr>Option 2 - Split the Difference</vt:lpstr>
      <vt:lpstr>Option 3 - Funding Pool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Friedman-Bell</dc:creator>
  <cp:lastModifiedBy>Jonathan Thornhill</cp:lastModifiedBy>
  <dcterms:created xsi:type="dcterms:W3CDTF">2026-09-24T15:25:15Z</dcterms:created>
  <dcterms:modified xsi:type="dcterms:W3CDTF">2026-09-28T15:02:50Z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0x0101005AD40D51286D8B4D9C836A50BBB33558</vt:lpwstr>
  </property>
</Properties>
</file>