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Daniela All Files/Web Inputs/1 July Assessments/DS - HC + DA Assessment WB/Medicaid Budget Deficit Assessment/RY27/"/>
    </mc:Choice>
  </mc:AlternateContent>
  <xr:revisionPtr revIDLastSave="0" documentId="8_{AE45398D-7295-4A4E-ACFD-9BDAAFECF767}" xr6:coauthVersionLast="47" xr6:coauthVersionMax="47" xr10:uidLastSave="{00000000-0000-0000-0000-000000000000}"/>
  <bookViews>
    <workbookView xWindow="-96" yWindow="-96" windowWidth="23232" windowHeight="12432" xr2:uid="{DE2CEFFF-FD31-4E5A-8F14-D8B8929336ED}"/>
  </bookViews>
  <sheets>
    <sheet name="Deficit Assessment Fund" sheetId="1" r:id="rId1"/>
  </sheets>
  <definedNames>
    <definedName name="_xlnm.Print_Area" localSheetId="0">'Deficit Assessment Fund'!$A$1:$I$59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6" i="1" l="1"/>
  <c r="G74" i="1"/>
  <c r="F74" i="1"/>
  <c r="G72" i="1"/>
  <c r="G76" i="1" s="1"/>
  <c r="G70" i="1"/>
  <c r="F79" i="1" s="1"/>
  <c r="G79" i="1" s="1"/>
  <c r="F70" i="1"/>
  <c r="E49" i="1"/>
  <c r="E48" i="1"/>
  <c r="E47" i="1"/>
  <c r="E43" i="1"/>
  <c r="E38" i="1"/>
  <c r="E37" i="1"/>
  <c r="E36" i="1"/>
  <c r="E26" i="1"/>
  <c r="E25" i="1"/>
  <c r="E24" i="1"/>
  <c r="E14" i="1"/>
  <c r="E13" i="1"/>
  <c r="E12" i="1"/>
  <c r="L8" i="1"/>
  <c r="G8" i="1"/>
  <c r="F8" i="1"/>
  <c r="E46" i="1" l="1"/>
  <c r="E35" i="1"/>
  <c r="E10" i="1"/>
  <c r="E11" i="1"/>
  <c r="E22" i="1"/>
  <c r="E23" i="1"/>
  <c r="E34" i="1"/>
  <c r="E45" i="1"/>
  <c r="E57" i="1"/>
  <c r="E21" i="1"/>
  <c r="E33" i="1"/>
  <c r="E44" i="1"/>
  <c r="E56" i="1"/>
  <c r="E20" i="1"/>
  <c r="E32" i="1"/>
  <c r="E55" i="1"/>
  <c r="E19" i="1"/>
  <c r="E31" i="1"/>
  <c r="E54" i="1"/>
  <c r="E18" i="1"/>
  <c r="E30" i="1"/>
  <c r="E42" i="1"/>
  <c r="E53" i="1"/>
  <c r="E17" i="1"/>
  <c r="E29" i="1"/>
  <c r="E41" i="1"/>
  <c r="E52" i="1"/>
  <c r="E16" i="1"/>
  <c r="E28" i="1"/>
  <c r="E40" i="1"/>
  <c r="E51" i="1"/>
  <c r="E15" i="1"/>
  <c r="E27" i="1"/>
  <c r="E39" i="1"/>
  <c r="E50" i="1"/>
  <c r="G77" i="1"/>
  <c r="C58" i="1" l="1"/>
  <c r="E9" i="1"/>
  <c r="D58" i="1"/>
  <c r="E58" i="1" l="1"/>
  <c r="G58" i="1" l="1"/>
  <c r="G59" i="1" s="1"/>
  <c r="F58" i="1"/>
  <c r="F59" i="1" s="1"/>
  <c r="G25" i="1"/>
  <c r="G13" i="1"/>
  <c r="H13" i="1" s="1"/>
  <c r="F12" i="1"/>
  <c r="F25" i="1"/>
  <c r="F13" i="1"/>
  <c r="G49" i="1"/>
  <c r="H49" i="1" s="1"/>
  <c r="G38" i="1"/>
  <c r="H38" i="1" s="1"/>
  <c r="F49" i="1"/>
  <c r="F26" i="1"/>
  <c r="F38" i="1"/>
  <c r="F14" i="1"/>
  <c r="G26" i="1"/>
  <c r="H26" i="1" s="1"/>
  <c r="G36" i="1"/>
  <c r="H36" i="1" s="1"/>
  <c r="G14" i="1"/>
  <c r="H14" i="1" s="1"/>
  <c r="F36" i="1"/>
  <c r="G43" i="1"/>
  <c r="H43" i="1" s="1"/>
  <c r="G47" i="1"/>
  <c r="H47" i="1" s="1"/>
  <c r="G24" i="1"/>
  <c r="H24" i="1" s="1"/>
  <c r="F47" i="1"/>
  <c r="F24" i="1"/>
  <c r="G37" i="1"/>
  <c r="H37" i="1" s="1"/>
  <c r="G48" i="1"/>
  <c r="H48" i="1" s="1"/>
  <c r="F37" i="1"/>
  <c r="F48" i="1"/>
  <c r="F43" i="1"/>
  <c r="G12" i="1"/>
  <c r="H12" i="1" s="1"/>
  <c r="G23" i="1"/>
  <c r="H23" i="1" s="1"/>
  <c r="F41" i="1"/>
  <c r="G56" i="1"/>
  <c r="H56" i="1" s="1"/>
  <c r="G44" i="1"/>
  <c r="H44" i="1" s="1"/>
  <c r="F30" i="1"/>
  <c r="F45" i="1"/>
  <c r="F23" i="1"/>
  <c r="G41" i="1"/>
  <c r="H41" i="1" s="1"/>
  <c r="F56" i="1"/>
  <c r="F44" i="1"/>
  <c r="F15" i="1"/>
  <c r="G11" i="1"/>
  <c r="H11" i="1" s="1"/>
  <c r="G20" i="1"/>
  <c r="H20" i="1" s="1"/>
  <c r="G10" i="1"/>
  <c r="H10" i="1" s="1"/>
  <c r="G50" i="1"/>
  <c r="H50" i="1" s="1"/>
  <c r="G15" i="1"/>
  <c r="H15" i="1" s="1"/>
  <c r="F11" i="1"/>
  <c r="F20" i="1"/>
  <c r="F10" i="1"/>
  <c r="F50" i="1"/>
  <c r="G18" i="1"/>
  <c r="H18" i="1" s="1"/>
  <c r="F51" i="1"/>
  <c r="G22" i="1"/>
  <c r="H22" i="1" s="1"/>
  <c r="G34" i="1"/>
  <c r="H34" i="1" s="1"/>
  <c r="G53" i="1"/>
  <c r="H53" i="1" s="1"/>
  <c r="F18" i="1"/>
  <c r="G51" i="1"/>
  <c r="H51" i="1" s="1"/>
  <c r="F19" i="1"/>
  <c r="F22" i="1"/>
  <c r="F34" i="1"/>
  <c r="F53" i="1"/>
  <c r="G27" i="1"/>
  <c r="H27" i="1" s="1"/>
  <c r="G54" i="1"/>
  <c r="H54" i="1" s="1"/>
  <c r="G16" i="1"/>
  <c r="H16" i="1" s="1"/>
  <c r="G55" i="1"/>
  <c r="H55" i="1" s="1"/>
  <c r="G35" i="1"/>
  <c r="H35" i="1" s="1"/>
  <c r="G33" i="1"/>
  <c r="H33" i="1" s="1"/>
  <c r="F27" i="1"/>
  <c r="F54" i="1"/>
  <c r="F16" i="1"/>
  <c r="F55" i="1"/>
  <c r="F35" i="1"/>
  <c r="F33" i="1"/>
  <c r="G40" i="1"/>
  <c r="H40" i="1" s="1"/>
  <c r="G32" i="1"/>
  <c r="H32" i="1" s="1"/>
  <c r="G42" i="1"/>
  <c r="H42" i="1" s="1"/>
  <c r="F40" i="1"/>
  <c r="F39" i="1"/>
  <c r="G31" i="1"/>
  <c r="H31" i="1" s="1"/>
  <c r="G52" i="1"/>
  <c r="H52" i="1" s="1"/>
  <c r="G17" i="1"/>
  <c r="H17" i="1" s="1"/>
  <c r="G19" i="1"/>
  <c r="H19" i="1" s="1"/>
  <c r="F57" i="1"/>
  <c r="F42" i="1"/>
  <c r="G21" i="1"/>
  <c r="H21" i="1" s="1"/>
  <c r="F52" i="1"/>
  <c r="G39" i="1"/>
  <c r="H39" i="1" s="1"/>
  <c r="F17" i="1"/>
  <c r="F21" i="1"/>
  <c r="F29" i="1"/>
  <c r="G29" i="1"/>
  <c r="H29" i="1" s="1"/>
  <c r="G28" i="1"/>
  <c r="H28" i="1" s="1"/>
  <c r="F31" i="1"/>
  <c r="G30" i="1"/>
  <c r="H30" i="1" s="1"/>
  <c r="G57" i="1"/>
  <c r="H57" i="1" s="1"/>
  <c r="F32" i="1"/>
  <c r="G46" i="1"/>
  <c r="H46" i="1" s="1"/>
  <c r="F46" i="1"/>
  <c r="F28" i="1"/>
  <c r="G45" i="1"/>
  <c r="H45" i="1" s="1"/>
  <c r="F9" i="1"/>
  <c r="G9" i="1"/>
  <c r="L40" i="1" l="1"/>
  <c r="M40" i="1" s="1"/>
  <c r="I40" i="1"/>
  <c r="L27" i="1"/>
  <c r="M27" i="1" s="1"/>
  <c r="I27" i="1"/>
  <c r="I41" i="1"/>
  <c r="L41" i="1"/>
  <c r="M41" i="1" s="1"/>
  <c r="L48" i="1"/>
  <c r="M48" i="1" s="1"/>
  <c r="I48" i="1"/>
  <c r="L57" i="1"/>
  <c r="M57" i="1" s="1"/>
  <c r="I57" i="1"/>
  <c r="L38" i="1"/>
  <c r="M38" i="1" s="1"/>
  <c r="I38" i="1"/>
  <c r="L21" i="1"/>
  <c r="M21" i="1" s="1"/>
  <c r="I21" i="1"/>
  <c r="I19" i="1"/>
  <c r="L19" i="1"/>
  <c r="M19" i="1" s="1"/>
  <c r="L15" i="1"/>
  <c r="M15" i="1" s="1"/>
  <c r="I15" i="1"/>
  <c r="L44" i="1"/>
  <c r="M44" i="1" s="1"/>
  <c r="I44" i="1"/>
  <c r="L24" i="1"/>
  <c r="M24" i="1" s="1"/>
  <c r="I24" i="1"/>
  <c r="L49" i="1"/>
  <c r="M49" i="1" s="1"/>
  <c r="I49" i="1"/>
  <c r="L37" i="1"/>
  <c r="M37" i="1" s="1"/>
  <c r="I37" i="1"/>
  <c r="L30" i="1"/>
  <c r="M30" i="1" s="1"/>
  <c r="I30" i="1"/>
  <c r="L50" i="1"/>
  <c r="M50" i="1" s="1"/>
  <c r="I50" i="1"/>
  <c r="L47" i="1"/>
  <c r="M47" i="1" s="1"/>
  <c r="I47" i="1"/>
  <c r="I17" i="1"/>
  <c r="L17" i="1"/>
  <c r="M17" i="1" s="1"/>
  <c r="L51" i="1"/>
  <c r="M51" i="1" s="1"/>
  <c r="I51" i="1"/>
  <c r="L56" i="1"/>
  <c r="M56" i="1" s="1"/>
  <c r="I56" i="1"/>
  <c r="L28" i="1"/>
  <c r="M28" i="1" s="1"/>
  <c r="I28" i="1"/>
  <c r="L52" i="1"/>
  <c r="M52" i="1" s="1"/>
  <c r="I52" i="1"/>
  <c r="L10" i="1"/>
  <c r="M10" i="1" s="1"/>
  <c r="I10" i="1"/>
  <c r="I43" i="1"/>
  <c r="L43" i="1"/>
  <c r="M43" i="1" s="1"/>
  <c r="L46" i="1"/>
  <c r="M46" i="1" s="1"/>
  <c r="I46" i="1"/>
  <c r="I29" i="1"/>
  <c r="L29" i="1"/>
  <c r="M29" i="1" s="1"/>
  <c r="L53" i="1"/>
  <c r="M53" i="1" s="1"/>
  <c r="I53" i="1"/>
  <c r="L23" i="1"/>
  <c r="M23" i="1" s="1"/>
  <c r="I23" i="1"/>
  <c r="L35" i="1"/>
  <c r="M35" i="1" s="1"/>
  <c r="I35" i="1"/>
  <c r="L34" i="1"/>
  <c r="M34" i="1" s="1"/>
  <c r="I34" i="1"/>
  <c r="L11" i="1"/>
  <c r="M11" i="1" s="1"/>
  <c r="I11" i="1"/>
  <c r="L12" i="1"/>
  <c r="M12" i="1" s="1"/>
  <c r="I12" i="1"/>
  <c r="L14" i="1"/>
  <c r="M14" i="1" s="1"/>
  <c r="I14" i="1"/>
  <c r="L13" i="1"/>
  <c r="M13" i="1" s="1"/>
  <c r="I13" i="1"/>
  <c r="L31" i="1"/>
  <c r="M31" i="1" s="1"/>
  <c r="I31" i="1"/>
  <c r="L33" i="1"/>
  <c r="M33" i="1" s="1"/>
  <c r="I33" i="1"/>
  <c r="I20" i="1"/>
  <c r="L20" i="1"/>
  <c r="M20" i="1" s="1"/>
  <c r="H9" i="1"/>
  <c r="L55" i="1"/>
  <c r="M55" i="1" s="1"/>
  <c r="I55" i="1"/>
  <c r="L22" i="1"/>
  <c r="M22" i="1" s="1"/>
  <c r="I22" i="1"/>
  <c r="L36" i="1"/>
  <c r="M36" i="1" s="1"/>
  <c r="I36" i="1"/>
  <c r="H25" i="1"/>
  <c r="L45" i="1"/>
  <c r="M45" i="1" s="1"/>
  <c r="I45" i="1"/>
  <c r="I42" i="1"/>
  <c r="L42" i="1"/>
  <c r="M42" i="1" s="1"/>
  <c r="L16" i="1"/>
  <c r="M16" i="1" s="1"/>
  <c r="I16" i="1"/>
  <c r="L26" i="1"/>
  <c r="M26" i="1" s="1"/>
  <c r="I26" i="1"/>
  <c r="L39" i="1"/>
  <c r="M39" i="1" s="1"/>
  <c r="I39" i="1"/>
  <c r="I32" i="1"/>
  <c r="L32" i="1"/>
  <c r="M32" i="1" s="1"/>
  <c r="I54" i="1"/>
  <c r="L54" i="1"/>
  <c r="M54" i="1" s="1"/>
  <c r="L18" i="1"/>
  <c r="M18" i="1" s="1"/>
  <c r="I18" i="1"/>
  <c r="L25" i="1" l="1"/>
  <c r="M25" i="1" s="1"/>
  <c r="I25" i="1"/>
  <c r="L9" i="1"/>
  <c r="I9" i="1"/>
  <c r="I58" i="1" s="1"/>
  <c r="I63" i="1" s="1"/>
  <c r="I64" i="1" s="1"/>
  <c r="H58" i="1"/>
  <c r="H59" i="1" s="1"/>
  <c r="M9" i="1" l="1"/>
  <c r="M58" i="1" s="1"/>
  <c r="L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Tamayo</author>
  </authors>
  <commentList>
    <comment ref="H8" authorId="0" shapeId="0" xr:uid="{C925DFA1-7074-431F-9C86-180BF11BDA0F}">
      <text>
        <r>
          <rPr>
            <b/>
            <sz val="9"/>
            <color indexed="81"/>
            <rFont val="Tahoma"/>
            <family val="2"/>
          </rPr>
          <t>Daniela Tamayo:</t>
        </r>
        <r>
          <rPr>
            <sz val="9"/>
            <color indexed="81"/>
            <rFont val="Tahoma"/>
            <family val="2"/>
          </rPr>
          <t xml:space="preserve">
Deficit from UF (other adjustments, RY27 Bill Provision from Leg Session )</t>
        </r>
      </text>
    </comment>
    <comment ref="D25" authorId="0" shapeId="0" xr:uid="{93E7805F-2EED-4CBD-8E2D-4379CD937D96}">
      <text>
        <r>
          <rPr>
            <b/>
            <sz val="9"/>
            <color indexed="81"/>
            <rFont val="Tahoma"/>
            <family val="2"/>
          </rPr>
          <t>Daniela Tamayo:</t>
        </r>
        <r>
          <rPr>
            <sz val="9"/>
            <color indexed="81"/>
            <rFont val="Tahoma"/>
            <family val="2"/>
          </rPr>
          <t xml:space="preserve">
special formula?</t>
        </r>
      </text>
    </comment>
  </commentList>
</comments>
</file>

<file path=xl/sharedStrings.xml><?xml version="1.0" encoding="utf-8"?>
<sst xmlns="http://schemas.openxmlformats.org/spreadsheetml/2006/main" count="107" uniqueCount="98">
  <si>
    <t>Calculation of the Payments to the Deficit Assessment Fund</t>
  </si>
  <si>
    <t>Hospitals</t>
  </si>
  <si>
    <t>Peninsula and McCready Est. Gross Revenue Combined</t>
  </si>
  <si>
    <t>Payers</t>
  </si>
  <si>
    <t>(ADD M/U)</t>
  </si>
  <si>
    <t>HOSPID</t>
  </si>
  <si>
    <t>Hospital</t>
  </si>
  <si>
    <t>Net Patient</t>
  </si>
  <si>
    <t>Total</t>
  </si>
  <si>
    <t xml:space="preserve">Monthly </t>
  </si>
  <si>
    <t>Actual Payment</t>
  </si>
  <si>
    <t>Corrected Total</t>
  </si>
  <si>
    <t>Corrected</t>
  </si>
  <si>
    <t>Name</t>
  </si>
  <si>
    <t xml:space="preserve">Estimated </t>
  </si>
  <si>
    <t>Revenue</t>
  </si>
  <si>
    <t>Payer</t>
  </si>
  <si>
    <t>Payments</t>
  </si>
  <si>
    <t># of Months</t>
  </si>
  <si>
    <t>Monthly</t>
  </si>
  <si>
    <t>Gross Revenue</t>
  </si>
  <si>
    <t>Percent</t>
  </si>
  <si>
    <t>Net Revenue</t>
  </si>
  <si>
    <t>Portion</t>
  </si>
  <si>
    <t>Due</t>
  </si>
  <si>
    <t>Paid</t>
  </si>
  <si>
    <t>Due(Note)</t>
  </si>
  <si>
    <t xml:space="preserve"> </t>
  </si>
  <si>
    <t>STATE-WIDE</t>
  </si>
  <si>
    <t>Payments from HealthCare Coverage Fund</t>
  </si>
  <si>
    <t>Total Payments to the State Each Month</t>
  </si>
  <si>
    <t>Total Payments to the State Each Year</t>
  </si>
  <si>
    <t>Original Payments</t>
  </si>
  <si>
    <t>RY 2018 Reduction</t>
  </si>
  <si>
    <t>RY 2019 Reduction</t>
  </si>
  <si>
    <t>RY 2020 Reduction</t>
  </si>
  <si>
    <t>RY 2021 Reduction</t>
  </si>
  <si>
    <t>Reduction In Cell G8</t>
  </si>
  <si>
    <t>Total Original Assessment</t>
  </si>
  <si>
    <t>One time reduction of $50m to hospitals per FY23 staff recommendation, approved by legislature</t>
  </si>
  <si>
    <t>Adjustment of $150m increase to Deficit Assessment. Split 14.5% for hospitals and 85.5% for payers</t>
  </si>
  <si>
    <t>New Assessment</t>
  </si>
  <si>
    <t>Current Total Payments</t>
  </si>
  <si>
    <t>FY 2023</t>
  </si>
  <si>
    <t>July 1, 2026 through June 30, 2027</t>
  </si>
  <si>
    <t>Payments July 2026 through June 2027</t>
  </si>
  <si>
    <t>Based on Hospital Actual Payment for July 2022</t>
  </si>
  <si>
    <t>FY 2027</t>
  </si>
  <si>
    <t>FY 2025</t>
  </si>
  <si>
    <t>Meritus Hospital</t>
  </si>
  <si>
    <t>Univ. of Maryland Medical System</t>
  </si>
  <si>
    <t>UM Capital Region Medical Center</t>
  </si>
  <si>
    <t>Holy Cross Hospital of Silver Spring</t>
  </si>
  <si>
    <t>Frederick Memorial Hospital</t>
  </si>
  <si>
    <t>UM Aberdeen FMF</t>
  </si>
  <si>
    <t>Mercy Medical Center, Inc.</t>
  </si>
  <si>
    <t>Johns Hopkins Hospital</t>
  </si>
  <si>
    <t>UM Cambridge</t>
  </si>
  <si>
    <t>St. Agnes Hospital</t>
  </si>
  <si>
    <t>Lifebridge Sinai Hospital</t>
  </si>
  <si>
    <t>LifeBridge Grace Medical Center</t>
  </si>
  <si>
    <t>MedStar Franklin Square Hospital</t>
  </si>
  <si>
    <t>Washington Adventist Hospital</t>
  </si>
  <si>
    <t>WVU Garrett Regional Medical Center</t>
  </si>
  <si>
    <t>MedStar Montgomery General Hospital</t>
  </si>
  <si>
    <t>Tidal Peninsula Regional Medical Center</t>
  </si>
  <si>
    <t>JH Suburban Hospital Association,Inc</t>
  </si>
  <si>
    <t>Luminus Anne Arundel Medical Center</t>
  </si>
  <si>
    <t>MedStar Union Memorial Hospital</t>
  </si>
  <si>
    <t>UPMI Western Maryland</t>
  </si>
  <si>
    <t>MedStar St. Marys Hospital</t>
  </si>
  <si>
    <t>Johns Hopkins Bayview</t>
  </si>
  <si>
    <t>UM Chestertown</t>
  </si>
  <si>
    <t>ChristianaCare Union Hospital</t>
  </si>
  <si>
    <t>LifeBridge Carroll County General Hospital</t>
  </si>
  <si>
    <t>MedStar Harbor Hospital</t>
  </si>
  <si>
    <t>UM Charles Regional</t>
  </si>
  <si>
    <t>UM Memorial Hospital at Easton</t>
  </si>
  <si>
    <t>UM Midtown Campus</t>
  </si>
  <si>
    <t>Calvert Memorial Hospital</t>
  </si>
  <si>
    <t>LifeBridge Northwest Hospital Center, Inc.</t>
  </si>
  <si>
    <t>UM Baltimore Washington Medical Center</t>
  </si>
  <si>
    <t>Greater Baltimore Medical Center</t>
  </si>
  <si>
    <t>Tidal McCready Foundation, Inc.</t>
  </si>
  <si>
    <t>JH Howard County General Hospital</t>
  </si>
  <si>
    <t>UM Upper Chesapeake Medical Center</t>
  </si>
  <si>
    <t>Luminus Doctors Community Hospital</t>
  </si>
  <si>
    <t>UM Laurel Regional Hospital</t>
  </si>
  <si>
    <t>MedStar Good Samaritan Hospital</t>
  </si>
  <si>
    <t>Shady Grove Adventist Hospital</t>
  </si>
  <si>
    <t>UM Rehab &amp; Orthopedic Institute</t>
  </si>
  <si>
    <t>Fort Washington Adventist Medical Center</t>
  </si>
  <si>
    <t>Atlantic General Hospital</t>
  </si>
  <si>
    <t>MedStar Southern Maryland Hospital</t>
  </si>
  <si>
    <t>UM St. Josephs Medical Center</t>
  </si>
  <si>
    <t>Levindale</t>
  </si>
  <si>
    <t>Holy Cross Germantown Hospital</t>
  </si>
  <si>
    <t>UM Shock Trauma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</si>
</sst>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color rgb="FF000000"/>
      <name val="Arial"/>
      <family val="2"/>
    </font>
    <font>
      <b/>
      <sz val="12"/>
      <color indexed="8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u val="singleAccounting"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0" fillId="0" borderId="0" xfId="0" quotePrefix="1"/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right" wrapText="1"/>
    </xf>
    <xf numFmtId="0" fontId="5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4" fontId="9" fillId="2" borderId="0" xfId="2" applyNumberFormat="1" applyFont="1" applyFill="1" applyAlignment="1">
      <alignment horizontal="center" wrapText="1"/>
    </xf>
    <xf numFmtId="6" fontId="9" fillId="0" borderId="0" xfId="0" applyNumberFormat="1" applyFont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165" fontId="10" fillId="3" borderId="0" xfId="0" applyNumberFormat="1" applyFont="1" applyFill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164" fontId="5" fillId="4" borderId="0" xfId="2" applyNumberFormat="1" applyFont="1" applyFill="1" applyAlignment="1">
      <alignment horizontal="right" wrapText="1"/>
    </xf>
    <xf numFmtId="10" fontId="5" fillId="4" borderId="0" xfId="3" applyNumberFormat="1" applyFont="1" applyFill="1" applyAlignment="1">
      <alignment horizontal="right" wrapText="1"/>
    </xf>
    <xf numFmtId="6" fontId="5" fillId="0" borderId="0" xfId="0" applyNumberFormat="1" applyFont="1" applyAlignment="1">
      <alignment horizontal="right" wrapText="1"/>
    </xf>
    <xf numFmtId="6" fontId="8" fillId="0" borderId="0" xfId="0" applyNumberFormat="1" applyFont="1" applyAlignment="1">
      <alignment horizontal="right" wrapText="1"/>
    </xf>
    <xf numFmtId="6" fontId="5" fillId="2" borderId="4" xfId="0" applyNumberFormat="1" applyFont="1" applyFill="1" applyBorder="1" applyAlignment="1">
      <alignment horizontal="right" wrapText="1"/>
    </xf>
    <xf numFmtId="166" fontId="5" fillId="0" borderId="0" xfId="2" applyNumberFormat="1" applyFont="1" applyFill="1" applyBorder="1" applyAlignment="1">
      <alignment horizontal="right" wrapText="1"/>
    </xf>
    <xf numFmtId="166" fontId="5" fillId="0" borderId="5" xfId="2" applyNumberFormat="1" applyFont="1" applyFill="1" applyBorder="1" applyAlignment="1">
      <alignment horizontal="right" wrapText="1"/>
    </xf>
    <xf numFmtId="6" fontId="0" fillId="0" borderId="0" xfId="0" applyNumberFormat="1"/>
    <xf numFmtId="166" fontId="0" fillId="0" borderId="0" xfId="0" applyNumberFormat="1"/>
    <xf numFmtId="10" fontId="5" fillId="0" borderId="0" xfId="3" applyNumberFormat="1" applyFont="1" applyFill="1" applyAlignment="1">
      <alignment horizontal="right" wrapText="1"/>
    </xf>
    <xf numFmtId="164" fontId="9" fillId="4" borderId="0" xfId="2" applyNumberFormat="1" applyFont="1" applyFill="1" applyAlignment="1">
      <alignment horizontal="right" wrapText="1"/>
    </xf>
    <xf numFmtId="6" fontId="9" fillId="0" borderId="0" xfId="0" applyNumberFormat="1" applyFont="1" applyAlignment="1">
      <alignment horizontal="right" wrapText="1"/>
    </xf>
    <xf numFmtId="6" fontId="11" fillId="0" borderId="0" xfId="0" applyNumberFormat="1" applyFont="1" applyAlignment="1">
      <alignment horizontal="right" wrapText="1"/>
    </xf>
    <xf numFmtId="6" fontId="9" fillId="2" borderId="4" xfId="0" applyNumberFormat="1" applyFont="1" applyFill="1" applyBorder="1" applyAlignment="1">
      <alignment horizontal="right" wrapText="1"/>
    </xf>
    <xf numFmtId="166" fontId="9" fillId="0" borderId="0" xfId="2" applyNumberFormat="1" applyFont="1" applyFill="1" applyBorder="1" applyAlignment="1">
      <alignment horizontal="right" wrapText="1"/>
    </xf>
    <xf numFmtId="166" fontId="9" fillId="0" borderId="5" xfId="2" applyNumberFormat="1" applyFont="1" applyFill="1" applyBorder="1" applyAlignment="1">
      <alignment horizontal="right" wrapText="1"/>
    </xf>
    <xf numFmtId="166" fontId="5" fillId="0" borderId="0" xfId="2" applyNumberFormat="1" applyFont="1" applyFill="1" applyAlignment="1">
      <alignment horizontal="right" wrapText="1"/>
    </xf>
    <xf numFmtId="166" fontId="8" fillId="0" borderId="0" xfId="2" applyNumberFormat="1" applyFont="1" applyFill="1" applyAlignment="1">
      <alignment horizontal="right" wrapText="1"/>
    </xf>
    <xf numFmtId="166" fontId="8" fillId="0" borderId="6" xfId="2" applyNumberFormat="1" applyFont="1" applyFill="1" applyBorder="1" applyAlignment="1">
      <alignment horizontal="right" wrapText="1"/>
    </xf>
    <xf numFmtId="166" fontId="8" fillId="0" borderId="7" xfId="2" applyNumberFormat="1" applyFont="1" applyFill="1" applyBorder="1" applyAlignment="1">
      <alignment horizontal="right" wrapText="1"/>
    </xf>
    <xf numFmtId="166" fontId="8" fillId="0" borderId="8" xfId="2" applyNumberFormat="1" applyFont="1" applyFill="1" applyBorder="1" applyAlignment="1">
      <alignment horizontal="right" wrapText="1"/>
    </xf>
    <xf numFmtId="10" fontId="0" fillId="0" borderId="0" xfId="0" applyNumberFormat="1"/>
    <xf numFmtId="10" fontId="5" fillId="0" borderId="0" xfId="2" applyNumberFormat="1" applyFont="1" applyFill="1" applyAlignment="1">
      <alignment horizontal="right" wrapText="1"/>
    </xf>
    <xf numFmtId="10" fontId="8" fillId="0" borderId="0" xfId="2" applyNumberFormat="1" applyFont="1" applyFill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6" fontId="10" fillId="0" borderId="0" xfId="2" applyNumberFormat="1" applyFont="1" applyFill="1" applyAlignment="1">
      <alignment horizontal="right" wrapText="1"/>
    </xf>
    <xf numFmtId="0" fontId="0" fillId="3" borderId="0" xfId="0" applyFill="1" applyAlignment="1">
      <alignment horizontal="right"/>
    </xf>
    <xf numFmtId="0" fontId="0" fillId="3" borderId="0" xfId="0" applyFill="1"/>
    <xf numFmtId="166" fontId="12" fillId="3" borderId="0" xfId="2" applyNumberFormat="1" applyFont="1" applyFill="1"/>
    <xf numFmtId="165" fontId="0" fillId="3" borderId="0" xfId="1" applyNumberFormat="1" applyFont="1" applyFill="1"/>
    <xf numFmtId="165" fontId="13" fillId="3" borderId="0" xfId="1" applyNumberFormat="1" applyFont="1" applyFill="1"/>
    <xf numFmtId="165" fontId="3" fillId="3" borderId="0" xfId="0" applyNumberFormat="1" applyFont="1" applyFill="1"/>
    <xf numFmtId="0" fontId="0" fillId="3" borderId="0" xfId="0" applyFill="1" applyAlignment="1">
      <alignment horizontal="right" wrapText="1"/>
    </xf>
    <xf numFmtId="165" fontId="0" fillId="3" borderId="0" xfId="1" applyNumberFormat="1" applyFont="1" applyFill="1" applyAlignment="1">
      <alignment horizontal="right" vertical="center"/>
    </xf>
    <xf numFmtId="165" fontId="0" fillId="3" borderId="0" xfId="0" applyNumberFormat="1" applyFill="1"/>
    <xf numFmtId="165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363E-EF7C-423A-B5FC-C3F43DD6201C}">
  <sheetPr>
    <pageSetUpPr fitToPage="1"/>
  </sheetPr>
  <dimension ref="A1:R79"/>
  <sheetViews>
    <sheetView tabSelected="1" zoomScaleNormal="100" workbookViewId="0">
      <selection activeCell="R2" sqref="R2"/>
    </sheetView>
  </sheetViews>
  <sheetFormatPr defaultColWidth="9.15625" defaultRowHeight="14.4" x14ac:dyDescent="0.55000000000000004"/>
  <cols>
    <col min="1" max="1" width="7.41796875" customWidth="1"/>
    <col min="2" max="2" width="35.41796875" customWidth="1"/>
    <col min="3" max="3" width="17.578125" customWidth="1"/>
    <col min="4" max="4" width="14.68359375" customWidth="1"/>
    <col min="5" max="5" width="18.15625" customWidth="1"/>
    <col min="6" max="6" width="14.41796875" customWidth="1"/>
    <col min="7" max="7" width="16.41796875" customWidth="1"/>
    <col min="8" max="8" width="14.578125" customWidth="1"/>
    <col min="9" max="9" width="16.26171875" customWidth="1"/>
    <col min="10" max="10" width="7" customWidth="1"/>
    <col min="11" max="11" width="16.83984375" hidden="1" customWidth="1"/>
    <col min="12" max="12" width="15.26171875" hidden="1" customWidth="1"/>
    <col min="13" max="13" width="14.83984375" hidden="1" customWidth="1"/>
    <col min="14" max="14" width="15.83984375" hidden="1" customWidth="1"/>
    <col min="15" max="15" width="0" hidden="1" customWidth="1"/>
    <col min="16" max="16" width="15.26171875" bestFit="1" customWidth="1"/>
    <col min="17" max="17" width="12.83984375" bestFit="1" customWidth="1"/>
    <col min="18" max="18" width="16.26171875" bestFit="1" customWidth="1"/>
  </cols>
  <sheetData>
    <row r="1" spans="1:18" ht="23.25" customHeight="1" x14ac:dyDescent="0.7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</row>
    <row r="2" spans="1:18" ht="19" customHeight="1" x14ac:dyDescent="0.55000000000000004">
      <c r="A2" s="4" t="s">
        <v>44</v>
      </c>
      <c r="B2" s="4"/>
      <c r="C2" s="4"/>
      <c r="D2" s="4"/>
      <c r="E2" s="4"/>
      <c r="F2" s="4"/>
      <c r="I2" s="3"/>
      <c r="J2" s="3"/>
    </row>
    <row r="3" spans="1:18" ht="15.3" x14ac:dyDescent="0.55000000000000004">
      <c r="A3" s="4" t="s">
        <v>45</v>
      </c>
      <c r="B3" s="4"/>
      <c r="C3" s="4"/>
      <c r="D3" s="4"/>
      <c r="E3" t="s">
        <v>1</v>
      </c>
      <c r="F3">
        <v>0.14499999999999999</v>
      </c>
      <c r="G3" s="5"/>
      <c r="H3" s="6"/>
      <c r="J3" s="3"/>
      <c r="K3" s="7" t="s">
        <v>46</v>
      </c>
      <c r="L3" s="7"/>
      <c r="M3" s="7"/>
      <c r="P3" s="8"/>
    </row>
    <row r="4" spans="1:18" ht="15.6" thickBot="1" x14ac:dyDescent="0.6">
      <c r="A4" s="9" t="s">
        <v>2</v>
      </c>
      <c r="B4" s="10"/>
      <c r="C4" s="10"/>
      <c r="D4" s="3"/>
      <c r="E4" t="s">
        <v>3</v>
      </c>
      <c r="F4">
        <v>0.85499999999999998</v>
      </c>
      <c r="G4" s="5" t="s">
        <v>4</v>
      </c>
      <c r="J4" s="3"/>
      <c r="K4" s="3"/>
    </row>
    <row r="5" spans="1:18" x14ac:dyDescent="0.55000000000000004">
      <c r="A5" s="11" t="s">
        <v>5</v>
      </c>
      <c r="B5" s="11" t="s">
        <v>6</v>
      </c>
      <c r="C5" s="3"/>
      <c r="D5" s="11" t="s">
        <v>7</v>
      </c>
      <c r="H5" s="11" t="s">
        <v>8</v>
      </c>
      <c r="I5" s="11" t="s">
        <v>9</v>
      </c>
      <c r="J5" s="11"/>
      <c r="K5" s="12" t="s">
        <v>10</v>
      </c>
      <c r="L5" s="13" t="s">
        <v>11</v>
      </c>
      <c r="M5" s="14" t="s">
        <v>12</v>
      </c>
      <c r="N5" s="11"/>
    </row>
    <row r="6" spans="1:18" x14ac:dyDescent="0.55000000000000004">
      <c r="A6" s="3"/>
      <c r="B6" s="11" t="s">
        <v>13</v>
      </c>
      <c r="C6" s="11" t="s">
        <v>14</v>
      </c>
      <c r="D6" s="11" t="s">
        <v>15</v>
      </c>
      <c r="E6" s="11" t="s">
        <v>14</v>
      </c>
      <c r="F6" s="11" t="s">
        <v>6</v>
      </c>
      <c r="G6" s="11" t="s">
        <v>16</v>
      </c>
      <c r="H6" s="11" t="s">
        <v>17</v>
      </c>
      <c r="I6" s="11" t="s">
        <v>17</v>
      </c>
      <c r="J6" s="11"/>
      <c r="K6" s="15" t="s">
        <v>18</v>
      </c>
      <c r="L6" s="16" t="s">
        <v>17</v>
      </c>
      <c r="M6" s="17" t="s">
        <v>19</v>
      </c>
      <c r="N6" s="11"/>
    </row>
    <row r="7" spans="1:18" x14ac:dyDescent="0.55000000000000004">
      <c r="A7" s="11"/>
      <c r="B7" s="11"/>
      <c r="C7" s="11" t="s">
        <v>20</v>
      </c>
      <c r="D7" s="11" t="s">
        <v>21</v>
      </c>
      <c r="E7" s="11" t="s">
        <v>22</v>
      </c>
      <c r="F7" s="11" t="s">
        <v>23</v>
      </c>
      <c r="G7" s="11" t="s">
        <v>23</v>
      </c>
      <c r="H7" s="11" t="s">
        <v>24</v>
      </c>
      <c r="I7" s="11" t="s">
        <v>24</v>
      </c>
      <c r="J7" s="11"/>
      <c r="K7" s="15" t="s">
        <v>25</v>
      </c>
      <c r="L7" s="16" t="s">
        <v>24</v>
      </c>
      <c r="M7" s="17" t="s">
        <v>17</v>
      </c>
      <c r="N7" s="11"/>
    </row>
    <row r="8" spans="1:18" ht="15.3" x14ac:dyDescent="0.7">
      <c r="A8" s="11"/>
      <c r="B8" s="11"/>
      <c r="C8" s="18" t="s">
        <v>47</v>
      </c>
      <c r="D8" s="18" t="s">
        <v>48</v>
      </c>
      <c r="E8" s="18" t="s">
        <v>47</v>
      </c>
      <c r="F8" s="19">
        <f>H8*F3</f>
        <v>57249624.999999993</v>
      </c>
      <c r="G8" s="19">
        <f>H8*F4</f>
        <v>337575375</v>
      </c>
      <c r="H8" s="20">
        <v>394825000</v>
      </c>
      <c r="I8" s="11"/>
      <c r="J8" s="11"/>
      <c r="K8" s="21">
        <v>1</v>
      </c>
      <c r="L8" s="22">
        <f>+H75</f>
        <v>0</v>
      </c>
      <c r="M8" s="23" t="s">
        <v>26</v>
      </c>
      <c r="N8" s="24"/>
    </row>
    <row r="9" spans="1:18" x14ac:dyDescent="0.55000000000000004">
      <c r="A9" s="3">
        <v>210001</v>
      </c>
      <c r="B9" s="25" t="s">
        <v>49</v>
      </c>
      <c r="C9" s="26">
        <v>590799783.89487207</v>
      </c>
      <c r="D9" s="27">
        <v>0.84711397173452585</v>
      </c>
      <c r="E9" s="28">
        <f t="shared" ref="E9:E57" si="0">C9*D9</f>
        <v>500474751.43508464</v>
      </c>
      <c r="F9" s="28">
        <f>+E9/$E$58*$F$8</f>
        <v>1424862.7407560467</v>
      </c>
      <c r="G9" s="29">
        <f>E9/$E$58*$G$8</f>
        <v>8401776.8506649658</v>
      </c>
      <c r="H9" s="28">
        <f>+F9+G9</f>
        <v>9826639.5914210118</v>
      </c>
      <c r="I9" s="28">
        <f>+H9/12</f>
        <v>818886.63261841761</v>
      </c>
      <c r="J9" s="28"/>
      <c r="K9" s="30">
        <v>533563.58798553993</v>
      </c>
      <c r="L9" s="31">
        <f>+H9-K9</f>
        <v>9293076.003435472</v>
      </c>
      <c r="M9" s="32">
        <f>+L9/(12-$K$8)</f>
        <v>844825.09122140659</v>
      </c>
      <c r="N9" s="32"/>
      <c r="P9" s="33"/>
      <c r="Q9" s="33"/>
      <c r="R9" s="34"/>
    </row>
    <row r="10" spans="1:18" x14ac:dyDescent="0.55000000000000004">
      <c r="A10" s="3">
        <v>210002</v>
      </c>
      <c r="B10" s="25" t="s">
        <v>50</v>
      </c>
      <c r="C10" s="26">
        <v>2171623296.8037643</v>
      </c>
      <c r="D10" s="27">
        <v>0.84607416907941346</v>
      </c>
      <c r="E10" s="28">
        <f t="shared" si="0"/>
        <v>1837354376.3967414</v>
      </c>
      <c r="F10" s="28">
        <f t="shared" ref="F10:F57" si="1">+E10/$E$58*$F$8</f>
        <v>5230988.7461572569</v>
      </c>
      <c r="G10" s="29">
        <f t="shared" ref="G10:G58" si="2">E10/$E$58*$G$8</f>
        <v>30844795.71009969</v>
      </c>
      <c r="H10" s="28">
        <f t="shared" ref="H10:H57" si="3">+G10/$G$58*$H$8</f>
        <v>36075784.456256948</v>
      </c>
      <c r="I10" s="28">
        <f t="shared" ref="I10:I57" si="4">+H10/12</f>
        <v>3006315.3713547457</v>
      </c>
      <c r="J10" s="28"/>
      <c r="K10" s="30">
        <v>2232836.2131056404</v>
      </c>
      <c r="L10" s="31">
        <f t="shared" ref="L10:L57" si="5">+H10-K10</f>
        <v>33842948.243151307</v>
      </c>
      <c r="M10" s="32">
        <f>+L10/(12-$K$8)</f>
        <v>3076631.6584683005</v>
      </c>
      <c r="N10" s="32"/>
      <c r="P10" s="33"/>
    </row>
    <row r="11" spans="1:18" x14ac:dyDescent="0.55000000000000004">
      <c r="A11" s="3">
        <v>210003</v>
      </c>
      <c r="B11" s="25" t="s">
        <v>51</v>
      </c>
      <c r="C11" s="26">
        <v>517983452.78274006</v>
      </c>
      <c r="D11" s="27">
        <v>0.86644073148709189</v>
      </c>
      <c r="E11" s="28">
        <f t="shared" si="0"/>
        <v>448801961.72728682</v>
      </c>
      <c r="F11" s="28">
        <f t="shared" si="1"/>
        <v>1277749.1599920955</v>
      </c>
      <c r="G11" s="29">
        <f t="shared" si="2"/>
        <v>7534314.0123671861</v>
      </c>
      <c r="H11" s="28">
        <f t="shared" si="3"/>
        <v>8812063.1723592822</v>
      </c>
      <c r="I11" s="28">
        <f t="shared" si="4"/>
        <v>734338.59769660688</v>
      </c>
      <c r="J11" s="28"/>
      <c r="K11" s="30">
        <v>460865.35988136823</v>
      </c>
      <c r="L11" s="31">
        <f t="shared" si="5"/>
        <v>8351197.8124779137</v>
      </c>
      <c r="M11" s="32">
        <f t="shared" ref="M11:M57" si="6">+L11/(12-$K$8)</f>
        <v>759199.80113435583</v>
      </c>
      <c r="N11" s="32"/>
    </row>
    <row r="12" spans="1:18" ht="14.5" customHeight="1" x14ac:dyDescent="0.55000000000000004">
      <c r="A12" s="3">
        <v>210004</v>
      </c>
      <c r="B12" s="25" t="s">
        <v>52</v>
      </c>
      <c r="C12" s="26">
        <v>691089122.53291655</v>
      </c>
      <c r="D12" s="27">
        <v>0.86513121745733679</v>
      </c>
      <c r="E12" s="28">
        <f t="shared" si="0"/>
        <v>597882773.9484247</v>
      </c>
      <c r="F12" s="28">
        <f t="shared" si="1"/>
        <v>1702185.5458166471</v>
      </c>
      <c r="G12" s="29">
        <f t="shared" si="2"/>
        <v>10037025.114987817</v>
      </c>
      <c r="H12" s="28">
        <f t="shared" si="3"/>
        <v>11739210.660804465</v>
      </c>
      <c r="I12" s="28">
        <f t="shared" si="4"/>
        <v>978267.55506703875</v>
      </c>
      <c r="J12" s="28"/>
      <c r="K12" s="30">
        <v>707646.76586292253</v>
      </c>
      <c r="L12" s="31">
        <f t="shared" si="5"/>
        <v>11031563.894941542</v>
      </c>
      <c r="M12" s="32">
        <f t="shared" si="6"/>
        <v>1002869.4449946857</v>
      </c>
      <c r="N12" s="32"/>
    </row>
    <row r="13" spans="1:18" x14ac:dyDescent="0.55000000000000004">
      <c r="A13" s="3">
        <v>210005</v>
      </c>
      <c r="B13" s="25" t="s">
        <v>53</v>
      </c>
      <c r="C13" s="26">
        <v>511737910.18311107</v>
      </c>
      <c r="D13" s="27">
        <v>0.82499835352223561</v>
      </c>
      <c r="E13" s="28">
        <f t="shared" si="0"/>
        <v>422182933.3359763</v>
      </c>
      <c r="F13" s="28">
        <f t="shared" si="1"/>
        <v>1201964.1945345018</v>
      </c>
      <c r="G13" s="29">
        <f t="shared" si="2"/>
        <v>7087444.0436344771</v>
      </c>
      <c r="H13" s="28">
        <f t="shared" si="3"/>
        <v>8289408.2381689791</v>
      </c>
      <c r="I13" s="28">
        <f t="shared" si="4"/>
        <v>690784.01984741492</v>
      </c>
      <c r="J13" s="28"/>
      <c r="K13" s="30">
        <v>514693.53465910687</v>
      </c>
      <c r="L13" s="31">
        <f t="shared" si="5"/>
        <v>7774714.7035098718</v>
      </c>
      <c r="M13" s="32">
        <f t="shared" si="6"/>
        <v>706792.24577362475</v>
      </c>
      <c r="N13" s="32"/>
    </row>
    <row r="14" spans="1:18" x14ac:dyDescent="0.55000000000000004">
      <c r="A14" s="3">
        <v>210006</v>
      </c>
      <c r="B14" s="25" t="s">
        <v>54</v>
      </c>
      <c r="C14" s="26">
        <v>34841970.87623208</v>
      </c>
      <c r="D14" s="27">
        <v>0.76522530605824235</v>
      </c>
      <c r="E14" s="28">
        <f t="shared" si="0"/>
        <v>26661957.827437058</v>
      </c>
      <c r="F14" s="28">
        <f t="shared" si="1"/>
        <v>75907.18651638442</v>
      </c>
      <c r="G14" s="29">
        <f t="shared" si="2"/>
        <v>447590.65152764606</v>
      </c>
      <c r="H14" s="28">
        <f t="shared" si="3"/>
        <v>523497.83804403053</v>
      </c>
      <c r="I14" s="28">
        <f t="shared" si="4"/>
        <v>43624.819837002542</v>
      </c>
      <c r="J14" s="28"/>
      <c r="K14" s="30">
        <v>162298.88601167954</v>
      </c>
      <c r="L14" s="31">
        <f t="shared" si="5"/>
        <v>361198.95203235099</v>
      </c>
      <c r="M14" s="32">
        <f t="shared" si="6"/>
        <v>32836.268366577366</v>
      </c>
      <c r="N14" s="32"/>
    </row>
    <row r="15" spans="1:18" x14ac:dyDescent="0.55000000000000004">
      <c r="A15" s="3">
        <v>210008</v>
      </c>
      <c r="B15" s="25" t="s">
        <v>55</v>
      </c>
      <c r="C15" s="26">
        <v>767439587.9655993</v>
      </c>
      <c r="D15" s="27">
        <v>0.83714949195673072</v>
      </c>
      <c r="E15" s="28">
        <f t="shared" si="0"/>
        <v>642461661.17288423</v>
      </c>
      <c r="F15" s="28">
        <f t="shared" si="1"/>
        <v>1829102.6285433208</v>
      </c>
      <c r="G15" s="29">
        <f t="shared" si="2"/>
        <v>10785398.257962342</v>
      </c>
      <c r="H15" s="28">
        <f t="shared" si="3"/>
        <v>12614500.886505663</v>
      </c>
      <c r="I15" s="28">
        <f t="shared" si="4"/>
        <v>1051208.4072088052</v>
      </c>
      <c r="J15" s="28"/>
      <c r="K15" s="30">
        <v>800011.20488820272</v>
      </c>
      <c r="L15" s="31">
        <f t="shared" si="5"/>
        <v>11814489.681617461</v>
      </c>
      <c r="M15" s="32">
        <f t="shared" si="6"/>
        <v>1074044.5165106782</v>
      </c>
      <c r="N15" s="32"/>
    </row>
    <row r="16" spans="1:18" x14ac:dyDescent="0.55000000000000004">
      <c r="A16" s="3">
        <v>210009</v>
      </c>
      <c r="B16" s="25" t="s">
        <v>56</v>
      </c>
      <c r="C16" s="26">
        <v>3508707797.8029246</v>
      </c>
      <c r="D16" s="27">
        <v>0.83367151470221768</v>
      </c>
      <c r="E16" s="28">
        <f t="shared" si="0"/>
        <v>2925109744.4418468</v>
      </c>
      <c r="F16" s="28">
        <f t="shared" si="1"/>
        <v>8327852.4551467504</v>
      </c>
      <c r="G16" s="29">
        <f t="shared" si="2"/>
        <v>49105612.752761886</v>
      </c>
      <c r="H16" s="28">
        <f t="shared" si="3"/>
        <v>57433465.207908638</v>
      </c>
      <c r="I16" s="28">
        <f t="shared" si="4"/>
        <v>4786122.1006590528</v>
      </c>
      <c r="J16" s="28"/>
      <c r="K16" s="30">
        <v>3523391.0839978606</v>
      </c>
      <c r="L16" s="31">
        <f t="shared" si="5"/>
        <v>53910074.123910777</v>
      </c>
      <c r="M16" s="32">
        <f t="shared" si="6"/>
        <v>4900915.829446434</v>
      </c>
      <c r="N16" s="32"/>
    </row>
    <row r="17" spans="1:14" x14ac:dyDescent="0.55000000000000004">
      <c r="A17" s="3">
        <v>210010</v>
      </c>
      <c r="B17" s="25" t="s">
        <v>57</v>
      </c>
      <c r="C17" s="26">
        <v>18359438.061057657</v>
      </c>
      <c r="D17" s="27">
        <v>0.76832794976653973</v>
      </c>
      <c r="E17" s="28">
        <f t="shared" si="0"/>
        <v>14106069.404318206</v>
      </c>
      <c r="F17" s="28">
        <f t="shared" si="1"/>
        <v>40160.293111887135</v>
      </c>
      <c r="G17" s="29">
        <f t="shared" si="2"/>
        <v>236807.24559078278</v>
      </c>
      <c r="H17" s="28">
        <f t="shared" si="3"/>
        <v>276967.5387026699</v>
      </c>
      <c r="I17" s="28">
        <f t="shared" si="4"/>
        <v>23080.628225222492</v>
      </c>
      <c r="J17" s="28"/>
      <c r="K17" s="30">
        <v>61029.493133545177</v>
      </c>
      <c r="L17" s="31">
        <f t="shared" si="5"/>
        <v>215938.04556912472</v>
      </c>
      <c r="M17" s="32">
        <f t="shared" si="6"/>
        <v>19630.731415374976</v>
      </c>
      <c r="N17" s="32"/>
    </row>
    <row r="18" spans="1:14" x14ac:dyDescent="0.55000000000000004">
      <c r="A18" s="3">
        <v>210011</v>
      </c>
      <c r="B18" s="25" t="s">
        <v>58</v>
      </c>
      <c r="C18" s="26">
        <v>579610899.55230355</v>
      </c>
      <c r="D18" s="27">
        <v>0.78327379603140501</v>
      </c>
      <c r="E18" s="28">
        <f t="shared" si="0"/>
        <v>453994029.51351017</v>
      </c>
      <c r="F18" s="28">
        <f t="shared" si="1"/>
        <v>1292531.0923770084</v>
      </c>
      <c r="G18" s="29">
        <f t="shared" si="2"/>
        <v>7621476.4412575327</v>
      </c>
      <c r="H18" s="28">
        <f t="shared" si="3"/>
        <v>8914007.5336345416</v>
      </c>
      <c r="I18" s="28">
        <f t="shared" si="4"/>
        <v>742833.96113621176</v>
      </c>
      <c r="J18" s="28"/>
      <c r="K18" s="30">
        <v>592699.30641657312</v>
      </c>
      <c r="L18" s="31">
        <f t="shared" si="5"/>
        <v>8321308.2272179686</v>
      </c>
      <c r="M18" s="32">
        <f t="shared" si="6"/>
        <v>756482.56611072447</v>
      </c>
      <c r="N18" s="32"/>
    </row>
    <row r="19" spans="1:14" x14ac:dyDescent="0.55000000000000004">
      <c r="A19" s="3">
        <v>210012</v>
      </c>
      <c r="B19" s="25" t="s">
        <v>59</v>
      </c>
      <c r="C19" s="26">
        <v>1056230607.0821447</v>
      </c>
      <c r="D19" s="27">
        <v>0.82958303608943607</v>
      </c>
      <c r="E19" s="28">
        <f t="shared" si="0"/>
        <v>876230993.83379388</v>
      </c>
      <c r="F19" s="28">
        <f t="shared" si="1"/>
        <v>2494649.1143247122</v>
      </c>
      <c r="G19" s="29">
        <f t="shared" si="2"/>
        <v>14709827.536190545</v>
      </c>
      <c r="H19" s="28">
        <f t="shared" si="3"/>
        <v>17204476.650515258</v>
      </c>
      <c r="I19" s="28">
        <f t="shared" si="4"/>
        <v>1433706.3875429381</v>
      </c>
      <c r="J19" s="28"/>
      <c r="K19" s="30">
        <v>1192949.1825522324</v>
      </c>
      <c r="L19" s="31">
        <f t="shared" si="5"/>
        <v>16011527.467963025</v>
      </c>
      <c r="M19" s="32">
        <f t="shared" si="6"/>
        <v>1455593.4061784567</v>
      </c>
      <c r="N19" s="32"/>
    </row>
    <row r="20" spans="1:14" x14ac:dyDescent="0.55000000000000004">
      <c r="A20" s="3">
        <v>210013</v>
      </c>
      <c r="B20" s="25" t="s">
        <v>60</v>
      </c>
      <c r="C20" s="26">
        <v>36517175.032911479</v>
      </c>
      <c r="D20" s="27">
        <v>0.74579548620834346</v>
      </c>
      <c r="E20" s="28">
        <f t="shared" si="0"/>
        <v>27234344.308625396</v>
      </c>
      <c r="F20" s="28">
        <f t="shared" si="1"/>
        <v>77536.783550039196</v>
      </c>
      <c r="G20" s="29">
        <f t="shared" si="2"/>
        <v>457199.65472609323</v>
      </c>
      <c r="H20" s="28">
        <f t="shared" si="3"/>
        <v>534736.43827613245</v>
      </c>
      <c r="I20" s="28">
        <f t="shared" si="4"/>
        <v>44561.369856344369</v>
      </c>
      <c r="J20" s="28"/>
      <c r="K20" s="30">
        <v>48533.212930175454</v>
      </c>
      <c r="L20" s="31">
        <f t="shared" si="5"/>
        <v>486203.22534595698</v>
      </c>
      <c r="M20" s="32">
        <f t="shared" si="6"/>
        <v>44200.293213268815</v>
      </c>
      <c r="N20" s="32"/>
    </row>
    <row r="21" spans="1:14" x14ac:dyDescent="0.55000000000000004">
      <c r="A21" s="3">
        <v>210015</v>
      </c>
      <c r="B21" s="25" t="s">
        <v>61</v>
      </c>
      <c r="C21" s="26">
        <v>790759401.38205504</v>
      </c>
      <c r="D21" s="27">
        <v>0.84545443915978391</v>
      </c>
      <c r="E21" s="28">
        <f t="shared" si="0"/>
        <v>668551046.20579183</v>
      </c>
      <c r="F21" s="28">
        <f t="shared" si="1"/>
        <v>1903379.6875878272</v>
      </c>
      <c r="G21" s="29">
        <f t="shared" si="2"/>
        <v>11223376.77853512</v>
      </c>
      <c r="H21" s="28">
        <f t="shared" si="3"/>
        <v>13126756.466122948</v>
      </c>
      <c r="I21" s="28">
        <f t="shared" si="4"/>
        <v>1093896.3721769124</v>
      </c>
      <c r="J21" s="28"/>
      <c r="K21" s="30">
        <v>778744.42311066028</v>
      </c>
      <c r="L21" s="31">
        <f t="shared" si="5"/>
        <v>12348012.043012287</v>
      </c>
      <c r="M21" s="32">
        <f t="shared" si="6"/>
        <v>1122546.5493647533</v>
      </c>
      <c r="N21" s="32"/>
    </row>
    <row r="22" spans="1:14" x14ac:dyDescent="0.55000000000000004">
      <c r="A22" s="3">
        <v>210016</v>
      </c>
      <c r="B22" s="25" t="s">
        <v>62</v>
      </c>
      <c r="C22" s="26">
        <v>477243046.48534262</v>
      </c>
      <c r="D22" s="27">
        <v>0.84031927364718706</v>
      </c>
      <c r="E22" s="28">
        <f t="shared" si="0"/>
        <v>401036530.17573386</v>
      </c>
      <c r="F22" s="28">
        <f t="shared" si="1"/>
        <v>1141759.9147428898</v>
      </c>
      <c r="G22" s="29">
        <f t="shared" si="2"/>
        <v>6732446.3938287646</v>
      </c>
      <c r="H22" s="28">
        <f t="shared" si="3"/>
        <v>7874206.3085716553</v>
      </c>
      <c r="I22" s="28">
        <f t="shared" si="4"/>
        <v>656183.8590476379</v>
      </c>
      <c r="J22" s="28"/>
      <c r="K22" s="30">
        <v>422847.95345739444</v>
      </c>
      <c r="L22" s="31">
        <f t="shared" si="5"/>
        <v>7451358.3551142607</v>
      </c>
      <c r="M22" s="32">
        <f t="shared" si="6"/>
        <v>677396.21410129638</v>
      </c>
      <c r="N22" s="32"/>
    </row>
    <row r="23" spans="1:14" x14ac:dyDescent="0.55000000000000004">
      <c r="A23" s="3">
        <v>210017</v>
      </c>
      <c r="B23" s="25" t="s">
        <v>63</v>
      </c>
      <c r="C23" s="26">
        <v>104997003.27151783</v>
      </c>
      <c r="D23" s="27">
        <v>0.82649068726053421</v>
      </c>
      <c r="E23" s="28">
        <f t="shared" si="0"/>
        <v>86779045.394173324</v>
      </c>
      <c r="F23" s="28">
        <f t="shared" si="1"/>
        <v>247061.87096547926</v>
      </c>
      <c r="G23" s="29">
        <f t="shared" si="2"/>
        <v>1456813.10121024</v>
      </c>
      <c r="H23" s="28">
        <f t="shared" si="3"/>
        <v>1703874.9721757194</v>
      </c>
      <c r="I23" s="28">
        <f t="shared" si="4"/>
        <v>141989.58101464328</v>
      </c>
      <c r="J23" s="28"/>
      <c r="K23" s="30">
        <v>87345.204656480302</v>
      </c>
      <c r="L23" s="31">
        <f t="shared" si="5"/>
        <v>1616529.7675192391</v>
      </c>
      <c r="M23" s="32">
        <f t="shared" si="6"/>
        <v>146957.25159265811</v>
      </c>
      <c r="N23" s="32"/>
    </row>
    <row r="24" spans="1:14" x14ac:dyDescent="0.55000000000000004">
      <c r="A24" s="3">
        <v>210018</v>
      </c>
      <c r="B24" s="25" t="s">
        <v>64</v>
      </c>
      <c r="C24" s="26">
        <v>254853693.1138635</v>
      </c>
      <c r="D24" s="27">
        <v>0.8438163284289385</v>
      </c>
      <c r="E24" s="28">
        <f t="shared" si="0"/>
        <v>215049707.60989574</v>
      </c>
      <c r="F24" s="28">
        <f t="shared" si="1"/>
        <v>612251.29720368527</v>
      </c>
      <c r="G24" s="29">
        <f t="shared" si="2"/>
        <v>3610171.4421320753</v>
      </c>
      <c r="H24" s="28">
        <f t="shared" si="3"/>
        <v>4222422.7393357605</v>
      </c>
      <c r="I24" s="28">
        <f t="shared" si="4"/>
        <v>351868.56161131337</v>
      </c>
      <c r="J24" s="28"/>
      <c r="K24" s="30">
        <v>241194.31507058602</v>
      </c>
      <c r="L24" s="31">
        <f t="shared" si="5"/>
        <v>3981228.4242651747</v>
      </c>
      <c r="M24" s="32">
        <f t="shared" si="6"/>
        <v>361929.8567513795</v>
      </c>
      <c r="N24" s="32"/>
    </row>
    <row r="25" spans="1:14" ht="15.75" customHeight="1" x14ac:dyDescent="0.55000000000000004">
      <c r="A25" s="3">
        <v>210019</v>
      </c>
      <c r="B25" s="25" t="s">
        <v>65</v>
      </c>
      <c r="C25" s="26">
        <v>717251874.23813987</v>
      </c>
      <c r="D25" s="35">
        <v>0.82103847330322399</v>
      </c>
      <c r="E25" s="28">
        <f t="shared" si="0"/>
        <v>588891383.79835832</v>
      </c>
      <c r="F25" s="28">
        <f t="shared" si="1"/>
        <v>1676586.8582191325</v>
      </c>
      <c r="G25" s="29">
        <f t="shared" si="2"/>
        <v>9886081.1294990238</v>
      </c>
      <c r="H25" s="28">
        <f t="shared" si="3"/>
        <v>11562667.987718157</v>
      </c>
      <c r="I25" s="28">
        <f t="shared" si="4"/>
        <v>963555.66564317979</v>
      </c>
      <c r="J25" s="28"/>
      <c r="K25" s="30">
        <v>663511.72504751559</v>
      </c>
      <c r="L25" s="31">
        <f t="shared" si="5"/>
        <v>10899156.262670642</v>
      </c>
      <c r="M25" s="32">
        <f t="shared" si="6"/>
        <v>990832.38751551288</v>
      </c>
      <c r="N25" s="32"/>
    </row>
    <row r="26" spans="1:14" ht="14.25" customHeight="1" x14ac:dyDescent="0.55000000000000004">
      <c r="A26" s="3">
        <v>210022</v>
      </c>
      <c r="B26" s="25" t="s">
        <v>66</v>
      </c>
      <c r="C26" s="26">
        <v>513027956.27969563</v>
      </c>
      <c r="D26" s="27">
        <v>0.83585292069097161</v>
      </c>
      <c r="E26" s="28">
        <f t="shared" si="0"/>
        <v>428815915.65250367</v>
      </c>
      <c r="F26" s="28">
        <f t="shared" si="1"/>
        <v>1220848.4426125779</v>
      </c>
      <c r="G26" s="29">
        <f t="shared" si="2"/>
        <v>7198795.9891983047</v>
      </c>
      <c r="H26" s="28">
        <f t="shared" si="3"/>
        <v>8419644.4318108838</v>
      </c>
      <c r="I26" s="28">
        <f t="shared" si="4"/>
        <v>701637.03598424036</v>
      </c>
      <c r="J26" s="28"/>
      <c r="K26" s="30">
        <v>485761.36341008678</v>
      </c>
      <c r="L26" s="31">
        <f t="shared" si="5"/>
        <v>7933883.0684007974</v>
      </c>
      <c r="M26" s="32">
        <f t="shared" si="6"/>
        <v>721262.09712734527</v>
      </c>
      <c r="N26" s="32"/>
    </row>
    <row r="27" spans="1:14" x14ac:dyDescent="0.55000000000000004">
      <c r="A27" s="3">
        <v>210023</v>
      </c>
      <c r="B27" s="25" t="s">
        <v>67</v>
      </c>
      <c r="C27" s="26">
        <v>895813643.0288167</v>
      </c>
      <c r="D27" s="27">
        <v>0.86721825594335344</v>
      </c>
      <c r="E27" s="28">
        <f t="shared" si="0"/>
        <v>776865945.15771222</v>
      </c>
      <c r="F27" s="28">
        <f t="shared" si="1"/>
        <v>2211754.6122824368</v>
      </c>
      <c r="G27" s="29">
        <f t="shared" si="2"/>
        <v>13041725.472424025</v>
      </c>
      <c r="H27" s="28">
        <f t="shared" si="3"/>
        <v>15253480.084706461</v>
      </c>
      <c r="I27" s="28">
        <f t="shared" si="4"/>
        <v>1271123.3403922052</v>
      </c>
      <c r="J27" s="28"/>
      <c r="K27" s="30">
        <v>956252.09966527403</v>
      </c>
      <c r="L27" s="31">
        <f t="shared" si="5"/>
        <v>14297227.985041186</v>
      </c>
      <c r="M27" s="32">
        <f t="shared" si="6"/>
        <v>1299747.9986401079</v>
      </c>
      <c r="N27" s="32"/>
    </row>
    <row r="28" spans="1:14" x14ac:dyDescent="0.55000000000000004">
      <c r="A28" s="3">
        <v>210024</v>
      </c>
      <c r="B28" s="25" t="s">
        <v>68</v>
      </c>
      <c r="C28" s="26">
        <v>548347544.06089103</v>
      </c>
      <c r="D28" s="27">
        <v>0.85006648307582433</v>
      </c>
      <c r="E28" s="28">
        <f t="shared" si="0"/>
        <v>466131868.28310728</v>
      </c>
      <c r="F28" s="28">
        <f t="shared" si="1"/>
        <v>1327087.7891264674</v>
      </c>
      <c r="G28" s="29">
        <f t="shared" si="2"/>
        <v>7825241.7910560668</v>
      </c>
      <c r="H28" s="28">
        <f t="shared" si="3"/>
        <v>9152329.5801825356</v>
      </c>
      <c r="I28" s="28">
        <f t="shared" si="4"/>
        <v>762694.131681878</v>
      </c>
      <c r="J28" s="28"/>
      <c r="K28" s="30">
        <v>564369.67807862442</v>
      </c>
      <c r="L28" s="31">
        <f t="shared" si="5"/>
        <v>8587959.9021039121</v>
      </c>
      <c r="M28" s="32">
        <f t="shared" si="6"/>
        <v>780723.62746399199</v>
      </c>
      <c r="N28" s="32"/>
    </row>
    <row r="29" spans="1:14" x14ac:dyDescent="0.55000000000000004">
      <c r="A29" s="3">
        <v>210027</v>
      </c>
      <c r="B29" s="25" t="s">
        <v>69</v>
      </c>
      <c r="C29" s="26">
        <v>420081535.23872352</v>
      </c>
      <c r="D29" s="27">
        <v>0.80242308026710163</v>
      </c>
      <c r="E29" s="28">
        <f t="shared" si="0"/>
        <v>337083119.46958953</v>
      </c>
      <c r="F29" s="28">
        <f t="shared" si="1"/>
        <v>959683.13305078982</v>
      </c>
      <c r="G29" s="29">
        <f t="shared" si="2"/>
        <v>5658821.2328167269</v>
      </c>
      <c r="H29" s="28">
        <f t="shared" si="3"/>
        <v>6618504.365867517</v>
      </c>
      <c r="I29" s="28">
        <f t="shared" si="4"/>
        <v>551542.03048895975</v>
      </c>
      <c r="J29" s="28"/>
      <c r="K29" s="30">
        <v>452331.06897759723</v>
      </c>
      <c r="L29" s="31">
        <f t="shared" si="5"/>
        <v>6166173.2968899198</v>
      </c>
      <c r="M29" s="32">
        <f t="shared" si="6"/>
        <v>560561.20880817447</v>
      </c>
      <c r="N29" s="32"/>
    </row>
    <row r="30" spans="1:14" x14ac:dyDescent="0.55000000000000004">
      <c r="A30" s="3">
        <v>210028</v>
      </c>
      <c r="B30" s="25" t="s">
        <v>70</v>
      </c>
      <c r="C30" s="26">
        <v>274650991.02602136</v>
      </c>
      <c r="D30" s="27">
        <v>0.89706357593072605</v>
      </c>
      <c r="E30" s="28">
        <f t="shared" si="0"/>
        <v>246379400.14272046</v>
      </c>
      <c r="F30" s="28">
        <f t="shared" si="1"/>
        <v>701447.62817015382</v>
      </c>
      <c r="G30" s="29">
        <f t="shared" si="2"/>
        <v>4136122.2212791834</v>
      </c>
      <c r="H30" s="28">
        <f t="shared" si="3"/>
        <v>4837569.8494493375</v>
      </c>
      <c r="I30" s="28">
        <f t="shared" si="4"/>
        <v>403130.82078744477</v>
      </c>
      <c r="J30" s="28"/>
      <c r="K30" s="30">
        <v>258228.06479531311</v>
      </c>
      <c r="L30" s="31">
        <f t="shared" si="5"/>
        <v>4579341.7846540241</v>
      </c>
      <c r="M30" s="32">
        <f t="shared" si="6"/>
        <v>416303.79860491125</v>
      </c>
      <c r="N30" s="32"/>
    </row>
    <row r="31" spans="1:14" x14ac:dyDescent="0.55000000000000004">
      <c r="A31" s="3">
        <v>210029</v>
      </c>
      <c r="B31" s="25" t="s">
        <v>71</v>
      </c>
      <c r="C31" s="26">
        <v>895134778.95311785</v>
      </c>
      <c r="D31" s="27">
        <v>0.83330369107281643</v>
      </c>
      <c r="E31" s="28">
        <f t="shared" si="0"/>
        <v>745919115.30928278</v>
      </c>
      <c r="F31" s="28">
        <f t="shared" si="1"/>
        <v>2123648.2998878467</v>
      </c>
      <c r="G31" s="29">
        <f t="shared" si="2"/>
        <v>12522202.044166271</v>
      </c>
      <c r="H31" s="28">
        <f t="shared" si="3"/>
        <v>14645850.344054118</v>
      </c>
      <c r="I31" s="28">
        <f t="shared" si="4"/>
        <v>1220487.5286711764</v>
      </c>
      <c r="J31" s="28"/>
      <c r="K31" s="30">
        <v>970254.75360876834</v>
      </c>
      <c r="L31" s="31">
        <f t="shared" si="5"/>
        <v>13675595.590445349</v>
      </c>
      <c r="M31" s="32">
        <f t="shared" si="6"/>
        <v>1243235.9627677591</v>
      </c>
      <c r="N31" s="32"/>
    </row>
    <row r="32" spans="1:14" ht="15.75" customHeight="1" x14ac:dyDescent="0.55000000000000004">
      <c r="A32" s="3">
        <v>210030</v>
      </c>
      <c r="B32" s="25" t="s">
        <v>72</v>
      </c>
      <c r="C32" s="26">
        <v>60820305.630031161</v>
      </c>
      <c r="D32" s="27">
        <v>0.82410189769085884</v>
      </c>
      <c r="E32" s="28">
        <f t="shared" si="0"/>
        <v>50122129.287846707</v>
      </c>
      <c r="F32" s="28">
        <f t="shared" si="1"/>
        <v>142698.81608377906</v>
      </c>
      <c r="G32" s="29">
        <f t="shared" si="2"/>
        <v>841430.95001124905</v>
      </c>
      <c r="H32" s="28">
        <f t="shared" si="3"/>
        <v>984129.76609502814</v>
      </c>
      <c r="I32" s="28">
        <f t="shared" si="4"/>
        <v>82010.81384125234</v>
      </c>
      <c r="J32" s="28"/>
      <c r="K32" s="30">
        <v>80561.231365379863</v>
      </c>
      <c r="L32" s="31">
        <f t="shared" si="5"/>
        <v>903568.53472964827</v>
      </c>
      <c r="M32" s="32">
        <f t="shared" si="6"/>
        <v>82142.594066331658</v>
      </c>
      <c r="N32" s="32"/>
    </row>
    <row r="33" spans="1:16" x14ac:dyDescent="0.55000000000000004">
      <c r="A33" s="3">
        <v>210032</v>
      </c>
      <c r="B33" s="25" t="s">
        <v>73</v>
      </c>
      <c r="C33" s="26">
        <v>236884314.878115</v>
      </c>
      <c r="D33" s="27">
        <v>0.78241474498337427</v>
      </c>
      <c r="E33" s="28">
        <f t="shared" si="0"/>
        <v>185341780.81592166</v>
      </c>
      <c r="F33" s="28">
        <f t="shared" si="1"/>
        <v>527672.16934066382</v>
      </c>
      <c r="G33" s="29">
        <f t="shared" si="2"/>
        <v>3111446.239905294</v>
      </c>
      <c r="H33" s="28">
        <f t="shared" si="3"/>
        <v>3639118.4092459581</v>
      </c>
      <c r="I33" s="28">
        <f t="shared" si="4"/>
        <v>303259.86743716319</v>
      </c>
      <c r="J33" s="28"/>
      <c r="K33" s="30">
        <v>231191.12936202408</v>
      </c>
      <c r="L33" s="31">
        <f t="shared" si="5"/>
        <v>3407927.2798839342</v>
      </c>
      <c r="M33" s="32">
        <f t="shared" si="6"/>
        <v>309811.57089853944</v>
      </c>
      <c r="N33" s="32"/>
    </row>
    <row r="34" spans="1:16" x14ac:dyDescent="0.55000000000000004">
      <c r="A34" s="3">
        <v>210033</v>
      </c>
      <c r="B34" s="25" t="s">
        <v>74</v>
      </c>
      <c r="C34" s="26">
        <v>324495302.10112679</v>
      </c>
      <c r="D34" s="27">
        <v>0.8325983031608597</v>
      </c>
      <c r="E34" s="28">
        <f t="shared" si="0"/>
        <v>270174237.91306871</v>
      </c>
      <c r="F34" s="28">
        <f t="shared" si="1"/>
        <v>769192.06016014912</v>
      </c>
      <c r="G34" s="29">
        <f t="shared" si="2"/>
        <v>4535580.7685305355</v>
      </c>
      <c r="H34" s="28">
        <f t="shared" si="3"/>
        <v>5304772.8286906844</v>
      </c>
      <c r="I34" s="28">
        <f t="shared" si="4"/>
        <v>442064.40239089035</v>
      </c>
      <c r="J34" s="28"/>
      <c r="K34" s="30">
        <v>327606.16510899214</v>
      </c>
      <c r="L34" s="31">
        <f t="shared" si="5"/>
        <v>4977166.6635816926</v>
      </c>
      <c r="M34" s="32">
        <f t="shared" si="6"/>
        <v>452469.69668924477</v>
      </c>
      <c r="N34" s="32"/>
    </row>
    <row r="35" spans="1:16" x14ac:dyDescent="0.55000000000000004">
      <c r="A35" s="3">
        <v>210034</v>
      </c>
      <c r="B35" s="25" t="s">
        <v>75</v>
      </c>
      <c r="C35" s="26">
        <v>247755515.12846079</v>
      </c>
      <c r="D35" s="27">
        <v>0.81599373805887154</v>
      </c>
      <c r="E35" s="28">
        <f t="shared" si="0"/>
        <v>202166948.91437402</v>
      </c>
      <c r="F35" s="28">
        <f t="shared" si="1"/>
        <v>575573.79686872428</v>
      </c>
      <c r="G35" s="29">
        <f t="shared" si="2"/>
        <v>3393900.664294892</v>
      </c>
      <c r="H35" s="28">
        <f t="shared" si="3"/>
        <v>3969474.4611636163</v>
      </c>
      <c r="I35" s="28">
        <f t="shared" si="4"/>
        <v>330789.53843030136</v>
      </c>
      <c r="J35" s="28"/>
      <c r="K35" s="30">
        <v>244223.70757221346</v>
      </c>
      <c r="L35" s="31">
        <f t="shared" si="5"/>
        <v>3725250.7535914029</v>
      </c>
      <c r="M35" s="32">
        <f t="shared" si="6"/>
        <v>338659.15941740025</v>
      </c>
      <c r="N35" s="32"/>
    </row>
    <row r="36" spans="1:16" x14ac:dyDescent="0.55000000000000004">
      <c r="A36" s="3">
        <v>210035</v>
      </c>
      <c r="B36" s="25" t="s">
        <v>76</v>
      </c>
      <c r="C36" s="26">
        <v>201497323.36232936</v>
      </c>
      <c r="D36" s="27">
        <v>0.90982405718929771</v>
      </c>
      <c r="E36" s="28">
        <f t="shared" si="0"/>
        <v>183327112.25429836</v>
      </c>
      <c r="F36" s="28">
        <f t="shared" si="1"/>
        <v>521936.36316822801</v>
      </c>
      <c r="G36" s="29">
        <f t="shared" si="2"/>
        <v>3077624.7621298968</v>
      </c>
      <c r="H36" s="28">
        <f t="shared" si="3"/>
        <v>3599561.1252981247</v>
      </c>
      <c r="I36" s="28">
        <f t="shared" si="4"/>
        <v>299963.42710817704</v>
      </c>
      <c r="J36" s="28"/>
      <c r="K36" s="30">
        <v>220491.49774113763</v>
      </c>
      <c r="L36" s="31">
        <f t="shared" si="5"/>
        <v>3379069.6275569871</v>
      </c>
      <c r="M36" s="32">
        <f t="shared" si="6"/>
        <v>307188.14795972611</v>
      </c>
      <c r="N36" s="32"/>
    </row>
    <row r="37" spans="1:16" x14ac:dyDescent="0.55000000000000004">
      <c r="A37" s="3">
        <v>210037</v>
      </c>
      <c r="B37" s="25" t="s">
        <v>77</v>
      </c>
      <c r="C37" s="26">
        <v>316867818.2473287</v>
      </c>
      <c r="D37" s="27">
        <v>0.81551860283596034</v>
      </c>
      <c r="E37" s="28">
        <f t="shared" si="0"/>
        <v>258411600.42074051</v>
      </c>
      <c r="F37" s="28">
        <f t="shared" si="1"/>
        <v>735703.56978619972</v>
      </c>
      <c r="G37" s="29">
        <f t="shared" si="2"/>
        <v>4338114.152877247</v>
      </c>
      <c r="H37" s="28">
        <f t="shared" si="3"/>
        <v>5073817.7226634463</v>
      </c>
      <c r="I37" s="28">
        <f t="shared" si="4"/>
        <v>422818.14355528721</v>
      </c>
      <c r="J37" s="28"/>
      <c r="K37" s="30">
        <v>321100.13877964125</v>
      </c>
      <c r="L37" s="31">
        <f t="shared" si="5"/>
        <v>4752717.5838838052</v>
      </c>
      <c r="M37" s="32">
        <f t="shared" si="6"/>
        <v>432065.23489852773</v>
      </c>
      <c r="N37" s="32"/>
    </row>
    <row r="38" spans="1:16" x14ac:dyDescent="0.55000000000000004">
      <c r="A38" s="3">
        <v>210038</v>
      </c>
      <c r="B38" s="25" t="s">
        <v>78</v>
      </c>
      <c r="C38" s="26">
        <v>302201649.9138025</v>
      </c>
      <c r="D38" s="27">
        <v>0.83335323995124289</v>
      </c>
      <c r="E38" s="28">
        <f t="shared" si="0"/>
        <v>251840724.07427856</v>
      </c>
      <c r="F38" s="28">
        <f t="shared" si="1"/>
        <v>716996.13878525095</v>
      </c>
      <c r="G38" s="29">
        <f t="shared" si="2"/>
        <v>4227804.8183544111</v>
      </c>
      <c r="H38" s="28">
        <f t="shared" si="3"/>
        <v>4944800.9571396615</v>
      </c>
      <c r="I38" s="28">
        <f t="shared" si="4"/>
        <v>412066.74642830511</v>
      </c>
      <c r="J38" s="28"/>
      <c r="K38" s="30">
        <v>314263.76181492268</v>
      </c>
      <c r="L38" s="31">
        <f t="shared" si="5"/>
        <v>4630537.1953247385</v>
      </c>
      <c r="M38" s="32">
        <f t="shared" si="6"/>
        <v>420957.92684770352</v>
      </c>
      <c r="N38" s="32"/>
    </row>
    <row r="39" spans="1:16" x14ac:dyDescent="0.55000000000000004">
      <c r="A39" s="3">
        <v>210039</v>
      </c>
      <c r="B39" s="25" t="s">
        <v>79</v>
      </c>
      <c r="C39" s="26">
        <v>206540804.31197852</v>
      </c>
      <c r="D39" s="27">
        <v>0.83356577836957912</v>
      </c>
      <c r="E39" s="28">
        <f t="shared" si="0"/>
        <v>172165346.31139329</v>
      </c>
      <c r="F39" s="28">
        <f t="shared" si="1"/>
        <v>490158.56745029945</v>
      </c>
      <c r="G39" s="29">
        <f t="shared" si="2"/>
        <v>2890245.3460000423</v>
      </c>
      <c r="H39" s="28">
        <f t="shared" si="3"/>
        <v>3380403.9134503417</v>
      </c>
      <c r="I39" s="28">
        <f t="shared" si="4"/>
        <v>281700.32612086181</v>
      </c>
      <c r="J39" s="28"/>
      <c r="K39" s="30">
        <v>215310.67658938703</v>
      </c>
      <c r="L39" s="31">
        <f t="shared" si="5"/>
        <v>3165093.2368609547</v>
      </c>
      <c r="M39" s="32">
        <f t="shared" si="6"/>
        <v>287735.74880554131</v>
      </c>
      <c r="N39" s="32"/>
    </row>
    <row r="40" spans="1:16" x14ac:dyDescent="0.55000000000000004">
      <c r="A40" s="3">
        <v>210040</v>
      </c>
      <c r="B40" s="25" t="s">
        <v>80</v>
      </c>
      <c r="C40" s="26">
        <v>354346536.7923246</v>
      </c>
      <c r="D40" s="27">
        <v>0.82586138326719982</v>
      </c>
      <c r="E40" s="28">
        <f t="shared" si="0"/>
        <v>292641121.03125089</v>
      </c>
      <c r="F40" s="28">
        <f t="shared" si="1"/>
        <v>833155.77574065642</v>
      </c>
      <c r="G40" s="29">
        <f t="shared" si="2"/>
        <v>4912746.125919044</v>
      </c>
      <c r="H40" s="28">
        <f t="shared" si="3"/>
        <v>5745901.9016597001</v>
      </c>
      <c r="I40" s="28">
        <f t="shared" si="4"/>
        <v>478825.15847164165</v>
      </c>
      <c r="J40" s="28"/>
      <c r="K40" s="30">
        <v>369664.76689904858</v>
      </c>
      <c r="L40" s="31">
        <f t="shared" si="5"/>
        <v>5376237.1347606517</v>
      </c>
      <c r="M40" s="32">
        <f t="shared" si="6"/>
        <v>488748.83043278655</v>
      </c>
      <c r="N40" s="32"/>
    </row>
    <row r="41" spans="1:16" ht="14.25" customHeight="1" x14ac:dyDescent="0.55000000000000004">
      <c r="A41" s="3">
        <v>210043</v>
      </c>
      <c r="B41" s="25" t="s">
        <v>81</v>
      </c>
      <c r="C41" s="26">
        <v>590561016.78280246</v>
      </c>
      <c r="D41" s="27">
        <v>0.86112206868963614</v>
      </c>
      <c r="E41" s="28">
        <f t="shared" si="0"/>
        <v>508545124.45946181</v>
      </c>
      <c r="F41" s="28">
        <f t="shared" si="1"/>
        <v>1447839.2721264395</v>
      </c>
      <c r="G41" s="29">
        <f t="shared" si="2"/>
        <v>8537259.1563317645</v>
      </c>
      <c r="H41" s="28">
        <f t="shared" si="3"/>
        <v>9985098.4284582045</v>
      </c>
      <c r="I41" s="28">
        <f t="shared" si="4"/>
        <v>832091.53570485034</v>
      </c>
      <c r="J41" s="28"/>
      <c r="K41" s="30">
        <v>648634.84738860524</v>
      </c>
      <c r="L41" s="31">
        <f t="shared" si="5"/>
        <v>9336463.5810695998</v>
      </c>
      <c r="M41" s="32">
        <f t="shared" si="6"/>
        <v>848769.41646087274</v>
      </c>
      <c r="N41" s="32"/>
    </row>
    <row r="42" spans="1:16" ht="15" customHeight="1" x14ac:dyDescent="0.55000000000000004">
      <c r="A42" s="3">
        <v>210044</v>
      </c>
      <c r="B42" s="25" t="s">
        <v>82</v>
      </c>
      <c r="C42" s="26">
        <v>579150114.37692928</v>
      </c>
      <c r="D42" s="27">
        <v>0.83651303041504776</v>
      </c>
      <c r="E42" s="28">
        <f t="shared" si="0"/>
        <v>484466617.24266666</v>
      </c>
      <c r="F42" s="28">
        <f t="shared" si="1"/>
        <v>1379287.2269176473</v>
      </c>
      <c r="G42" s="29">
        <f t="shared" si="2"/>
        <v>8133038.4759626789</v>
      </c>
      <c r="H42" s="28">
        <f t="shared" si="3"/>
        <v>9512325.7028803267</v>
      </c>
      <c r="I42" s="28">
        <f t="shared" si="4"/>
        <v>792693.80857336055</v>
      </c>
      <c r="J42" s="28"/>
      <c r="K42" s="30">
        <v>680104.81699876743</v>
      </c>
      <c r="L42" s="31">
        <f t="shared" si="5"/>
        <v>8832220.8858815599</v>
      </c>
      <c r="M42" s="32">
        <f t="shared" si="6"/>
        <v>802929.17144377821</v>
      </c>
      <c r="N42" s="32"/>
    </row>
    <row r="43" spans="1:16" x14ac:dyDescent="0.55000000000000004">
      <c r="A43" s="3">
        <v>210045</v>
      </c>
      <c r="B43" s="25" t="s">
        <v>83</v>
      </c>
      <c r="C43" s="26">
        <v>0</v>
      </c>
      <c r="D43" s="27"/>
      <c r="E43" s="28">
        <f t="shared" si="0"/>
        <v>0</v>
      </c>
      <c r="F43" s="28">
        <f t="shared" si="1"/>
        <v>0</v>
      </c>
      <c r="G43" s="29">
        <f t="shared" si="2"/>
        <v>0</v>
      </c>
      <c r="H43" s="28">
        <f t="shared" si="3"/>
        <v>0</v>
      </c>
      <c r="I43" s="28">
        <f t="shared" si="4"/>
        <v>0</v>
      </c>
      <c r="J43" s="28"/>
      <c r="K43" s="30">
        <v>0</v>
      </c>
      <c r="L43" s="31">
        <f t="shared" si="5"/>
        <v>0</v>
      </c>
      <c r="M43" s="32">
        <f t="shared" si="6"/>
        <v>0</v>
      </c>
      <c r="N43" s="32"/>
    </row>
    <row r="44" spans="1:16" x14ac:dyDescent="0.55000000000000004">
      <c r="A44" s="3">
        <v>210048</v>
      </c>
      <c r="B44" s="25" t="s">
        <v>84</v>
      </c>
      <c r="C44" s="26">
        <v>442497884.26893628</v>
      </c>
      <c r="D44" s="27">
        <v>0.84605807070546557</v>
      </c>
      <c r="E44" s="28">
        <f t="shared" si="0"/>
        <v>374378906.25582659</v>
      </c>
      <c r="F44" s="28">
        <f t="shared" si="1"/>
        <v>1065865.0669575671</v>
      </c>
      <c r="G44" s="29">
        <f t="shared" si="2"/>
        <v>6284928.4982670341</v>
      </c>
      <c r="H44" s="28">
        <f t="shared" si="3"/>
        <v>7350793.565224601</v>
      </c>
      <c r="I44" s="28">
        <f t="shared" si="4"/>
        <v>612566.13043538341</v>
      </c>
      <c r="J44" s="28"/>
      <c r="K44" s="30">
        <v>415408.99645553861</v>
      </c>
      <c r="L44" s="31">
        <f t="shared" si="5"/>
        <v>6935384.5687690619</v>
      </c>
      <c r="M44" s="32">
        <f t="shared" si="6"/>
        <v>630489.50625173294</v>
      </c>
      <c r="N44" s="32"/>
      <c r="P44" t="s">
        <v>27</v>
      </c>
    </row>
    <row r="45" spans="1:16" ht="13.5" customHeight="1" x14ac:dyDescent="0.55000000000000004">
      <c r="A45" s="3">
        <v>210049</v>
      </c>
      <c r="B45" s="25" t="s">
        <v>85</v>
      </c>
      <c r="C45" s="26">
        <v>487858531.04169273</v>
      </c>
      <c r="D45" s="27">
        <v>0.86031585145626621</v>
      </c>
      <c r="E45" s="28">
        <f t="shared" si="0"/>
        <v>419712427.52333719</v>
      </c>
      <c r="F45" s="28">
        <f t="shared" si="1"/>
        <v>1194930.6095771051</v>
      </c>
      <c r="G45" s="29">
        <f t="shared" si="2"/>
        <v>7045970.1461270694</v>
      </c>
      <c r="H45" s="28">
        <f t="shared" si="3"/>
        <v>8240900.7557041747</v>
      </c>
      <c r="I45" s="28">
        <f t="shared" si="4"/>
        <v>686741.7296420146</v>
      </c>
      <c r="J45" s="28"/>
      <c r="K45" s="30">
        <v>457451.64611798996</v>
      </c>
      <c r="L45" s="31">
        <f t="shared" si="5"/>
        <v>7783449.1095861848</v>
      </c>
      <c r="M45" s="32">
        <f t="shared" si="6"/>
        <v>707586.28268965322</v>
      </c>
      <c r="N45" s="32"/>
    </row>
    <row r="46" spans="1:16" ht="14.25" customHeight="1" x14ac:dyDescent="0.55000000000000004">
      <c r="A46" s="3">
        <v>210051</v>
      </c>
      <c r="B46" s="25" t="s">
        <v>86</v>
      </c>
      <c r="C46" s="26">
        <v>342731120.26311952</v>
      </c>
      <c r="D46" s="27">
        <v>0.83999904999337649</v>
      </c>
      <c r="E46" s="28">
        <f t="shared" si="0"/>
        <v>287893815.42418605</v>
      </c>
      <c r="F46" s="28">
        <f t="shared" si="1"/>
        <v>819640.09116497543</v>
      </c>
      <c r="G46" s="29">
        <f t="shared" si="2"/>
        <v>4833050.1927314075</v>
      </c>
      <c r="H46" s="28">
        <f t="shared" si="3"/>
        <v>5652690.2838963829</v>
      </c>
      <c r="I46" s="28">
        <f t="shared" si="4"/>
        <v>471057.52365803189</v>
      </c>
      <c r="J46" s="28"/>
      <c r="K46" s="30">
        <v>350143.98705839989</v>
      </c>
      <c r="L46" s="31">
        <f t="shared" si="5"/>
        <v>5302546.2968379827</v>
      </c>
      <c r="M46" s="32">
        <f t="shared" si="6"/>
        <v>482049.66334890755</v>
      </c>
      <c r="N46" s="32"/>
    </row>
    <row r="47" spans="1:16" x14ac:dyDescent="0.55000000000000004">
      <c r="A47" s="3">
        <v>210055</v>
      </c>
      <c r="B47" s="25" t="s">
        <v>87</v>
      </c>
      <c r="C47" s="26">
        <v>47325295.73672916</v>
      </c>
      <c r="D47" s="27">
        <v>0.74248038182481579</v>
      </c>
      <c r="E47" s="28">
        <f t="shared" si="0"/>
        <v>35138103.648578994</v>
      </c>
      <c r="F47" s="28">
        <f t="shared" si="1"/>
        <v>100038.96205776602</v>
      </c>
      <c r="G47" s="29">
        <f t="shared" si="2"/>
        <v>589884.91420268943</v>
      </c>
      <c r="H47" s="28">
        <f t="shared" si="3"/>
        <v>689923.87626045546</v>
      </c>
      <c r="I47" s="28">
        <f t="shared" si="4"/>
        <v>57493.656355037958</v>
      </c>
      <c r="J47" s="28"/>
      <c r="K47" s="30">
        <v>49572.823258654498</v>
      </c>
      <c r="L47" s="31">
        <f t="shared" si="5"/>
        <v>640351.05300180102</v>
      </c>
      <c r="M47" s="32">
        <f t="shared" si="6"/>
        <v>58213.732091072823</v>
      </c>
      <c r="N47" s="32"/>
    </row>
    <row r="48" spans="1:16" x14ac:dyDescent="0.55000000000000004">
      <c r="A48" s="3">
        <v>210056</v>
      </c>
      <c r="B48" s="25" t="s">
        <v>88</v>
      </c>
      <c r="C48" s="26">
        <v>343006990.27702892</v>
      </c>
      <c r="D48" s="27">
        <v>0.82836671766858838</v>
      </c>
      <c r="E48" s="28">
        <f t="shared" si="0"/>
        <v>284135574.67316383</v>
      </c>
      <c r="F48" s="28">
        <f t="shared" si="1"/>
        <v>808940.29621714342</v>
      </c>
      <c r="G48" s="29">
        <f t="shared" si="2"/>
        <v>4769958.2983838469</v>
      </c>
      <c r="H48" s="28">
        <f t="shared" si="3"/>
        <v>5578898.5946009904</v>
      </c>
      <c r="I48" s="28">
        <f t="shared" si="4"/>
        <v>464908.21621674922</v>
      </c>
      <c r="J48" s="28"/>
      <c r="K48" s="30">
        <v>346955.57193686598</v>
      </c>
      <c r="L48" s="31">
        <f t="shared" si="5"/>
        <v>5231943.0226641241</v>
      </c>
      <c r="M48" s="32">
        <f t="shared" si="6"/>
        <v>475631.18387855677</v>
      </c>
      <c r="N48" s="32"/>
    </row>
    <row r="49" spans="1:14" x14ac:dyDescent="0.55000000000000004">
      <c r="A49" s="3">
        <v>210057</v>
      </c>
      <c r="B49" s="25" t="s">
        <v>89</v>
      </c>
      <c r="C49" s="26">
        <v>593215194.80438197</v>
      </c>
      <c r="D49" s="27">
        <v>0.84135454273787258</v>
      </c>
      <c r="E49" s="28">
        <f t="shared" si="0"/>
        <v>499104298.9697988</v>
      </c>
      <c r="F49" s="28">
        <f t="shared" si="1"/>
        <v>1420961.0321280614</v>
      </c>
      <c r="G49" s="29">
        <f t="shared" si="2"/>
        <v>8378770.2239275351</v>
      </c>
      <c r="H49" s="28">
        <f t="shared" si="3"/>
        <v>9799731.2560555972</v>
      </c>
      <c r="I49" s="28">
        <f t="shared" si="4"/>
        <v>816644.27133796643</v>
      </c>
      <c r="J49" s="28"/>
      <c r="K49" s="30">
        <v>626586.57297742751</v>
      </c>
      <c r="L49" s="31">
        <f t="shared" si="5"/>
        <v>9173144.6830781698</v>
      </c>
      <c r="M49" s="32">
        <f t="shared" si="6"/>
        <v>833922.24391619721</v>
      </c>
      <c r="N49" s="32"/>
    </row>
    <row r="50" spans="1:14" x14ac:dyDescent="0.55000000000000004">
      <c r="A50" s="3">
        <v>210058</v>
      </c>
      <c r="B50" s="25" t="s">
        <v>90</v>
      </c>
      <c r="C50" s="26">
        <v>163767293.53540692</v>
      </c>
      <c r="D50" s="27">
        <v>0.82805052222700859</v>
      </c>
      <c r="E50" s="28">
        <f t="shared" si="0"/>
        <v>135607592.9356975</v>
      </c>
      <c r="F50" s="28">
        <f t="shared" si="1"/>
        <v>386077.83106666995</v>
      </c>
      <c r="G50" s="29">
        <f t="shared" si="2"/>
        <v>2276527.900427606</v>
      </c>
      <c r="H50" s="28">
        <f t="shared" si="3"/>
        <v>2662605.7314942759</v>
      </c>
      <c r="I50" s="28">
        <f t="shared" si="4"/>
        <v>221883.81095785633</v>
      </c>
      <c r="J50" s="28"/>
      <c r="K50" s="30">
        <v>195523.93104056921</v>
      </c>
      <c r="L50" s="31">
        <f t="shared" si="5"/>
        <v>2467081.8004537066</v>
      </c>
      <c r="M50" s="32">
        <f t="shared" si="6"/>
        <v>224280.1636776097</v>
      </c>
      <c r="N50" s="32"/>
    </row>
    <row r="51" spans="1:14" x14ac:dyDescent="0.55000000000000004">
      <c r="A51" s="3">
        <v>210060</v>
      </c>
      <c r="B51" s="25" t="s">
        <v>91</v>
      </c>
      <c r="C51" s="26">
        <v>75783933.434313461</v>
      </c>
      <c r="D51" s="27">
        <v>0.79356612085920653</v>
      </c>
      <c r="E51" s="28">
        <f t="shared" si="0"/>
        <v>60139562.078920461</v>
      </c>
      <c r="F51" s="28">
        <f t="shared" si="1"/>
        <v>171218.66988479588</v>
      </c>
      <c r="G51" s="29">
        <f t="shared" si="2"/>
        <v>1009599.7431137965</v>
      </c>
      <c r="H51" s="28">
        <f t="shared" si="3"/>
        <v>1180818.4129985925</v>
      </c>
      <c r="I51" s="28">
        <f t="shared" si="4"/>
        <v>98401.534416549373</v>
      </c>
      <c r="J51" s="28"/>
      <c r="K51" s="30">
        <v>74063.623082426988</v>
      </c>
      <c r="L51" s="31">
        <f t="shared" si="5"/>
        <v>1106754.7899161654</v>
      </c>
      <c r="M51" s="32">
        <f t="shared" si="6"/>
        <v>100614.07181056049</v>
      </c>
      <c r="N51" s="32"/>
    </row>
    <row r="52" spans="1:14" x14ac:dyDescent="0.55000000000000004">
      <c r="A52" s="3">
        <v>210061</v>
      </c>
      <c r="B52" s="25" t="s">
        <v>92</v>
      </c>
      <c r="C52" s="26">
        <v>151552052.78589526</v>
      </c>
      <c r="D52" s="27">
        <v>0.83681463712021809</v>
      </c>
      <c r="E52" s="28">
        <f t="shared" si="0"/>
        <v>126820976.05685307</v>
      </c>
      <c r="F52" s="28">
        <f t="shared" si="1"/>
        <v>361062.13752356125</v>
      </c>
      <c r="G52" s="29">
        <f t="shared" si="2"/>
        <v>2129021.5695354822</v>
      </c>
      <c r="H52" s="28">
        <f t="shared" si="3"/>
        <v>2490083.7070590435</v>
      </c>
      <c r="I52" s="28">
        <f t="shared" si="4"/>
        <v>207506.97558825361</v>
      </c>
      <c r="J52" s="28"/>
      <c r="K52" s="30">
        <v>161354.6835334957</v>
      </c>
      <c r="L52" s="31">
        <f t="shared" si="5"/>
        <v>2328729.0235255477</v>
      </c>
      <c r="M52" s="32">
        <f t="shared" si="6"/>
        <v>211702.63850232252</v>
      </c>
      <c r="N52" s="32"/>
    </row>
    <row r="53" spans="1:14" x14ac:dyDescent="0.55000000000000004">
      <c r="A53" s="3">
        <v>210062</v>
      </c>
      <c r="B53" s="25" t="s">
        <v>93</v>
      </c>
      <c r="C53" s="26">
        <v>387752618.09708703</v>
      </c>
      <c r="D53" s="27">
        <v>0.87843758517165937</v>
      </c>
      <c r="E53" s="28">
        <f t="shared" si="0"/>
        <v>340616473.48519379</v>
      </c>
      <c r="F53" s="28">
        <f t="shared" si="1"/>
        <v>969742.67046461336</v>
      </c>
      <c r="G53" s="29">
        <f t="shared" si="2"/>
        <v>5718137.8154982384</v>
      </c>
      <c r="H53" s="28">
        <f t="shared" si="3"/>
        <v>6687880.4859628519</v>
      </c>
      <c r="I53" s="28">
        <f t="shared" si="4"/>
        <v>557323.37383023766</v>
      </c>
      <c r="J53" s="28"/>
      <c r="K53" s="30">
        <v>368605.04262888752</v>
      </c>
      <c r="L53" s="31">
        <f t="shared" si="5"/>
        <v>6319275.4433339648</v>
      </c>
      <c r="M53" s="32">
        <f t="shared" si="6"/>
        <v>574479.58575763321</v>
      </c>
      <c r="N53" s="32"/>
    </row>
    <row r="54" spans="1:14" x14ac:dyDescent="0.55000000000000004">
      <c r="A54" s="3">
        <v>210063</v>
      </c>
      <c r="B54" s="25" t="s">
        <v>94</v>
      </c>
      <c r="C54" s="26">
        <v>546120767.3605628</v>
      </c>
      <c r="D54" s="27">
        <v>0.84558777252366579</v>
      </c>
      <c r="E54" s="28">
        <f t="shared" si="0"/>
        <v>461793043.2013334</v>
      </c>
      <c r="F54" s="28">
        <f t="shared" si="1"/>
        <v>1314735.0576850707</v>
      </c>
      <c r="G54" s="29">
        <f t="shared" si="2"/>
        <v>7752403.2711774865</v>
      </c>
      <c r="H54" s="28">
        <f t="shared" si="3"/>
        <v>9067138.3288625572</v>
      </c>
      <c r="I54" s="28">
        <f t="shared" si="4"/>
        <v>755594.86073854647</v>
      </c>
      <c r="J54" s="28"/>
      <c r="K54" s="30">
        <v>573890.4679670718</v>
      </c>
      <c r="L54" s="31">
        <f t="shared" si="5"/>
        <v>8493247.8608954847</v>
      </c>
      <c r="M54" s="32">
        <f t="shared" si="6"/>
        <v>772113.4418995895</v>
      </c>
      <c r="N54" s="32"/>
    </row>
    <row r="55" spans="1:14" x14ac:dyDescent="0.55000000000000004">
      <c r="A55" s="3">
        <v>210064</v>
      </c>
      <c r="B55" s="25" t="s">
        <v>95</v>
      </c>
      <c r="C55" s="26">
        <v>83240643.287557572</v>
      </c>
      <c r="D55" s="27">
        <v>0.73925850562779494</v>
      </c>
      <c r="E55" s="28">
        <f t="shared" si="0"/>
        <v>61536353.564256154</v>
      </c>
      <c r="F55" s="28">
        <f t="shared" si="1"/>
        <v>175195.36628826725</v>
      </c>
      <c r="G55" s="29">
        <f t="shared" si="2"/>
        <v>1033048.5391480586</v>
      </c>
      <c r="H55" s="28">
        <f t="shared" si="3"/>
        <v>1208243.9054363261</v>
      </c>
      <c r="I55" s="28">
        <f t="shared" si="4"/>
        <v>100686.99211969384</v>
      </c>
      <c r="J55" s="28"/>
      <c r="K55" s="30">
        <v>85937.121062219128</v>
      </c>
      <c r="L55" s="31">
        <f t="shared" si="5"/>
        <v>1122306.7843741069</v>
      </c>
      <c r="M55" s="32">
        <f t="shared" si="6"/>
        <v>102027.88948855517</v>
      </c>
      <c r="N55" s="32"/>
    </row>
    <row r="56" spans="1:14" x14ac:dyDescent="0.55000000000000004">
      <c r="A56" s="3">
        <v>210065</v>
      </c>
      <c r="B56" s="25" t="s">
        <v>96</v>
      </c>
      <c r="C56" s="26">
        <v>204223074.62374705</v>
      </c>
      <c r="D56" s="27">
        <v>0.8504689797357956</v>
      </c>
      <c r="E56" s="28">
        <f t="shared" si="0"/>
        <v>173685389.9137654</v>
      </c>
      <c r="F56" s="28">
        <f t="shared" si="1"/>
        <v>494486.16537034273</v>
      </c>
      <c r="G56" s="29">
        <f t="shared" si="2"/>
        <v>2915763.2509768489</v>
      </c>
      <c r="H56" s="28">
        <f t="shared" si="3"/>
        <v>3410249.4163471917</v>
      </c>
      <c r="I56" s="28">
        <f t="shared" si="4"/>
        <v>284187.45136226597</v>
      </c>
      <c r="J56" s="28"/>
      <c r="K56" s="30">
        <v>176102.80792370657</v>
      </c>
      <c r="L56" s="31">
        <f t="shared" si="5"/>
        <v>3234146.608423485</v>
      </c>
      <c r="M56" s="32">
        <f t="shared" si="6"/>
        <v>294013.32803849864</v>
      </c>
      <c r="N56" s="32"/>
    </row>
    <row r="57" spans="1:14" x14ac:dyDescent="0.55000000000000004">
      <c r="A57" s="3">
        <v>218992</v>
      </c>
      <c r="B57" s="25" t="s">
        <v>97</v>
      </c>
      <c r="C57" s="36">
        <v>302526050.68736941</v>
      </c>
      <c r="D57" s="27">
        <v>0.84235361494828032</v>
      </c>
      <c r="E57" s="37">
        <f t="shared" si="0"/>
        <v>254833912.4125323</v>
      </c>
      <c r="F57" s="37">
        <f t="shared" si="1"/>
        <v>725517.81251007703</v>
      </c>
      <c r="G57" s="38">
        <f t="shared" si="2"/>
        <v>4278053.308249075</v>
      </c>
      <c r="H57" s="37">
        <f t="shared" si="3"/>
        <v>5003571.1207591519</v>
      </c>
      <c r="I57" s="37">
        <f t="shared" si="4"/>
        <v>416964.26006326266</v>
      </c>
      <c r="J57" s="37"/>
      <c r="K57" s="39">
        <v>322641.50403347891</v>
      </c>
      <c r="L57" s="40">
        <f t="shared" si="5"/>
        <v>4680929.616725673</v>
      </c>
      <c r="M57" s="41">
        <f t="shared" si="6"/>
        <v>425539.05606597028</v>
      </c>
      <c r="N57" s="41"/>
    </row>
    <row r="58" spans="1:14" x14ac:dyDescent="0.55000000000000004">
      <c r="A58" s="3">
        <v>9999</v>
      </c>
      <c r="B58" s="25" t="s">
        <v>28</v>
      </c>
      <c r="C58" s="26">
        <f>SUM(C9:C57)</f>
        <v>23969824661.377819</v>
      </c>
      <c r="D58" s="27">
        <f>SUMPRODUCT(C9:C57,D9:D57)/C58</f>
        <v>0.83891301382000483</v>
      </c>
      <c r="E58" s="42">
        <f>SUM(E9:E57)</f>
        <v>20108597847.413544</v>
      </c>
      <c r="F58" s="42">
        <f>+E58/$E$58*$F$8</f>
        <v>57249624.999999993</v>
      </c>
      <c r="G58" s="43">
        <f t="shared" si="2"/>
        <v>337575375</v>
      </c>
      <c r="H58" s="42">
        <f>SUM(H9:H57)</f>
        <v>394825000.00000012</v>
      </c>
      <c r="I58" s="42">
        <f>SUM(I9:I57)</f>
        <v>32902083.333333328</v>
      </c>
      <c r="J58" s="42"/>
      <c r="K58" s="44">
        <v>24568750.000000004</v>
      </c>
      <c r="L58" s="45">
        <f>SUM(L9:L57)</f>
        <v>370256250</v>
      </c>
      <c r="M58" s="46">
        <f>SUM(M9:M57)</f>
        <v>33659659.090909101</v>
      </c>
      <c r="N58" s="46"/>
    </row>
    <row r="59" spans="1:14" x14ac:dyDescent="0.55000000000000004">
      <c r="E59" s="47"/>
      <c r="F59" s="48">
        <f>+F58/E58</f>
        <v>2.8470222257373202E-3</v>
      </c>
      <c r="G59" s="49">
        <f>+G58/E58</f>
        <v>1.6787613813830406E-2</v>
      </c>
      <c r="H59" s="47">
        <f>H58/E58</f>
        <v>1.9634636039567735E-2</v>
      </c>
    </row>
    <row r="60" spans="1:14" x14ac:dyDescent="0.55000000000000004">
      <c r="E60" s="47"/>
      <c r="F60" s="48"/>
      <c r="G60" s="48"/>
      <c r="H60" s="47"/>
      <c r="K60" s="50"/>
      <c r="L60" s="34"/>
      <c r="M60" s="34"/>
      <c r="N60" s="34"/>
    </row>
    <row r="61" spans="1:14" x14ac:dyDescent="0.55000000000000004">
      <c r="E61" s="47"/>
      <c r="F61" s="48"/>
      <c r="G61" s="42"/>
      <c r="H61" s="47"/>
      <c r="K61" s="50"/>
      <c r="L61" s="34"/>
      <c r="M61" s="34"/>
      <c r="N61" s="34"/>
    </row>
    <row r="62" spans="1:14" x14ac:dyDescent="0.55000000000000004">
      <c r="B62" s="51"/>
      <c r="C62" t="s">
        <v>29</v>
      </c>
      <c r="I62" s="42">
        <v>20946456.091055777</v>
      </c>
      <c r="J62" s="42"/>
    </row>
    <row r="63" spans="1:14" ht="15.3" x14ac:dyDescent="0.7">
      <c r="C63" t="s">
        <v>30</v>
      </c>
      <c r="I63" s="52">
        <f>+I58+I62</f>
        <v>53848539.424389109</v>
      </c>
      <c r="J63" s="52"/>
    </row>
    <row r="64" spans="1:14" x14ac:dyDescent="0.55000000000000004">
      <c r="C64" t="s">
        <v>31</v>
      </c>
      <c r="I64" s="42">
        <f>+I63*12</f>
        <v>646182473.09266925</v>
      </c>
      <c r="J64" s="42"/>
    </row>
    <row r="65" spans="2:7" x14ac:dyDescent="0.55000000000000004">
      <c r="B65" s="53" t="s">
        <v>32</v>
      </c>
      <c r="C65" s="54"/>
      <c r="D65" s="54"/>
      <c r="E65" s="54"/>
      <c r="F65" s="55">
        <v>56475884</v>
      </c>
      <c r="G65" s="55">
        <v>333349116</v>
      </c>
    </row>
    <row r="66" spans="2:7" x14ac:dyDescent="0.55000000000000004">
      <c r="B66" s="53" t="s">
        <v>33</v>
      </c>
      <c r="C66" s="54"/>
      <c r="D66" s="54"/>
      <c r="E66" s="54"/>
      <c r="F66" s="56">
        <v>0</v>
      </c>
      <c r="G66" s="56">
        <v>-25000000</v>
      </c>
    </row>
    <row r="67" spans="2:7" x14ac:dyDescent="0.55000000000000004">
      <c r="B67" s="53" t="s">
        <v>34</v>
      </c>
      <c r="C67" s="54"/>
      <c r="D67" s="54"/>
      <c r="E67" s="54"/>
      <c r="F67" s="56">
        <v>0</v>
      </c>
      <c r="G67" s="56">
        <v>-30000000</v>
      </c>
    </row>
    <row r="68" spans="2:7" x14ac:dyDescent="0.55000000000000004">
      <c r="B68" s="53" t="s">
        <v>35</v>
      </c>
      <c r="C68" s="54"/>
      <c r="D68" s="54"/>
      <c r="E68" s="54"/>
      <c r="F68" s="56">
        <v>0</v>
      </c>
      <c r="G68" s="56">
        <v>-25000000</v>
      </c>
    </row>
    <row r="69" spans="2:7" ht="16.2" x14ac:dyDescent="0.85">
      <c r="B69" s="53" t="s">
        <v>36</v>
      </c>
      <c r="C69" s="54"/>
      <c r="D69" s="54"/>
      <c r="E69" s="54"/>
      <c r="F69" s="57">
        <v>0</v>
      </c>
      <c r="G69" s="57">
        <v>-15000000</v>
      </c>
    </row>
    <row r="70" spans="2:7" x14ac:dyDescent="0.55000000000000004">
      <c r="B70" s="53" t="s">
        <v>37</v>
      </c>
      <c r="C70" s="54"/>
      <c r="D70" s="54"/>
      <c r="E70" s="54"/>
      <c r="F70" s="58">
        <f>SUM(F66:F69)</f>
        <v>0</v>
      </c>
      <c r="G70" s="58">
        <f>SUM(G66:G69)</f>
        <v>-95000000</v>
      </c>
    </row>
    <row r="71" spans="2:7" x14ac:dyDescent="0.55000000000000004">
      <c r="B71" s="53" t="s">
        <v>38</v>
      </c>
      <c r="C71" s="54"/>
      <c r="D71" s="54"/>
      <c r="E71" s="54"/>
      <c r="F71" s="56">
        <v>56475884</v>
      </c>
      <c r="G71" s="56">
        <v>389825000</v>
      </c>
    </row>
    <row r="72" spans="2:7" ht="43.2" x14ac:dyDescent="0.55000000000000004">
      <c r="B72" s="59" t="s">
        <v>39</v>
      </c>
      <c r="C72" s="54"/>
      <c r="D72" s="54"/>
      <c r="E72" s="54"/>
      <c r="F72" s="60"/>
      <c r="G72" s="60">
        <f>F72</f>
        <v>0</v>
      </c>
    </row>
    <row r="73" spans="2:7" x14ac:dyDescent="0.55000000000000004">
      <c r="B73" s="59"/>
      <c r="C73" s="54"/>
      <c r="D73" s="54"/>
      <c r="E73" s="54"/>
      <c r="F73" s="60"/>
      <c r="G73" s="60"/>
    </row>
    <row r="74" spans="2:7" ht="43.2" x14ac:dyDescent="0.55000000000000004">
      <c r="B74" s="59" t="s">
        <v>40</v>
      </c>
      <c r="C74" s="54"/>
      <c r="D74" s="54"/>
      <c r="E74" s="54"/>
      <c r="F74" s="60">
        <f>150000000*F3</f>
        <v>21750000</v>
      </c>
      <c r="G74" s="60">
        <f>150000000*F4</f>
        <v>128250000</v>
      </c>
    </row>
    <row r="75" spans="2:7" x14ac:dyDescent="0.55000000000000004">
      <c r="B75" s="59"/>
      <c r="C75" s="54"/>
      <c r="D75" s="54"/>
      <c r="E75" s="54"/>
      <c r="F75" s="60"/>
      <c r="G75" s="60"/>
    </row>
    <row r="76" spans="2:7" x14ac:dyDescent="0.55000000000000004">
      <c r="B76" s="59" t="s">
        <v>41</v>
      </c>
      <c r="C76" s="54"/>
      <c r="D76" s="54"/>
      <c r="E76" s="54"/>
      <c r="F76" s="56">
        <f>F72+F71+F74</f>
        <v>78225884</v>
      </c>
      <c r="G76" s="56">
        <f>G72+G71</f>
        <v>389825000</v>
      </c>
    </row>
    <row r="77" spans="2:7" x14ac:dyDescent="0.55000000000000004">
      <c r="B77" s="53" t="s">
        <v>42</v>
      </c>
      <c r="C77" s="54" t="s">
        <v>43</v>
      </c>
      <c r="D77" s="54"/>
      <c r="E77" s="54"/>
      <c r="F77" s="61"/>
      <c r="G77" s="61">
        <f>+G70+G71+F72</f>
        <v>294825000</v>
      </c>
    </row>
    <row r="79" spans="2:7" x14ac:dyDescent="0.55000000000000004">
      <c r="B79" s="53"/>
      <c r="F79" s="62">
        <f>SUM(G70:G71)</f>
        <v>294825000</v>
      </c>
      <c r="G79" s="62">
        <f>F79+150000000</f>
        <v>444825000</v>
      </c>
    </row>
  </sheetData>
  <mergeCells count="2">
    <mergeCell ref="A1:I1"/>
    <mergeCell ref="K3:M3"/>
  </mergeCells>
  <pageMargins left="0.25" right="0.25" top="0.75" bottom="0.75" header="0.3" footer="0.3"/>
  <pageSetup scale="6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9DD26D-18A6-4213-9BA8-8E0B2F0C13FF}"/>
</file>

<file path=customXml/itemProps2.xml><?xml version="1.0" encoding="utf-8"?>
<ds:datastoreItem xmlns:ds="http://schemas.openxmlformats.org/officeDocument/2006/customXml" ds:itemID="{2BA2B54A-3E32-4167-B7A6-167FD4A7C314}"/>
</file>

<file path=customXml/itemProps3.xml><?xml version="1.0" encoding="utf-8"?>
<ds:datastoreItem xmlns:ds="http://schemas.openxmlformats.org/officeDocument/2006/customXml" ds:itemID="{BE5C63CC-C377-434F-AD81-E144A384F8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Deficit Assessment Fund</vt:lpstr>
      <vt:lpstr>'Deficit Assessment Fund'!Print_Area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Tamayo</dc:creator>
  <cp:lastModifiedBy>Daniela Tamayo</cp:lastModifiedBy>
  <dcterms:created xsi:type="dcterms:W3CDTF">2026-06-17T17:06:12Z</dcterms:created>
  <dcterms:modified xsi:type="dcterms:W3CDTF">2026-06-17T17:07:35Z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