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TEAGUE\Desktop\Rate Model\FY26\Model Input\"/>
    </mc:Choice>
  </mc:AlternateContent>
  <xr:revisionPtr revIDLastSave="0" documentId="8_{A3100683-76A5-4B49-9191-0EBD380DC98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Y2026 Prj Inflation" sheetId="1" r:id="rId1"/>
    <sheet name="CDS-A Study 2024 over 2023" sheetId="2" r:id="rId2"/>
    <sheet name="Summary All" sheetId="3" r:id="rId3"/>
    <sheet name="Summary All - updated May25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D64" i="4"/>
  <c r="E24" i="1"/>
  <c r="K21" i="4"/>
  <c r="K21" i="3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E8" i="1"/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I56" i="4"/>
  <c r="I54" i="4"/>
  <c r="I53" i="4"/>
  <c r="I52" i="4"/>
  <c r="I51" i="4"/>
  <c r="I50" i="4"/>
  <c r="I44" i="4"/>
  <c r="I43" i="4"/>
  <c r="I39" i="4"/>
  <c r="I38" i="4"/>
  <c r="I37" i="4"/>
  <c r="I36" i="4"/>
  <c r="I34" i="4"/>
  <c r="I33" i="4"/>
  <c r="I32" i="4"/>
  <c r="I31" i="4"/>
  <c r="I30" i="4"/>
  <c r="I25" i="4"/>
  <c r="I24" i="4"/>
  <c r="I23" i="4"/>
  <c r="I21" i="4"/>
  <c r="I19" i="4"/>
  <c r="I18" i="4"/>
  <c r="I17" i="4"/>
  <c r="I16" i="4"/>
  <c r="I14" i="4"/>
  <c r="I13" i="4"/>
  <c r="I12" i="4"/>
  <c r="I11" i="4"/>
  <c r="I10" i="4"/>
  <c r="I6" i="4"/>
  <c r="I7" i="4"/>
  <c r="I8" i="4"/>
  <c r="I9" i="4"/>
  <c r="I15" i="4"/>
  <c r="I20" i="4"/>
  <c r="I22" i="4"/>
  <c r="I26" i="4"/>
  <c r="I27" i="4"/>
  <c r="I28" i="4"/>
  <c r="I29" i="4"/>
  <c r="I35" i="4"/>
  <c r="I40" i="4"/>
  <c r="I41" i="4"/>
  <c r="I42" i="4"/>
  <c r="I45" i="4"/>
  <c r="I46" i="4"/>
  <c r="I47" i="4"/>
  <c r="I48" i="4"/>
  <c r="I49" i="4"/>
  <c r="I55" i="4"/>
  <c r="F58" i="4" l="1"/>
  <c r="E58" i="4"/>
  <c r="I5" i="4"/>
  <c r="D58" i="4"/>
  <c r="G24" i="1" l="1"/>
  <c r="L5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9" i="1"/>
  <c r="J10" i="1"/>
  <c r="J11" i="1"/>
  <c r="J12" i="1"/>
  <c r="J13" i="1"/>
  <c r="J14" i="1"/>
  <c r="J15" i="1"/>
  <c r="J16" i="1"/>
  <c r="J17" i="1"/>
  <c r="J18" i="1"/>
  <c r="J19" i="1"/>
  <c r="L9" i="1" l="1"/>
  <c r="L8" i="1"/>
  <c r="F21" i="3" l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I24" i="1"/>
  <c r="L44" i="1" l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I39" i="3"/>
  <c r="I21" i="3"/>
  <c r="I28" i="3" l="1"/>
  <c r="I40" i="3"/>
  <c r="I52" i="3"/>
  <c r="D54" i="3"/>
  <c r="I54" i="3" s="1"/>
  <c r="D55" i="3"/>
  <c r="D56" i="3"/>
  <c r="I56" i="3" s="1"/>
  <c r="D53" i="3"/>
  <c r="I53" i="3" s="1"/>
  <c r="D52" i="3"/>
  <c r="D51" i="3"/>
  <c r="I51" i="3" s="1"/>
  <c r="D50" i="3"/>
  <c r="I50" i="3" s="1"/>
  <c r="D49" i="3"/>
  <c r="I49" i="3" s="1"/>
  <c r="D48" i="3"/>
  <c r="I48" i="3" s="1"/>
  <c r="D47" i="3"/>
  <c r="I47" i="3" s="1"/>
  <c r="D46" i="3"/>
  <c r="I46" i="3" s="1"/>
  <c r="D45" i="3"/>
  <c r="I45" i="3" s="1"/>
  <c r="D44" i="3"/>
  <c r="I44" i="3" s="1"/>
  <c r="D43" i="3"/>
  <c r="D42" i="3"/>
  <c r="I42" i="3" s="1"/>
  <c r="D41" i="3"/>
  <c r="I41" i="3" s="1"/>
  <c r="D40" i="3"/>
  <c r="D39" i="3"/>
  <c r="D38" i="3"/>
  <c r="I38" i="3" s="1"/>
  <c r="D37" i="3"/>
  <c r="I37" i="3" s="1"/>
  <c r="D36" i="3"/>
  <c r="I36" i="3" s="1"/>
  <c r="D35" i="3"/>
  <c r="I35" i="3" s="1"/>
  <c r="D34" i="3"/>
  <c r="I34" i="3" s="1"/>
  <c r="D33" i="3"/>
  <c r="I33" i="3" s="1"/>
  <c r="D32" i="3"/>
  <c r="I32" i="3" s="1"/>
  <c r="D31" i="3"/>
  <c r="D30" i="3"/>
  <c r="I30" i="3" s="1"/>
  <c r="D29" i="3"/>
  <c r="I29" i="3" s="1"/>
  <c r="D28" i="3"/>
  <c r="D27" i="3"/>
  <c r="I27" i="3" s="1"/>
  <c r="D26" i="3"/>
  <c r="I26" i="3" s="1"/>
  <c r="D25" i="3"/>
  <c r="I25" i="3" s="1"/>
  <c r="D24" i="3"/>
  <c r="I24" i="3" s="1"/>
  <c r="D23" i="3"/>
  <c r="I23" i="3" s="1"/>
  <c r="D22" i="3"/>
  <c r="I22" i="3" s="1"/>
  <c r="D21" i="3"/>
  <c r="D20" i="3"/>
  <c r="I20" i="3" s="1"/>
  <c r="D19" i="3"/>
  <c r="I19" i="3" s="1"/>
  <c r="D18" i="3"/>
  <c r="I18" i="3" s="1"/>
  <c r="D17" i="3"/>
  <c r="I17" i="3" s="1"/>
  <c r="D16" i="3"/>
  <c r="D15" i="3"/>
  <c r="I15" i="3" s="1"/>
  <c r="D14" i="3"/>
  <c r="I14" i="3" s="1"/>
  <c r="D13" i="3"/>
  <c r="I13" i="3" s="1"/>
  <c r="D12" i="3"/>
  <c r="I12" i="3" s="1"/>
  <c r="D11" i="3"/>
  <c r="I11" i="3" s="1"/>
  <c r="D10" i="3"/>
  <c r="I10" i="3" s="1"/>
  <c r="D9" i="3"/>
  <c r="I9" i="3" s="1"/>
  <c r="D8" i="3"/>
  <c r="I8" i="3" s="1"/>
  <c r="D7" i="3"/>
  <c r="I7" i="3" s="1"/>
  <c r="D6" i="3"/>
  <c r="I6" i="3" s="1"/>
  <c r="D5" i="3"/>
  <c r="I5" i="3" s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" i="3"/>
  <c r="E45" i="3"/>
  <c r="E46" i="3"/>
  <c r="E47" i="3"/>
  <c r="E48" i="3"/>
  <c r="E49" i="3"/>
  <c r="E50" i="3"/>
  <c r="E51" i="3"/>
  <c r="E52" i="3"/>
  <c r="E53" i="3"/>
  <c r="E54" i="3"/>
  <c r="E55" i="3"/>
  <c r="I55" i="3" s="1"/>
  <c r="E56" i="3"/>
  <c r="E33" i="3"/>
  <c r="E34" i="3"/>
  <c r="E35" i="3"/>
  <c r="E36" i="3"/>
  <c r="E37" i="3"/>
  <c r="E38" i="3"/>
  <c r="E39" i="3"/>
  <c r="E40" i="3"/>
  <c r="E41" i="3"/>
  <c r="E42" i="3"/>
  <c r="E43" i="3"/>
  <c r="I43" i="3" s="1"/>
  <c r="E44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I31" i="3" s="1"/>
  <c r="E32" i="3"/>
  <c r="E8" i="3"/>
  <c r="E9" i="3"/>
  <c r="E10" i="3"/>
  <c r="E11" i="3"/>
  <c r="E12" i="3"/>
  <c r="E13" i="3"/>
  <c r="E14" i="3"/>
  <c r="E15" i="3"/>
  <c r="E16" i="3"/>
  <c r="I16" i="3" s="1"/>
  <c r="E17" i="3"/>
  <c r="E18" i="3"/>
  <c r="E6" i="3"/>
  <c r="E7" i="3"/>
  <c r="E5" i="3"/>
  <c r="D58" i="3" l="1"/>
  <c r="D64" i="3" s="1"/>
  <c r="F58" i="3"/>
  <c r="E58" i="3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8" i="1"/>
  <c r="K9" i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8" i="1"/>
  <c r="G9" i="1" l="1"/>
  <c r="M9" i="1" s="1"/>
  <c r="G13" i="1"/>
  <c r="G14" i="1"/>
  <c r="G15" i="1"/>
  <c r="G16" i="1"/>
  <c r="G17" i="1"/>
  <c r="G19" i="1"/>
  <c r="G20" i="1"/>
  <c r="G21" i="1"/>
  <c r="G22" i="1"/>
  <c r="G26" i="1"/>
  <c r="G27" i="1"/>
  <c r="G28" i="1"/>
  <c r="G30" i="1"/>
  <c r="G32" i="1"/>
  <c r="G33" i="1"/>
  <c r="G34" i="1"/>
  <c r="G38" i="1"/>
  <c r="G39" i="1"/>
  <c r="G40" i="1"/>
  <c r="G44" i="1"/>
  <c r="G45" i="1"/>
  <c r="G46" i="1"/>
  <c r="G50" i="1"/>
  <c r="G51" i="1"/>
  <c r="G52" i="1"/>
  <c r="G54" i="1"/>
  <c r="G56" i="1"/>
  <c r="G57" i="1"/>
  <c r="G58" i="1"/>
  <c r="G53" i="1" l="1"/>
  <c r="G41" i="1"/>
  <c r="G29" i="1"/>
  <c r="G49" i="1"/>
  <c r="G37" i="1"/>
  <c r="G25" i="1"/>
  <c r="G12" i="1"/>
  <c r="G48" i="1"/>
  <c r="G36" i="1"/>
  <c r="G23" i="1"/>
  <c r="G11" i="1"/>
  <c r="G59" i="1"/>
  <c r="G47" i="1"/>
  <c r="G35" i="1"/>
  <c r="G10" i="1"/>
  <c r="G55" i="1"/>
  <c r="G31" i="1"/>
  <c r="G18" i="1"/>
  <c r="G8" i="1"/>
  <c r="B59" i="1"/>
  <c r="B58" i="1"/>
  <c r="B57" i="1"/>
  <c r="B56" i="1"/>
  <c r="B55" i="1"/>
  <c r="B54" i="1"/>
  <c r="B53" i="1"/>
  <c r="B52" i="1"/>
  <c r="B51" i="1"/>
  <c r="B50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J8" i="1"/>
  <c r="B8" i="1"/>
  <c r="I7" i="1" l="1"/>
  <c r="J43" i="1"/>
  <c r="L43" i="1" s="1"/>
  <c r="M33" i="1"/>
  <c r="M44" i="1"/>
  <c r="M37" i="1"/>
  <c r="M16" i="1"/>
  <c r="M45" i="1"/>
  <c r="M36" i="1"/>
  <c r="M31" i="1"/>
  <c r="G43" i="1"/>
  <c r="M30" i="1"/>
  <c r="M24" i="1" l="1"/>
  <c r="M40" i="1"/>
  <c r="M21" i="1"/>
  <c r="M15" i="1"/>
  <c r="M10" i="1"/>
  <c r="M52" i="1"/>
  <c r="M43" i="1"/>
  <c r="M56" i="1"/>
  <c r="M17" i="1"/>
  <c r="M27" i="1"/>
  <c r="M35" i="1"/>
  <c r="M12" i="1"/>
  <c r="M46" i="1"/>
  <c r="M26" i="1"/>
  <c r="M57" i="1"/>
  <c r="M13" i="1"/>
  <c r="M51" i="1"/>
  <c r="M49" i="1"/>
  <c r="M22" i="1"/>
  <c r="M58" i="1"/>
  <c r="M47" i="1"/>
  <c r="M48" i="1"/>
  <c r="M14" i="1"/>
  <c r="M18" i="1"/>
  <c r="F7" i="1"/>
  <c r="M20" i="1"/>
  <c r="M39" i="1"/>
  <c r="M50" i="1"/>
  <c r="M32" i="1"/>
  <c r="M23" i="1"/>
  <c r="M25" i="1"/>
  <c r="M55" i="1"/>
  <c r="M34" i="1"/>
  <c r="M28" i="1"/>
  <c r="M19" i="1"/>
  <c r="M53" i="1"/>
  <c r="M29" i="1"/>
  <c r="M41" i="1"/>
  <c r="E7" i="1"/>
  <c r="M54" i="1"/>
  <c r="M38" i="1"/>
  <c r="M59" i="1"/>
  <c r="J7" i="1"/>
  <c r="L7" i="1" l="1"/>
  <c r="M11" i="1"/>
  <c r="G7" i="1"/>
  <c r="M8" i="1"/>
  <c r="M7" i="1" l="1"/>
  <c r="D5" i="1" s="1"/>
  <c r="D15" i="1" s="1"/>
  <c r="H15" i="1" s="1"/>
  <c r="D14" i="1" l="1"/>
  <c r="D54" i="1"/>
  <c r="D13" i="1"/>
  <c r="D20" i="1"/>
  <c r="D23" i="1"/>
  <c r="D24" i="1"/>
  <c r="D44" i="1"/>
  <c r="D34" i="1"/>
  <c r="D28" i="1"/>
  <c r="D51" i="1"/>
  <c r="D56" i="1"/>
  <c r="D38" i="1"/>
  <c r="D31" i="1"/>
  <c r="D29" i="1"/>
  <c r="D32" i="1"/>
  <c r="D47" i="1"/>
  <c r="D57" i="1"/>
  <c r="D18" i="1"/>
  <c r="D9" i="1"/>
  <c r="D45" i="1"/>
  <c r="D12" i="1"/>
  <c r="D48" i="1"/>
  <c r="D21" i="1"/>
  <c r="D26" i="1"/>
  <c r="D42" i="1"/>
  <c r="D49" i="1"/>
  <c r="D58" i="1"/>
  <c r="D43" i="1"/>
  <c r="H43" i="1" s="1"/>
  <c r="N43" i="1" s="1"/>
  <c r="O43" i="1" s="1"/>
  <c r="D36" i="1"/>
  <c r="D11" i="1"/>
  <c r="D59" i="1"/>
  <c r="D55" i="1"/>
  <c r="D50" i="1"/>
  <c r="D25" i="1"/>
  <c r="D16" i="1"/>
  <c r="D41" i="1"/>
  <c r="D37" i="1"/>
  <c r="D39" i="1"/>
  <c r="D30" i="1"/>
  <c r="D53" i="1"/>
  <c r="D33" i="1"/>
  <c r="H33" i="1" s="1"/>
  <c r="N33" i="1" s="1"/>
  <c r="N15" i="1"/>
  <c r="O15" i="1" s="1"/>
  <c r="D10" i="1"/>
  <c r="D22" i="1"/>
  <c r="D27" i="1"/>
  <c r="D35" i="1"/>
  <c r="D17" i="1"/>
  <c r="D19" i="1"/>
  <c r="D40" i="1"/>
  <c r="D8" i="1"/>
  <c r="H8" i="1" s="1"/>
  <c r="N8" i="1" s="1"/>
  <c r="D46" i="1"/>
  <c r="D52" i="1"/>
  <c r="H46" i="1" l="1"/>
  <c r="N46" i="1" s="1"/>
  <c r="O46" i="1" s="1"/>
  <c r="H32" i="1"/>
  <c r="N32" i="1" s="1"/>
  <c r="O32" i="1" s="1"/>
  <c r="H49" i="1"/>
  <c r="N49" i="1" s="1"/>
  <c r="O49" i="1" s="1"/>
  <c r="H54" i="1"/>
  <c r="N54" i="1" s="1"/>
  <c r="O54" i="1" s="1"/>
  <c r="H19" i="1"/>
  <c r="N19" i="1" s="1"/>
  <c r="O19" i="1" s="1"/>
  <c r="H13" i="1"/>
  <c r="N13" i="1" s="1"/>
  <c r="O13" i="1" s="1"/>
  <c r="H39" i="1"/>
  <c r="N39" i="1" s="1"/>
  <c r="O39" i="1" s="1"/>
  <c r="H40" i="1"/>
  <c r="N40" i="1" s="1"/>
  <c r="O40" i="1" s="1"/>
  <c r="H31" i="1"/>
  <c r="N31" i="1" s="1"/>
  <c r="O31" i="1" s="1"/>
  <c r="H38" i="1"/>
  <c r="N38" i="1" s="1"/>
  <c r="O38" i="1" s="1"/>
  <c r="H21" i="1"/>
  <c r="N21" i="1" s="1"/>
  <c r="O21" i="1" s="1"/>
  <c r="H35" i="1"/>
  <c r="N35" i="1" s="1"/>
  <c r="O35" i="1" s="1"/>
  <c r="H28" i="1"/>
  <c r="N28" i="1" s="1"/>
  <c r="O28" i="1" s="1"/>
  <c r="H22" i="1"/>
  <c r="N22" i="1" s="1"/>
  <c r="O22" i="1" s="1"/>
  <c r="H59" i="1"/>
  <c r="N59" i="1" s="1"/>
  <c r="O59" i="1" s="1"/>
  <c r="H9" i="1"/>
  <c r="H44" i="1"/>
  <c r="N44" i="1" s="1"/>
  <c r="O44" i="1" s="1"/>
  <c r="H37" i="1"/>
  <c r="N37" i="1" s="1"/>
  <c r="O37" i="1" s="1"/>
  <c r="H14" i="1"/>
  <c r="N14" i="1" s="1"/>
  <c r="O14" i="1" s="1"/>
  <c r="H26" i="1"/>
  <c r="N26" i="1" s="1"/>
  <c r="O26" i="1" s="1"/>
  <c r="H17" i="1"/>
  <c r="N17" i="1" s="1"/>
  <c r="O17" i="1" s="1"/>
  <c r="H51" i="1"/>
  <c r="N51" i="1" s="1"/>
  <c r="O51" i="1" s="1"/>
  <c r="H50" i="1"/>
  <c r="N50" i="1" s="1"/>
  <c r="O50" i="1" s="1"/>
  <c r="H55" i="1"/>
  <c r="N55" i="1" s="1"/>
  <c r="O55" i="1" s="1"/>
  <c r="H34" i="1"/>
  <c r="N34" i="1" s="1"/>
  <c r="O34" i="1" s="1"/>
  <c r="H10" i="1"/>
  <c r="N10" i="1" s="1"/>
  <c r="O10" i="1" s="1"/>
  <c r="H18" i="1"/>
  <c r="N18" i="1" s="1"/>
  <c r="H36" i="1"/>
  <c r="N36" i="1" s="1"/>
  <c r="O36" i="1" s="1"/>
  <c r="H57" i="1"/>
  <c r="N57" i="1" s="1"/>
  <c r="O57" i="1" s="1"/>
  <c r="H23" i="1"/>
  <c r="N23" i="1" s="1"/>
  <c r="O23" i="1" s="1"/>
  <c r="H30" i="1"/>
  <c r="N30" i="1" s="1"/>
  <c r="O30" i="1" s="1"/>
  <c r="H58" i="1"/>
  <c r="N58" i="1" s="1"/>
  <c r="O58" i="1" s="1"/>
  <c r="H29" i="1"/>
  <c r="N29" i="1" s="1"/>
  <c r="O29" i="1" s="1"/>
  <c r="H41" i="1"/>
  <c r="N41" i="1" s="1"/>
  <c r="O41" i="1" s="1"/>
  <c r="H16" i="1"/>
  <c r="N16" i="1" s="1"/>
  <c r="O16" i="1" s="1"/>
  <c r="H56" i="1"/>
  <c r="N56" i="1" s="1"/>
  <c r="O56" i="1" s="1"/>
  <c r="H25" i="1"/>
  <c r="N25" i="1" s="1"/>
  <c r="O25" i="1" s="1"/>
  <c r="H48" i="1"/>
  <c r="N48" i="1" s="1"/>
  <c r="O48" i="1" s="1"/>
  <c r="H27" i="1"/>
  <c r="N27" i="1" s="1"/>
  <c r="O27" i="1" s="1"/>
  <c r="H12" i="1"/>
  <c r="N12" i="1" s="1"/>
  <c r="O12" i="1" s="1"/>
  <c r="H45" i="1"/>
  <c r="N45" i="1" s="1"/>
  <c r="O45" i="1" s="1"/>
  <c r="H11" i="1"/>
  <c r="N11" i="1" s="1"/>
  <c r="O11" i="1" s="1"/>
  <c r="H24" i="1"/>
  <c r="N24" i="1" s="1"/>
  <c r="O24" i="1" s="1"/>
  <c r="H52" i="1"/>
  <c r="N52" i="1" s="1"/>
  <c r="O52" i="1" s="1"/>
  <c r="H53" i="1"/>
  <c r="N53" i="1" s="1"/>
  <c r="O53" i="1" s="1"/>
  <c r="H47" i="1"/>
  <c r="N47" i="1" s="1"/>
  <c r="O47" i="1" s="1"/>
  <c r="H20" i="1"/>
  <c r="N20" i="1" s="1"/>
  <c r="O20" i="1" s="1"/>
  <c r="O33" i="1"/>
  <c r="O8" i="1"/>
  <c r="N9" i="1" l="1"/>
  <c r="O9" i="1" s="1"/>
  <c r="O18" i="1"/>
  <c r="H7" i="1"/>
  <c r="D7" i="1" s="1"/>
  <c r="N7" i="1" l="1"/>
  <c r="O7" i="1" s="1"/>
</calcChain>
</file>

<file path=xl/sharedStrings.xml><?xml version="1.0" encoding="utf-8"?>
<sst xmlns="http://schemas.openxmlformats.org/spreadsheetml/2006/main" count="445" uniqueCount="209">
  <si>
    <t xml:space="preserve">Assumed CDS-A </t>
  </si>
  <si>
    <t>Bob's Final Audit Data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</si>
  <si>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</si>
  <si>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</si>
  <si>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</si>
  <si>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</si>
  <si>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</si>
  <si>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</si>
  <si>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</si>
  <si>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</si>
  <si>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</si>
  <si>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</si>
  <si>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</si>
  <si>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</si>
  <si>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</si>
  <si>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</si>
  <si>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</si>
  <si>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</si>
  <si>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</si>
  <si>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</si>
  <si>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</si>
  <si>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</si>
  <si>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</si>
  <si>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</si>
  <si>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</si>
  <si>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</si>
  <si>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</si>
  <si>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</si>
  <si>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</si>
  <si>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</si>
  <si>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</si>
  <si>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</si>
  <si>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</si>
  <si>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</si>
  <si>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</si>
  <si>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</si>
  <si>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</si>
  <si>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</si>
  <si>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</si>
  <si>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</si>
  <si>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</si>
  <si>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</si>
  <si>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</si>
  <si>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</si>
  <si>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</si>
  <si>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</si>
  <si>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</si>
  <si>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</si>
  <si>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</si>
  <si>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</si>
  <si>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</si>
  <si>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</si>
  <si>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</si>
  <si>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</si>
  <si>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</si>
  <si>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</si>
  <si>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</si>
  <si>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</si>
  <si>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</si>
  <si>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</si>
  <si>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</si>
  <si>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</si>
  <si>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 xml:space="preserve">Notes: </t>
  </si>
  <si>
    <t xml:space="preserve">McCready Revenue added to PRMC </t>
  </si>
  <si>
    <t>Carroll drug inflation added to Sinai</t>
  </si>
  <si>
    <t>Meritus</t>
  </si>
  <si>
    <t>Andrea</t>
  </si>
  <si>
    <t>340B</t>
  </si>
  <si>
    <t>UM UMMC</t>
  </si>
  <si>
    <t>Chris</t>
  </si>
  <si>
    <t>UM Capital Region (Prince George's)</t>
  </si>
  <si>
    <t>Holy Cross</t>
  </si>
  <si>
    <t>Neil Marshall</t>
  </si>
  <si>
    <t>Deon</t>
  </si>
  <si>
    <t>Frederick</t>
  </si>
  <si>
    <t>Teneshia</t>
  </si>
  <si>
    <t>Harford included in UMUC</t>
  </si>
  <si>
    <t>ASP</t>
  </si>
  <si>
    <t>Paige Glaser</t>
  </si>
  <si>
    <t>Johns Hopkins</t>
  </si>
  <si>
    <t>Kim Scott</t>
  </si>
  <si>
    <t>UM Dorchester</t>
  </si>
  <si>
    <t>St. Agnes</t>
  </si>
  <si>
    <t>Esin Caba</t>
  </si>
  <si>
    <t>Sinai, alone</t>
  </si>
  <si>
    <t>John Carroll</t>
  </si>
  <si>
    <t>LifeBridge Grace / Bon Secours</t>
  </si>
  <si>
    <t>MedStar Franklin Square</t>
  </si>
  <si>
    <t>Adam Lichtfuss</t>
  </si>
  <si>
    <t>Washington Adventist White Oak</t>
  </si>
  <si>
    <t>Karen Bowne</t>
  </si>
  <si>
    <t>Garrett County</t>
  </si>
  <si>
    <t>Lori Dixon</t>
  </si>
  <si>
    <t>MedStar Montgomery</t>
  </si>
  <si>
    <t>TidalHealth Peninsula Regional</t>
  </si>
  <si>
    <t>Suburban</t>
  </si>
  <si>
    <t>Colleen Finnegan</t>
  </si>
  <si>
    <t>MedStar Union Memorial</t>
  </si>
  <si>
    <t>Western Maryland</t>
  </si>
  <si>
    <t>Cody Morton</t>
  </si>
  <si>
    <t>Mixed</t>
  </si>
  <si>
    <t>MedStar St. Mary's</t>
  </si>
  <si>
    <t>JH Bayview Medical Center</t>
  </si>
  <si>
    <t>UM Chestertown</t>
  </si>
  <si>
    <t>Christiana Care Union Hosp. of Cecil</t>
  </si>
  <si>
    <t>Alycia Neidigh</t>
  </si>
  <si>
    <t>Carroll's Kalhert at Sinai</t>
  </si>
  <si>
    <t>MedStar Harbor</t>
  </si>
  <si>
    <t>UM Charles Regional</t>
  </si>
  <si>
    <t>UM Easton &amp; Queen Anne's</t>
  </si>
  <si>
    <t>UM Midtown</t>
  </si>
  <si>
    <t>Calvert</t>
  </si>
  <si>
    <t>Rich Pellegrino</t>
  </si>
  <si>
    <t>Northwest Hospital</t>
  </si>
  <si>
    <t>UM Balt Wash Medical Center</t>
  </si>
  <si>
    <t>GBMC</t>
  </si>
  <si>
    <t>Carl Prazenica</t>
  </si>
  <si>
    <t>McCready</t>
  </si>
  <si>
    <t>Howard County General</t>
  </si>
  <si>
    <t>UM Upper Chesapeake &amp; Harford</t>
  </si>
  <si>
    <t>Doctors Community</t>
  </si>
  <si>
    <t>UM Laurel Regional</t>
  </si>
  <si>
    <t>MedStar Good Samaritan</t>
  </si>
  <si>
    <t>Shady Grove</t>
  </si>
  <si>
    <t>UM Rehab &amp; Ortho</t>
  </si>
  <si>
    <t>Fort Washington</t>
  </si>
  <si>
    <t>Atlantic General</t>
  </si>
  <si>
    <t>MedStar Southern Maryland</t>
  </si>
  <si>
    <t>UM St. Joseph</t>
  </si>
  <si>
    <t>Holy Cross Germantown</t>
  </si>
  <si>
    <t>Hospital ID</t>
  </si>
  <si>
    <t>HospID</t>
  </si>
  <si>
    <t>Hospital Name</t>
  </si>
  <si>
    <t xml:space="preserve">Permanent </t>
  </si>
  <si>
    <t>One-Time</t>
  </si>
  <si>
    <t>Total</t>
  </si>
  <si>
    <t>UMMC</t>
  </si>
  <si>
    <t>UM-Capital Region</t>
  </si>
  <si>
    <t>UM-Harford</t>
  </si>
  <si>
    <t>Mercy</t>
  </si>
  <si>
    <t>UM-Cambridge</t>
  </si>
  <si>
    <t>St Agnes</t>
  </si>
  <si>
    <t>Sinai</t>
  </si>
  <si>
    <t>Grace Medical Center</t>
  </si>
  <si>
    <t>MedStar Franklin Sq</t>
  </si>
  <si>
    <t>Adventist White Oak</t>
  </si>
  <si>
    <t>Garrett</t>
  </si>
  <si>
    <t>Peninsula</t>
  </si>
  <si>
    <t>Anne Arundel</t>
  </si>
  <si>
    <t>MedStar Union</t>
  </si>
  <si>
    <t>Western MD</t>
  </si>
  <si>
    <t>MedStar St Mary's</t>
  </si>
  <si>
    <t>JH - Bayview</t>
  </si>
  <si>
    <t>UM-Chestertown</t>
  </si>
  <si>
    <t>ChristianaCare, Union</t>
  </si>
  <si>
    <t>Carroll</t>
  </si>
  <si>
    <t>UM-Charles Regional</t>
  </si>
  <si>
    <t>UM-Easton</t>
  </si>
  <si>
    <t>UM-Midtown</t>
  </si>
  <si>
    <t>Northwest</t>
  </si>
  <si>
    <t>UM-BWMC</t>
  </si>
  <si>
    <t>Howard County</t>
  </si>
  <si>
    <t>UM-Upper Chesapeake</t>
  </si>
  <si>
    <t>Doctors</t>
  </si>
  <si>
    <t>UM-Laurel</t>
  </si>
  <si>
    <t>MedStar Good Sam</t>
  </si>
  <si>
    <t>UMROI</t>
  </si>
  <si>
    <t>Ft Washington</t>
  </si>
  <si>
    <t>MedStar Southern MD</t>
  </si>
  <si>
    <t>UM-St Joe</t>
  </si>
  <si>
    <t>Germantown ED</t>
  </si>
  <si>
    <t>UM-Queen Anne's ED</t>
  </si>
  <si>
    <t>UM-Bowie ED</t>
  </si>
  <si>
    <t>UM-Shock Trauma</t>
  </si>
  <si>
    <t>HC Germantown</t>
  </si>
  <si>
    <t>Statewide</t>
  </si>
  <si>
    <t>Hosp #</t>
  </si>
  <si>
    <t>Hosp. Contact</t>
  </si>
  <si>
    <t>Rate Analyst</t>
  </si>
  <si>
    <t>2023 Volume</t>
  </si>
  <si>
    <t>Change Retro Adj.</t>
  </si>
  <si>
    <t>Measured at</t>
  </si>
  <si>
    <t>Basis for Prospective Inflation Provision</t>
  </si>
  <si>
    <t>Theresa Augustin</t>
  </si>
  <si>
    <t>Phil Gallagher</t>
  </si>
  <si>
    <t>Daniela</t>
  </si>
  <si>
    <t>Kathy Talbot</t>
  </si>
  <si>
    <t>UM Shock Trauma</t>
  </si>
  <si>
    <t>FY25 Permanent, One-Time, and Total Revenue</t>
  </si>
  <si>
    <t>as of 4.11</t>
  </si>
  <si>
    <t>be115</t>
  </si>
  <si>
    <t>be160</t>
  </si>
  <si>
    <t>current year one-time</t>
  </si>
  <si>
    <t>permanent revenue adjusted</t>
  </si>
  <si>
    <t>be162</t>
  </si>
  <si>
    <t>budgeted GBR rev</t>
  </si>
  <si>
    <t>2024 Volume</t>
  </si>
  <si>
    <t>FY2026Inf Proj</t>
  </si>
  <si>
    <t>FY25 Final GBR</t>
  </si>
  <si>
    <t>FY25 One-Times Reversed</t>
  </si>
  <si>
    <t>FY26 Permanent GBR B4 Update Factor</t>
  </si>
  <si>
    <t>FY2026 Inflation Amt</t>
  </si>
  <si>
    <t>FY24 CDS-A Cost</t>
  </si>
  <si>
    <t>FY25 CDS-A Cost (Expected)</t>
  </si>
  <si>
    <t>FY25 Markup</t>
  </si>
  <si>
    <t>FY2025 Rx Est Inf Amt</t>
  </si>
  <si>
    <t>Note - Western MD is 340B due to Sole Comm. Hosp., Not DSH, therefore 340B discount not available on Orphan drugs, and must use ASP for Orphan drags.</t>
  </si>
  <si>
    <t>UF as Approved by Commission 061125</t>
  </si>
  <si>
    <t>Drug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</si>
</sst>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000%"/>
    <numFmt numFmtId="165" formatCode="0.000%"/>
    <numFmt numFmtId="166" formatCode="#,##0.0000"/>
    <numFmt numFmtId="167" formatCode="&quot;$&quot;#,##0.00"/>
    <numFmt numFmtId="168" formatCode="_(* #,##0_);_(* \(#,##0\);_(* &quot;-&quot;??_);_(@_)"/>
  </numFmts>
  <fonts count="23" x14ac:knownFonts="1">
    <font>
      <sz val="11"/>
      <color theme="1"/>
      <name val="Times New Roman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theme="1"/>
      <name val="Times New Roman"/>
      <family val="1"/>
      <scheme val="minor"/>
    </font>
    <font>
      <sz val="12"/>
      <color theme="1"/>
      <name val="Times New Roman"/>
      <family val="1"/>
    </font>
    <font>
      <sz val="12"/>
      <color rgb="FFC00000"/>
      <name val="Times New Roman"/>
      <family val="1"/>
    </font>
    <font>
      <sz val="8"/>
      <name val="Times New Roman"/>
      <family val="1"/>
      <scheme val="minor"/>
    </font>
    <font>
      <u/>
      <sz val="11"/>
      <color theme="1"/>
      <name val="Times New Roman"/>
      <family val="2"/>
      <scheme val="minor"/>
    </font>
    <font>
      <sz val="18"/>
      <color theme="1"/>
      <name val="Wingdings"/>
      <charset val="2"/>
    </font>
    <font>
      <sz val="11"/>
      <color rgb="FFFF0000"/>
      <name val="Times New Roman"/>
      <family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sz val="11"/>
      <name val="Times New Roman"/>
      <family val="1"/>
    </font>
    <font>
      <sz val="11"/>
      <color theme="0" tint="-4.9989318521683403E-2"/>
      <name val="Times New Roman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2" fillId="0" borderId="1"/>
  </cellStyleXfs>
  <cellXfs count="48">
    <xf numFmtId="0" fontId="0" fillId="0" borderId="0" xfId="0"/>
    <xf numFmtId="0" fontId="3" fillId="0" borderId="0" xfId="0" applyFont="1"/>
    <xf numFmtId="10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10" fontId="3" fillId="2" borderId="1" xfId="0" applyNumberFormat="1" applyFont="1" applyFill="1" applyBorder="1"/>
    <xf numFmtId="9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10" fontId="7" fillId="0" borderId="0" xfId="0" applyNumberFormat="1" applyFont="1"/>
    <xf numFmtId="6" fontId="8" fillId="0" borderId="0" xfId="0" applyNumberFormat="1" applyFont="1"/>
    <xf numFmtId="6" fontId="3" fillId="0" borderId="0" xfId="0" applyNumberFormat="1" applyFont="1"/>
    <xf numFmtId="165" fontId="9" fillId="0" borderId="0" xfId="0" applyNumberFormat="1" applyFont="1"/>
    <xf numFmtId="10" fontId="10" fillId="0" borderId="0" xfId="0" applyNumberFormat="1" applyFont="1"/>
    <xf numFmtId="167" fontId="3" fillId="0" borderId="0" xfId="0" applyNumberFormat="1" applyFont="1"/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8" fontId="0" fillId="0" borderId="0" xfId="1" applyNumberFormat="1" applyFont="1"/>
    <xf numFmtId="0" fontId="4" fillId="3" borderId="0" xfId="0" applyFont="1" applyFill="1"/>
    <xf numFmtId="10" fontId="3" fillId="0" borderId="0" xfId="0" applyNumberFormat="1" applyFont="1" applyAlignment="1">
      <alignment horizontal="center"/>
    </xf>
    <xf numFmtId="0" fontId="2" fillId="0" borderId="1" xfId="2"/>
    <xf numFmtId="0" fontId="2" fillId="0" borderId="1" xfId="2" applyAlignment="1">
      <alignment horizontal="center" wrapText="1"/>
    </xf>
    <xf numFmtId="5" fontId="2" fillId="0" borderId="1" xfId="2" applyNumberFormat="1"/>
    <xf numFmtId="0" fontId="2" fillId="4" borderId="1" xfId="2" applyFill="1"/>
    <xf numFmtId="0" fontId="2" fillId="5" borderId="1" xfId="2" applyFill="1"/>
    <xf numFmtId="0" fontId="2" fillId="6" borderId="1" xfId="2" applyFill="1"/>
    <xf numFmtId="0" fontId="2" fillId="7" borderId="1" xfId="2" applyFill="1"/>
    <xf numFmtId="5" fontId="15" fillId="0" borderId="1" xfId="2" applyNumberFormat="1" applyFont="1"/>
    <xf numFmtId="0" fontId="2" fillId="8" borderId="1" xfId="2" applyFill="1"/>
    <xf numFmtId="0" fontId="16" fillId="0" borderId="0" xfId="0" applyFont="1" applyAlignment="1">
      <alignment horizontal="center" wrapText="1"/>
    </xf>
    <xf numFmtId="10" fontId="0" fillId="0" borderId="0" xfId="0" applyNumberFormat="1" applyAlignment="1">
      <alignment horizontal="center"/>
    </xf>
    <xf numFmtId="8" fontId="3" fillId="0" borderId="0" xfId="0" applyNumberFormat="1" applyFont="1"/>
    <xf numFmtId="10" fontId="0" fillId="0" borderId="0" xfId="0" applyNumberFormat="1"/>
    <xf numFmtId="165" fontId="3" fillId="0" borderId="0" xfId="0" applyNumberFormat="1" applyFont="1"/>
    <xf numFmtId="10" fontId="5" fillId="0" borderId="0" xfId="0" applyNumberFormat="1" applyFont="1"/>
    <xf numFmtId="166" fontId="3" fillId="0" borderId="0" xfId="0" applyNumberFormat="1" applyFont="1"/>
    <xf numFmtId="168" fontId="0" fillId="0" borderId="0" xfId="0" applyNumberFormat="1"/>
    <xf numFmtId="0" fontId="0" fillId="0" borderId="0" xfId="0" applyAlignment="1">
      <alignment horizontal="center"/>
    </xf>
    <xf numFmtId="0" fontId="17" fillId="0" borderId="0" xfId="0" applyFont="1"/>
    <xf numFmtId="0" fontId="1" fillId="0" borderId="1" xfId="2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8" fontId="0" fillId="0" borderId="0" xfId="1" applyNumberFormat="1" applyFont="1" applyFill="1"/>
    <xf numFmtId="0" fontId="22" fillId="0" borderId="0" xfId="0" applyFont="1"/>
  </cellXfs>
  <cellStyles count="3">
    <cellStyle name="Comma" xfId="1" builtinId="3"/>
    <cellStyle name="Normal" xfId="0" builtinId="0"/>
    <cellStyle name="Normal 2" xfId="2" xr:uid="{04A56FA7-FDAF-43DA-954D-18FD10B69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dhscrc-my.sharepoint.com/personal/dtamayo_mdhscrc_onmicrosoft_com/Documents/Daniela_One%20Drive/Daniela%20All%20Files/Web%20Inputs/1%20July%20Assessments/Inflation%20by%20Hospitals/FY25%20Summary%20All%20as%20of%204.11.25%20(1).xlsx" TargetMode="External"/><Relationship Id="rId1" Type="http://schemas.openxmlformats.org/officeDocument/2006/relationships/externalLinkPath" Target="https://mdhscrc-my.sharepoint.com/personal/dtamayo_mdhscrc_onmicrosoft_com/Documents/Daniela_One%20Drive/Daniela%20All%20Files/Web%20Inputs/1%20July%20Assessments/Inflation%20by%20Hospitals/FY25%20Summary%20All%20as%20of%204.11.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All"/>
    </sheetNames>
    <sheetDataSet>
      <sheetData sheetId="0" refreshError="1">
        <row r="3">
          <cell r="D3">
            <v>1</v>
          </cell>
          <cell r="E3">
            <v>2</v>
          </cell>
          <cell r="F3">
            <v>3</v>
          </cell>
          <cell r="G3">
            <v>4</v>
          </cell>
          <cell r="H3">
            <v>5</v>
          </cell>
          <cell r="I3">
            <v>6</v>
          </cell>
          <cell r="J3">
            <v>8</v>
          </cell>
          <cell r="K3">
            <v>9</v>
          </cell>
          <cell r="L3">
            <v>10</v>
          </cell>
          <cell r="M3">
            <v>11</v>
          </cell>
          <cell r="N3">
            <v>12</v>
          </cell>
          <cell r="O3">
            <v>13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22</v>
          </cell>
          <cell r="V3">
            <v>23</v>
          </cell>
          <cell r="W3">
            <v>24</v>
          </cell>
          <cell r="X3">
            <v>27</v>
          </cell>
          <cell r="Y3">
            <v>28</v>
          </cell>
          <cell r="Z3">
            <v>29</v>
          </cell>
          <cell r="AA3">
            <v>30</v>
          </cell>
          <cell r="AB3">
            <v>32</v>
          </cell>
          <cell r="AC3">
            <v>33</v>
          </cell>
          <cell r="AD3">
            <v>34</v>
          </cell>
          <cell r="AE3">
            <v>35</v>
          </cell>
          <cell r="AF3">
            <v>37</v>
          </cell>
          <cell r="AG3">
            <v>38</v>
          </cell>
          <cell r="AH3">
            <v>39</v>
          </cell>
          <cell r="AI3">
            <v>40</v>
          </cell>
          <cell r="AJ3">
            <v>43</v>
          </cell>
          <cell r="AK3">
            <v>44</v>
          </cell>
          <cell r="AL3">
            <v>45</v>
          </cell>
          <cell r="AM3">
            <v>48</v>
          </cell>
          <cell r="AN3">
            <v>49</v>
          </cell>
          <cell r="AO3">
            <v>51</v>
          </cell>
          <cell r="AP3">
            <v>55</v>
          </cell>
          <cell r="AQ3">
            <v>2004</v>
          </cell>
          <cell r="AR3">
            <v>5050</v>
          </cell>
          <cell r="AS3">
            <v>2001</v>
          </cell>
          <cell r="AT3">
            <v>60</v>
          </cell>
          <cell r="AU3">
            <v>61</v>
          </cell>
          <cell r="AV3">
            <v>62</v>
          </cell>
          <cell r="AW3">
            <v>63</v>
          </cell>
          <cell r="AX3">
            <v>87</v>
          </cell>
          <cell r="AY3">
            <v>88</v>
          </cell>
          <cell r="AZ3">
            <v>333</v>
          </cell>
          <cell r="BA3">
            <v>5033</v>
          </cell>
          <cell r="BB3">
            <v>8992</v>
          </cell>
          <cell r="BC3">
            <v>65</v>
          </cell>
        </row>
        <row r="115">
          <cell r="B115" t="str">
            <v>J</v>
          </cell>
          <cell r="C115" t="str">
            <v>FY 2025 Permanent Revenue Adjusted</v>
          </cell>
          <cell r="D115">
            <v>507302029.57678121</v>
          </cell>
          <cell r="E115">
            <v>1934443073.9532831</v>
          </cell>
          <cell r="F115">
            <v>450625999.56213671</v>
          </cell>
          <cell r="G115">
            <v>620977885.65347517</v>
          </cell>
          <cell r="H115">
            <v>440525242.00127202</v>
          </cell>
          <cell r="I115">
            <v>32593864.34534204</v>
          </cell>
          <cell r="J115">
            <v>697629726.96527386</v>
          </cell>
          <cell r="K115">
            <v>3202138426.9410033</v>
          </cell>
          <cell r="L115">
            <v>16974409.4034792</v>
          </cell>
          <cell r="M115">
            <v>527466834.87731558</v>
          </cell>
          <cell r="N115">
            <v>966525542.84436297</v>
          </cell>
          <cell r="O115">
            <v>33742037.290851362</v>
          </cell>
          <cell r="P115">
            <v>692705489.42916048</v>
          </cell>
          <cell r="Q115">
            <v>393083216.85680395</v>
          </cell>
          <cell r="R115">
            <v>94740995.064713731</v>
          </cell>
          <cell r="S115">
            <v>223918421.0956955</v>
          </cell>
          <cell r="T115">
            <v>629558600.78574932</v>
          </cell>
          <cell r="U115">
            <v>451353197.50351125</v>
          </cell>
          <cell r="V115">
            <v>757660681.19291127</v>
          </cell>
          <cell r="W115">
            <v>503480367.93414611</v>
          </cell>
          <cell r="X115">
            <v>393237898.81323755</v>
          </cell>
          <cell r="Y115">
            <v>238434966.75705001</v>
          </cell>
          <cell r="Z115">
            <v>837008183.66081452</v>
          </cell>
          <cell r="AA115">
            <v>53982690.755440846</v>
          </cell>
          <cell r="AB115">
            <v>205769174.8309373</v>
          </cell>
          <cell r="AC115">
            <v>280649695.33257455</v>
          </cell>
          <cell r="AD115">
            <v>225502253.50622511</v>
          </cell>
          <cell r="AE115">
            <v>189551311.55740795</v>
          </cell>
          <cell r="AF115">
            <v>295917031.88321793</v>
          </cell>
          <cell r="AG115">
            <v>275707181.62112081</v>
          </cell>
          <cell r="AH115">
            <v>187887770.00043967</v>
          </cell>
          <cell r="AI115">
            <v>310598806.37138766</v>
          </cell>
          <cell r="AJ115">
            <v>538290321.51618409</v>
          </cell>
          <cell r="AK115">
            <v>521723201.8909722</v>
          </cell>
          <cell r="AM115">
            <v>399202877.8666532</v>
          </cell>
          <cell r="AN115">
            <v>452864068.82814842</v>
          </cell>
          <cell r="AO115">
            <v>311236650.65650415</v>
          </cell>
          <cell r="AP115">
            <v>43394132.391841955</v>
          </cell>
          <cell r="AQ115">
            <v>318721362.59933156</v>
          </cell>
          <cell r="AR115">
            <v>532574709.25264829</v>
          </cell>
          <cell r="AS115">
            <v>150854074.76901859</v>
          </cell>
          <cell r="AT115">
            <v>69106162.451913446</v>
          </cell>
          <cell r="AU115">
            <v>136431776.89364532</v>
          </cell>
          <cell r="AV115">
            <v>342698160.72780275</v>
          </cell>
          <cell r="AW115">
            <v>485998460.31691992</v>
          </cell>
          <cell r="AX115">
            <v>19043483.2920813</v>
          </cell>
          <cell r="AY115">
            <v>9328567.7736807708</v>
          </cell>
          <cell r="AZ115">
            <v>24814064.305041835</v>
          </cell>
          <cell r="BA115">
            <v>73711476.718216836</v>
          </cell>
          <cell r="BB115">
            <v>277745982.03861064</v>
          </cell>
          <cell r="BC115">
            <v>175457894.33399042</v>
          </cell>
          <cell r="BE115">
            <v>21554890436.990337</v>
          </cell>
          <cell r="BH115">
            <v>3.580089337820524E-3</v>
          </cell>
        </row>
        <row r="160">
          <cell r="C160" t="str">
            <v>Total Current Year one-time adj</v>
          </cell>
          <cell r="D160">
            <v>30439960.870823346</v>
          </cell>
          <cell r="E160">
            <v>68833638.057222784</v>
          </cell>
          <cell r="F160">
            <v>33797427.923036717</v>
          </cell>
          <cell r="G160">
            <v>16323501.834362643</v>
          </cell>
          <cell r="H160">
            <v>19344156.182607893</v>
          </cell>
          <cell r="I160">
            <v>1293905.4612312422</v>
          </cell>
          <cell r="J160">
            <v>20331697.654077351</v>
          </cell>
          <cell r="K160">
            <v>135577807.73944077</v>
          </cell>
          <cell r="L160">
            <v>504569.09044597385</v>
          </cell>
          <cell r="M160">
            <v>40362567.167884447</v>
          </cell>
          <cell r="N160">
            <v>25428962.158668239</v>
          </cell>
          <cell r="O160">
            <v>1254493.2517298202</v>
          </cell>
          <cell r="P160">
            <v>48174740.325134575</v>
          </cell>
          <cell r="Q160">
            <v>24143390.527321838</v>
          </cell>
          <cell r="R160">
            <v>3261412.480094682</v>
          </cell>
          <cell r="S160">
            <v>17976426.080429744</v>
          </cell>
          <cell r="T160">
            <v>26348303.451740853</v>
          </cell>
          <cell r="U160">
            <v>16286346.908683475</v>
          </cell>
          <cell r="V160">
            <v>28733670.74528908</v>
          </cell>
          <cell r="W160">
            <v>21495632.351426352</v>
          </cell>
          <cell r="X160">
            <v>12642961.019623108</v>
          </cell>
          <cell r="Y160">
            <v>16804023.882997658</v>
          </cell>
          <cell r="Z160">
            <v>31791180.529665656</v>
          </cell>
          <cell r="AA160">
            <v>1585087.5628000642</v>
          </cell>
          <cell r="AB160">
            <v>3883878.9690857409</v>
          </cell>
          <cell r="AC160">
            <v>8764132.7826064043</v>
          </cell>
          <cell r="AD160">
            <v>16922896.367908284</v>
          </cell>
          <cell r="AE160">
            <v>7614086.9886035947</v>
          </cell>
          <cell r="AF160">
            <v>23766776.451613829</v>
          </cell>
          <cell r="AG160">
            <v>10188802.617190203</v>
          </cell>
          <cell r="AH160">
            <v>9780885.9040390812</v>
          </cell>
          <cell r="AI160">
            <v>11276143.438725429</v>
          </cell>
          <cell r="AJ160">
            <v>16883815.865198571</v>
          </cell>
          <cell r="AK160">
            <v>14276093.931210604</v>
          </cell>
          <cell r="AM160">
            <v>12149760.69848579</v>
          </cell>
          <cell r="AN160">
            <v>11587314.613174824</v>
          </cell>
          <cell r="AO160">
            <v>17557802.993393585</v>
          </cell>
          <cell r="AP160">
            <v>1526447.8205674535</v>
          </cell>
          <cell r="AQ160">
            <v>8959071.6587092038</v>
          </cell>
          <cell r="AR160">
            <v>28593143.284269705</v>
          </cell>
          <cell r="AS160">
            <v>5679040.5980347069</v>
          </cell>
          <cell r="AT160">
            <v>2472277.6281959349</v>
          </cell>
          <cell r="AU160">
            <v>4438585.108976149</v>
          </cell>
          <cell r="AV160">
            <v>18565057.380392186</v>
          </cell>
          <cell r="AW160">
            <v>19198743.186412424</v>
          </cell>
          <cell r="AX160">
            <v>3721757.6632769229</v>
          </cell>
          <cell r="AY160">
            <v>-64261.857231127666</v>
          </cell>
          <cell r="AZ160">
            <v>96236.381017035717</v>
          </cell>
          <cell r="BA160">
            <v>2616257.0238077133</v>
          </cell>
          <cell r="BB160">
            <v>8051376.7379963677</v>
          </cell>
          <cell r="BC160">
            <v>5024243.5393009819</v>
          </cell>
          <cell r="BE160">
            <v>916266231.0316999</v>
          </cell>
        </row>
        <row r="162">
          <cell r="B162" t="str">
            <v>L</v>
          </cell>
          <cell r="C162" t="str">
            <v>FY 2025 Budgeted GBR/TPR Revenue</v>
          </cell>
          <cell r="D162">
            <v>537741990.44760454</v>
          </cell>
          <cell r="E162">
            <v>2003276712.0105059</v>
          </cell>
          <cell r="F162">
            <v>484423427.4851734</v>
          </cell>
          <cell r="G162">
            <v>637301387.48783779</v>
          </cell>
          <cell r="H162">
            <v>459869398.18387991</v>
          </cell>
          <cell r="I162">
            <v>33887769.806573279</v>
          </cell>
          <cell r="J162">
            <v>717961424.61935115</v>
          </cell>
          <cell r="K162">
            <v>3337716234.6804442</v>
          </cell>
          <cell r="L162">
            <v>17478978.493925173</v>
          </cell>
          <cell r="M162">
            <v>567829402.04519999</v>
          </cell>
          <cell r="N162">
            <v>991954505.00303125</v>
          </cell>
          <cell r="O162">
            <v>34996530.542581186</v>
          </cell>
          <cell r="P162">
            <v>740880229.75429511</v>
          </cell>
          <cell r="Q162">
            <v>417226607.38412577</v>
          </cell>
          <cell r="R162">
            <v>98002407.544808418</v>
          </cell>
          <cell r="S162">
            <v>241894847.17612523</v>
          </cell>
          <cell r="T162">
            <v>649707718.05208015</v>
          </cell>
          <cell r="U162">
            <v>467639544.41219473</v>
          </cell>
          <cell r="V162">
            <v>786394351.93820035</v>
          </cell>
          <cell r="W162">
            <v>524976000.28557247</v>
          </cell>
          <cell r="X162">
            <v>405880859.83286065</v>
          </cell>
          <cell r="Y162">
            <v>255238990.64004767</v>
          </cell>
          <cell r="Z162">
            <v>868799364.19048023</v>
          </cell>
          <cell r="AA162">
            <v>55567778.318240911</v>
          </cell>
          <cell r="AB162">
            <v>209653053.80002305</v>
          </cell>
          <cell r="AC162">
            <v>289413828.11518097</v>
          </cell>
          <cell r="AD162">
            <v>242425149.87413341</v>
          </cell>
          <cell r="AE162">
            <v>197165398.54601154</v>
          </cell>
          <cell r="AF162">
            <v>319683808.33483177</v>
          </cell>
          <cell r="AG162">
            <v>285895984.23831099</v>
          </cell>
          <cell r="AH162">
            <v>197668655.90447876</v>
          </cell>
          <cell r="AI162">
            <v>321874949.81011307</v>
          </cell>
          <cell r="AJ162">
            <v>555174137.3813827</v>
          </cell>
          <cell r="AK162">
            <v>535999295.82218277</v>
          </cell>
          <cell r="AL162">
            <v>6198237.6950473785</v>
          </cell>
          <cell r="AM162">
            <v>411352638.565139</v>
          </cell>
          <cell r="AN162">
            <v>464451383.44132322</v>
          </cell>
          <cell r="AO162">
            <v>328794453.64989775</v>
          </cell>
          <cell r="AP162">
            <v>44920580.212409407</v>
          </cell>
          <cell r="AQ162">
            <v>327680434.25804079</v>
          </cell>
          <cell r="AR162">
            <v>561167852.53691804</v>
          </cell>
          <cell r="AS162">
            <v>156533115.3670533</v>
          </cell>
          <cell r="AT162">
            <v>71578440.080109388</v>
          </cell>
          <cell r="AU162">
            <v>140870362.00262147</v>
          </cell>
          <cell r="AV162">
            <v>361263218.10819495</v>
          </cell>
          <cell r="AW162">
            <v>505197203.50333238</v>
          </cell>
          <cell r="AX162">
            <v>22765240.955358222</v>
          </cell>
          <cell r="AY162">
            <v>9264305.9164496437</v>
          </cell>
          <cell r="AZ162">
            <v>24910300.686058871</v>
          </cell>
          <cell r="BA162">
            <v>76327733.742024556</v>
          </cell>
          <cell r="BB162">
            <v>285797358.77660698</v>
          </cell>
          <cell r="BC162">
            <v>180482137.8732914</v>
          </cell>
          <cell r="BE162">
            <v>22471155719.531666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115" zoomScaleNormal="11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9" sqref="K19"/>
    </sheetView>
  </sheetViews>
  <sheetFormatPr defaultColWidth="12.5703125" defaultRowHeight="15" customHeight="1" x14ac:dyDescent="0.25"/>
  <cols>
    <col min="1" max="1" width="8.5703125" customWidth="1"/>
    <col min="2" max="2" width="8.7109375" customWidth="1"/>
    <col min="3" max="3" width="51.7109375" customWidth="1"/>
    <col min="4" max="4" width="8.5703125" customWidth="1"/>
    <col min="5" max="5" width="19.7109375" customWidth="1"/>
    <col min="6" max="6" width="15.85546875" customWidth="1"/>
    <col min="7" max="7" width="17.5703125" customWidth="1"/>
    <col min="8" max="8" width="14.85546875" customWidth="1"/>
    <col min="9" max="12" width="17.140625" customWidth="1"/>
    <col min="13" max="13" width="9.5703125" customWidth="1"/>
    <col min="14" max="14" width="18" customWidth="1"/>
    <col min="15" max="15" width="11" customWidth="1"/>
    <col min="16" max="16" width="11.28515625" customWidth="1"/>
    <col min="17" max="17" width="13.85546875" customWidth="1"/>
    <col min="18" max="18" width="11" customWidth="1"/>
    <col min="19" max="26" width="8.5703125" customWidth="1"/>
  </cols>
  <sheetData>
    <row r="1" spans="1:26" x14ac:dyDescent="0.25">
      <c r="I1" s="1"/>
      <c r="J1" s="1"/>
      <c r="K1" s="1"/>
      <c r="L1" s="1" t="s">
        <v>0</v>
      </c>
    </row>
    <row r="2" spans="1:26" x14ac:dyDescent="0.25">
      <c r="L2" s="1" t="s">
        <v>2</v>
      </c>
      <c r="N2" s="2"/>
      <c r="O2" s="3"/>
    </row>
    <row r="3" spans="1:26" x14ac:dyDescent="0.25">
      <c r="J3" s="33"/>
      <c r="N3" s="2"/>
      <c r="O3" s="3"/>
    </row>
    <row r="4" spans="1:26" x14ac:dyDescent="0.25">
      <c r="C4" s="43" t="s">
        <v>207</v>
      </c>
      <c r="D4" s="20">
        <v>3.6299999999999999E-2</v>
      </c>
      <c r="I4" s="4" t="s">
        <v>1</v>
      </c>
      <c r="J4" s="34"/>
      <c r="L4" s="32"/>
    </row>
    <row r="5" spans="1:26" x14ac:dyDescent="0.25">
      <c r="D5" s="5">
        <f>D4-M7</f>
        <v>3.6086222370502026E-2</v>
      </c>
      <c r="E5" s="35"/>
      <c r="J5" s="36">
        <v>0.01</v>
      </c>
      <c r="K5" t="s">
        <v>208</v>
      </c>
      <c r="L5" s="21">
        <f>J5</f>
        <v>0.01</v>
      </c>
      <c r="M5" s="6" t="s">
        <v>3</v>
      </c>
    </row>
    <row r="6" spans="1:26" ht="44.25" x14ac:dyDescent="0.3">
      <c r="A6" s="7" t="s">
        <v>4</v>
      </c>
      <c r="B6" s="7" t="s">
        <v>5</v>
      </c>
      <c r="C6" s="7" t="s">
        <v>6</v>
      </c>
      <c r="D6" s="42" t="s">
        <v>197</v>
      </c>
      <c r="E6" s="42" t="s">
        <v>198</v>
      </c>
      <c r="F6" s="42" t="s">
        <v>199</v>
      </c>
      <c r="G6" s="42" t="s">
        <v>200</v>
      </c>
      <c r="H6" s="42" t="s">
        <v>201</v>
      </c>
      <c r="I6" s="42" t="s">
        <v>202</v>
      </c>
      <c r="J6" s="42" t="s">
        <v>203</v>
      </c>
      <c r="K6" s="42" t="s">
        <v>204</v>
      </c>
      <c r="L6" s="42" t="s">
        <v>205</v>
      </c>
      <c r="M6" s="8" t="s">
        <v>7</v>
      </c>
      <c r="N6" s="8" t="s">
        <v>8</v>
      </c>
      <c r="O6" s="31" t="s">
        <v>9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x14ac:dyDescent="0.25">
      <c r="A7" s="9">
        <v>999</v>
      </c>
      <c r="B7" s="9"/>
      <c r="C7" s="9"/>
      <c r="D7" s="10">
        <f>H7/G7</f>
        <v>3.6086222370502019E-2</v>
      </c>
      <c r="E7" s="11">
        <f t="shared" ref="E7:J7" si="0">SUM(E8:E59)</f>
        <v>22438647974.02544</v>
      </c>
      <c r="F7" s="11">
        <f t="shared" si="0"/>
        <v>-916266231.0316999</v>
      </c>
      <c r="G7" s="11">
        <f t="shared" si="0"/>
        <v>21522381742.993748</v>
      </c>
      <c r="H7" s="11">
        <f t="shared" si="0"/>
        <v>776661453.52050519</v>
      </c>
      <c r="I7" s="11">
        <f t="shared" si="0"/>
        <v>408168592.51432717</v>
      </c>
      <c r="J7" s="12">
        <f t="shared" si="0"/>
        <v>412250278.43947053</v>
      </c>
      <c r="K7" s="11"/>
      <c r="L7" s="11">
        <f>SUM(L8:L59)</f>
        <v>4601003.7501676697</v>
      </c>
      <c r="M7" s="13">
        <f>L7/G7</f>
        <v>2.1377762949797364E-4</v>
      </c>
      <c r="N7" s="11">
        <f>SUM(N8:N59)</f>
        <v>781262457.27067292</v>
      </c>
      <c r="O7" s="14">
        <f t="shared" ref="O7:O41" si="1">N7/G7</f>
        <v>3.6299999999999992E-2</v>
      </c>
    </row>
    <row r="8" spans="1:26" x14ac:dyDescent="0.25">
      <c r="A8" s="1">
        <v>1</v>
      </c>
      <c r="B8" s="1">
        <f t="shared" ref="B8:B46" si="2">A8</f>
        <v>1</v>
      </c>
      <c r="C8" s="1" t="s">
        <v>10</v>
      </c>
      <c r="D8" s="2">
        <f t="shared" ref="D8:D59" si="3">$D$5</f>
        <v>3.6086222370502026E-2</v>
      </c>
      <c r="E8" s="12">
        <f>IF(A8=19,SUMIFS('Summary All - updated May25'!F:F,'Summary All - updated May25'!A:A,A8)+SUMIFS('Summary All - updated May25'!F:F,'Summary All - updated May25'!A:A,45),IF(A8=45,0,SUMIFS('Summary All - updated May25'!F:F,'Summary All - updated May25'!A:A,A8)))</f>
        <v>537741990.44760454</v>
      </c>
      <c r="F8" s="12">
        <f>-1*(IF(A8=19,SUMIFS('Summary All - updated May25'!E:E,'Summary All - updated May25'!A:A,A8)+SUMIFS('Summary All - updated May25'!E:E,'Summary All - updated May25'!A:A,45),IF(A8=45,0,SUMIFS('Summary All - updated May25'!E:E,'Summary All - updated May25'!A:A,A8))))</f>
        <v>-30439960.870823346</v>
      </c>
      <c r="G8" s="12">
        <f>SUM(E8:F8)</f>
        <v>507302029.57678121</v>
      </c>
      <c r="H8" s="12">
        <f t="shared" ref="H8:H41" si="4">G8*D8</f>
        <v>18306613.848314721</v>
      </c>
      <c r="I8" s="12">
        <f>IFERROR(VLOOKUP(A8,'CDS-A Study 2024 over 2023'!$A$3:$J$50,10,FALSE),0)</f>
        <v>27313882.009747189</v>
      </c>
      <c r="J8" s="12">
        <f t="shared" ref="J8:J41" si="5">I8*(1+$J$5)</f>
        <v>27587020.829844661</v>
      </c>
      <c r="K8" s="37">
        <f>VLOOKUP(A8,'Summary All'!A5:$G$56,7,FALSE)</f>
        <v>1.1250719936845397</v>
      </c>
      <c r="L8" s="12">
        <f>J8*K8*$L$5</f>
        <v>310373.84524850256</v>
      </c>
      <c r="M8" s="2">
        <f t="shared" ref="M8:M41" si="6">L8/G8</f>
        <v>6.1181274103601206E-4</v>
      </c>
      <c r="N8" s="12">
        <f t="shared" ref="N8:N17" si="7">H8+L8</f>
        <v>18616987.693563223</v>
      </c>
      <c r="O8" s="2">
        <f t="shared" si="1"/>
        <v>3.6698035111538033E-2</v>
      </c>
      <c r="P8" s="2"/>
      <c r="Q8" s="12"/>
      <c r="R8" s="12"/>
    </row>
    <row r="9" spans="1:26" x14ac:dyDescent="0.25">
      <c r="A9" s="1">
        <v>2</v>
      </c>
      <c r="B9" s="1">
        <f t="shared" si="2"/>
        <v>2</v>
      </c>
      <c r="C9" s="1" t="s">
        <v>11</v>
      </c>
      <c r="D9" s="2">
        <f t="shared" si="3"/>
        <v>3.6086222370502026E-2</v>
      </c>
      <c r="E9" s="12">
        <f>IF(A9=19,SUMIFS('Summary All - updated May25'!F:F,'Summary All - updated May25'!A:A,A9)+SUMIFS('Summary All - updated May25'!F:F,'Summary All - updated May25'!A:A,45),IF(A9=45,0,SUMIFS('Summary All - updated May25'!F:F,'Summary All - updated May25'!A:A,A9)))</f>
        <v>1998637891.9544027</v>
      </c>
      <c r="F9" s="12">
        <f>-1*(IF(A9=19,SUMIFS('Summary All - updated May25'!E:E,'Summary All - updated May25'!A:A,A9)+SUMIFS('Summary All - updated May25'!E:E,'Summary All - updated May25'!A:A,45),IF(A9=45,0,SUMIFS('Summary All - updated May25'!E:E,'Summary All - updated May25'!A:A,A9))))</f>
        <v>-68833638.057222784</v>
      </c>
      <c r="G9" s="12">
        <f t="shared" ref="G9:G41" si="8">SUM(E9:F9)</f>
        <v>1929804253.8971798</v>
      </c>
      <c r="H9" s="12">
        <f t="shared" si="4"/>
        <v>69639345.437674388</v>
      </c>
      <c r="I9" s="12">
        <f>IFERROR(VLOOKUP(A9,'CDS-A Study 2024 over 2023'!$A$3:$J$50,10,FALSE),0)</f>
        <v>72048210.887830511</v>
      </c>
      <c r="J9" s="12">
        <f t="shared" si="5"/>
        <v>72768692.99670881</v>
      </c>
      <c r="K9" s="37">
        <f>VLOOKUP(A9,'Summary All'!A6:$G$56,7,FALSE)</f>
        <v>1.1168343089829478</v>
      </c>
      <c r="L9" s="12">
        <f>J9*K9*$L$5</f>
        <v>812705.72958571557</v>
      </c>
      <c r="M9" s="2">
        <f>L9/G9</f>
        <v>4.2113376418591758E-4</v>
      </c>
      <c r="N9" s="12">
        <f>H9+L9</f>
        <v>70452051.16726011</v>
      </c>
      <c r="O9" s="2">
        <f t="shared" si="1"/>
        <v>3.6507356134687953E-2</v>
      </c>
      <c r="P9" s="2"/>
      <c r="Q9" s="12"/>
      <c r="R9" s="12"/>
    </row>
    <row r="10" spans="1:26" x14ac:dyDescent="0.25">
      <c r="A10" s="1">
        <v>3</v>
      </c>
      <c r="B10" s="1">
        <f t="shared" si="2"/>
        <v>3</v>
      </c>
      <c r="C10" s="1" t="s">
        <v>12</v>
      </c>
      <c r="D10" s="2">
        <f t="shared" si="3"/>
        <v>3.6086222370502026E-2</v>
      </c>
      <c r="E10" s="12">
        <f>IF(A10=19,SUMIFS('Summary All - updated May25'!F:F,'Summary All - updated May25'!A:A,A10)+SUMIFS('Summary All - updated May25'!F:F,'Summary All - updated May25'!A:A,45),IF(A10=45,0,SUMIFS('Summary All - updated May25'!F:F,'Summary All - updated May25'!A:A,A10)))</f>
        <v>484423427.4851734</v>
      </c>
      <c r="F10" s="12">
        <f>-1*(IF(A10=19,SUMIFS('Summary All - updated May25'!E:E,'Summary All - updated May25'!A:A,A10)+SUMIFS('Summary All - updated May25'!E:E,'Summary All - updated May25'!A:A,45),IF(A10=45,0,SUMIFS('Summary All - updated May25'!E:E,'Summary All - updated May25'!A:A,A10))))</f>
        <v>-33797427.923036717</v>
      </c>
      <c r="G10" s="12">
        <f t="shared" si="8"/>
        <v>450625999.56213671</v>
      </c>
      <c r="H10" s="12">
        <f t="shared" si="4"/>
        <v>16261390.026129015</v>
      </c>
      <c r="I10" s="12">
        <f>IFERROR(VLOOKUP(A10,'CDS-A Study 2024 over 2023'!$A$3:$J$50,10,FALSE),0)</f>
        <v>223058.05442664895</v>
      </c>
      <c r="J10" s="12">
        <f t="shared" si="5"/>
        <v>225288.63497091545</v>
      </c>
      <c r="K10" s="37">
        <f>VLOOKUP(A10,'Summary All'!A7:$G$56,7,FALSE)</f>
        <v>1.1171664786310078</v>
      </c>
      <c r="L10" s="12">
        <f>J10*K10*$L$5</f>
        <v>2516.8491100604415</v>
      </c>
      <c r="M10" s="2">
        <f t="shared" si="6"/>
        <v>5.5852283545689949E-6</v>
      </c>
      <c r="N10" s="12">
        <f t="shared" si="7"/>
        <v>16263906.875239076</v>
      </c>
      <c r="O10" s="2">
        <f t="shared" si="1"/>
        <v>3.60918075988566E-2</v>
      </c>
      <c r="P10" s="2"/>
      <c r="Q10" s="12"/>
      <c r="R10" s="12"/>
    </row>
    <row r="11" spans="1:26" x14ac:dyDescent="0.25">
      <c r="A11" s="1">
        <v>4</v>
      </c>
      <c r="B11" s="1">
        <f t="shared" si="2"/>
        <v>4</v>
      </c>
      <c r="C11" s="1" t="s">
        <v>13</v>
      </c>
      <c r="D11" s="2">
        <f t="shared" si="3"/>
        <v>3.6086222370502026E-2</v>
      </c>
      <c r="E11" s="12">
        <f>IF(A11=19,SUMIFS('Summary All - updated May25'!F:F,'Summary All - updated May25'!A:A,A11)+SUMIFS('Summary All - updated May25'!F:F,'Summary All - updated May25'!A:A,45),IF(A11=45,0,SUMIFS('Summary All - updated May25'!F:F,'Summary All - updated May25'!A:A,A11)))</f>
        <v>637301387.48783779</v>
      </c>
      <c r="F11" s="12">
        <f>-1*(IF(A11=19,SUMIFS('Summary All - updated May25'!E:E,'Summary All - updated May25'!A:A,A11)+SUMIFS('Summary All - updated May25'!E:E,'Summary All - updated May25'!A:A,45),IF(A11=45,0,SUMIFS('Summary All - updated May25'!E:E,'Summary All - updated May25'!A:A,A11))))</f>
        <v>-16323501.834362643</v>
      </c>
      <c r="G11" s="12">
        <f t="shared" si="8"/>
        <v>620977885.65347517</v>
      </c>
      <c r="H11" s="12">
        <f t="shared" si="4"/>
        <v>22408746.068855483</v>
      </c>
      <c r="I11" s="12">
        <f>IFERROR(VLOOKUP(A11,'CDS-A Study 2024 over 2023'!$A$3:$J$50,10,FALSE),0)</f>
        <v>418216.60520416952</v>
      </c>
      <c r="J11" s="12">
        <f t="shared" si="5"/>
        <v>422398.77125621121</v>
      </c>
      <c r="K11" s="37">
        <f>VLOOKUP(A11,'Summary All'!A8:$G$56,7,FALSE)</f>
        <v>1.1139927136263073</v>
      </c>
      <c r="L11" s="12">
        <f t="shared" ref="L11:L41" si="9">J11*K11*$L$5</f>
        <v>4705.491534241246</v>
      </c>
      <c r="M11" s="2">
        <f t="shared" si="6"/>
        <v>7.5775508966627769E-6</v>
      </c>
      <c r="N11" s="12">
        <f t="shared" si="7"/>
        <v>22413451.560389724</v>
      </c>
      <c r="O11" s="2">
        <f t="shared" si="1"/>
        <v>3.6093799921398682E-2</v>
      </c>
      <c r="P11" s="2"/>
      <c r="Q11" s="12"/>
      <c r="R11" s="12"/>
    </row>
    <row r="12" spans="1:26" x14ac:dyDescent="0.25">
      <c r="A12" s="1">
        <v>5</v>
      </c>
      <c r="B12" s="1">
        <f t="shared" si="2"/>
        <v>5</v>
      </c>
      <c r="C12" s="1" t="s">
        <v>14</v>
      </c>
      <c r="D12" s="2">
        <f t="shared" si="3"/>
        <v>3.6086222370502026E-2</v>
      </c>
      <c r="E12" s="12">
        <f>IF(A12=19,SUMIFS('Summary All - updated May25'!F:F,'Summary All - updated May25'!A:A,A12)+SUMIFS('Summary All - updated May25'!F:F,'Summary All - updated May25'!A:A,45),IF(A12=45,0,SUMIFS('Summary All - updated May25'!F:F,'Summary All - updated May25'!A:A,A12)))</f>
        <v>459869398.18387991</v>
      </c>
      <c r="F12" s="12">
        <f>-1*(IF(A12=19,SUMIFS('Summary All - updated May25'!E:E,'Summary All - updated May25'!A:A,A12)+SUMIFS('Summary All - updated May25'!E:E,'Summary All - updated May25'!A:A,45),IF(A12=45,0,SUMIFS('Summary All - updated May25'!E:E,'Summary All - updated May25'!A:A,A12))))</f>
        <v>-19344156.182607893</v>
      </c>
      <c r="G12" s="12">
        <f t="shared" si="8"/>
        <v>440525242.00127202</v>
      </c>
      <c r="H12" s="12">
        <f t="shared" si="4"/>
        <v>15896891.842677122</v>
      </c>
      <c r="I12" s="12">
        <f>IFERROR(VLOOKUP(A12,'CDS-A Study 2024 over 2023'!$A$3:$J$50,10,FALSE),0)</f>
        <v>0</v>
      </c>
      <c r="J12" s="12">
        <f t="shared" si="5"/>
        <v>0</v>
      </c>
      <c r="K12" s="37">
        <f>VLOOKUP(A12,'Summary All'!A9:$G$56,7,FALSE)</f>
        <v>1.1153754122420763</v>
      </c>
      <c r="L12" s="12">
        <f t="shared" si="9"/>
        <v>0</v>
      </c>
      <c r="M12" s="2">
        <f t="shared" si="6"/>
        <v>0</v>
      </c>
      <c r="N12" s="12">
        <f t="shared" si="7"/>
        <v>15896891.842677122</v>
      </c>
      <c r="O12" s="2">
        <f t="shared" si="1"/>
        <v>3.6086222370502026E-2</v>
      </c>
      <c r="P12" s="2"/>
      <c r="Q12" s="12"/>
      <c r="R12" s="12"/>
    </row>
    <row r="13" spans="1:26" x14ac:dyDescent="0.25">
      <c r="A13" s="1">
        <v>6</v>
      </c>
      <c r="B13" s="1">
        <f t="shared" si="2"/>
        <v>6</v>
      </c>
      <c r="C13" s="1" t="s">
        <v>15</v>
      </c>
      <c r="D13" s="2">
        <f t="shared" si="3"/>
        <v>3.6086222370502026E-2</v>
      </c>
      <c r="E13" s="12">
        <f>IF(A13=19,SUMIFS('Summary All - updated May25'!F:F,'Summary All - updated May25'!A:A,A13)+SUMIFS('Summary All - updated May25'!F:F,'Summary All - updated May25'!A:A,45),IF(A13=45,0,SUMIFS('Summary All - updated May25'!F:F,'Summary All - updated May25'!A:A,A13)))</f>
        <v>33887769.806573279</v>
      </c>
      <c r="F13" s="12">
        <f>-1*(IF(A13=19,SUMIFS('Summary All - updated May25'!E:E,'Summary All - updated May25'!A:A,A13)+SUMIFS('Summary All - updated May25'!E:E,'Summary All - updated May25'!A:A,45),IF(A13=45,0,SUMIFS('Summary All - updated May25'!E:E,'Summary All - updated May25'!A:A,A13))))</f>
        <v>-1293905.4612312422</v>
      </c>
      <c r="G13" s="12">
        <f t="shared" si="8"/>
        <v>32593864.345342036</v>
      </c>
      <c r="H13" s="12">
        <f t="shared" si="4"/>
        <v>1176189.4366799903</v>
      </c>
      <c r="I13" s="12">
        <f>IFERROR(VLOOKUP(A13,'CDS-A Study 2024 over 2023'!$A$3:$J$50,10,FALSE),0)</f>
        <v>521993.25100000005</v>
      </c>
      <c r="J13" s="12">
        <f t="shared" si="5"/>
        <v>527213.18351</v>
      </c>
      <c r="K13" s="37">
        <f>VLOOKUP(A13,'Summary All'!A10:$G$56,7,FALSE)</f>
        <v>1.1191143641826482</v>
      </c>
      <c r="L13" s="12">
        <f t="shared" si="9"/>
        <v>5900.1184665250348</v>
      </c>
      <c r="M13" s="2">
        <f t="shared" si="6"/>
        <v>1.8101929872479868E-4</v>
      </c>
      <c r="N13" s="12">
        <f t="shared" si="7"/>
        <v>1182089.5551465154</v>
      </c>
      <c r="O13" s="2">
        <f t="shared" si="1"/>
        <v>3.6267241669226832E-2</v>
      </c>
      <c r="P13" s="2"/>
      <c r="Q13" s="12"/>
      <c r="R13" s="12"/>
    </row>
    <row r="14" spans="1:26" x14ac:dyDescent="0.25">
      <c r="A14" s="1">
        <v>8</v>
      </c>
      <c r="B14" s="1">
        <f t="shared" si="2"/>
        <v>8</v>
      </c>
      <c r="C14" s="1" t="s">
        <v>16</v>
      </c>
      <c r="D14" s="2">
        <f t="shared" si="3"/>
        <v>3.6086222370502026E-2</v>
      </c>
      <c r="E14" s="12">
        <f>IF(A14=19,SUMIFS('Summary All - updated May25'!F:F,'Summary All - updated May25'!A:A,A14)+SUMIFS('Summary All - updated May25'!F:F,'Summary All - updated May25'!A:A,45),IF(A14=45,0,SUMIFS('Summary All - updated May25'!F:F,'Summary All - updated May25'!A:A,A14)))</f>
        <v>717961424.61935115</v>
      </c>
      <c r="F14" s="12">
        <f>-1*(IF(A14=19,SUMIFS('Summary All - updated May25'!E:E,'Summary All - updated May25'!A:A,A14)+SUMIFS('Summary All - updated May25'!E:E,'Summary All - updated May25'!A:A,45),IF(A14=45,0,SUMIFS('Summary All - updated May25'!E:E,'Summary All - updated May25'!A:A,A14))))</f>
        <v>-20331697.654077351</v>
      </c>
      <c r="G14" s="12">
        <f t="shared" si="8"/>
        <v>697629726.96527386</v>
      </c>
      <c r="H14" s="12">
        <f t="shared" si="4"/>
        <v>25174821.459541485</v>
      </c>
      <c r="I14" s="12">
        <f>IFERROR(VLOOKUP(A14,'CDS-A Study 2024 over 2023'!$A$3:$J$50,10,FALSE),0)</f>
        <v>11403072.745039936</v>
      </c>
      <c r="J14" s="12">
        <f t="shared" si="5"/>
        <v>11517103.472490335</v>
      </c>
      <c r="K14" s="37">
        <f>VLOOKUP(A14,'Summary All'!A11:$G$56,7,FALSE)</f>
        <v>1.1117214986698161</v>
      </c>
      <c r="L14" s="12">
        <f t="shared" si="9"/>
        <v>128038.11532772298</v>
      </c>
      <c r="M14" s="2">
        <f t="shared" si="6"/>
        <v>1.8353305539988316E-4</v>
      </c>
      <c r="N14" s="12">
        <f t="shared" si="7"/>
        <v>25302859.574869208</v>
      </c>
      <c r="O14" s="2">
        <f t="shared" si="1"/>
        <v>3.6269755425901905E-2</v>
      </c>
      <c r="P14" s="2"/>
      <c r="Q14" s="12"/>
      <c r="R14" s="12"/>
    </row>
    <row r="15" spans="1:26" x14ac:dyDescent="0.25">
      <c r="A15" s="1">
        <v>9</v>
      </c>
      <c r="B15" s="1">
        <f t="shared" si="2"/>
        <v>9</v>
      </c>
      <c r="C15" s="1" t="s">
        <v>17</v>
      </c>
      <c r="D15" s="2">
        <f>$D$5</f>
        <v>3.6086222370502026E-2</v>
      </c>
      <c r="E15" s="12">
        <f>IF(A15=19,SUMIFS('Summary All - updated May25'!F:F,'Summary All - updated May25'!A:A,A15)+SUMIFS('Summary All - updated May25'!F:F,'Summary All - updated May25'!A:A,45),IF(A15=45,0,SUMIFS('Summary All - updated May25'!F:F,'Summary All - updated May25'!A:A,A15)))</f>
        <v>3309701300.9494066</v>
      </c>
      <c r="F15" s="12">
        <f>-1*(IF(A15=19,SUMIFS('Summary All - updated May25'!E:E,'Summary All - updated May25'!A:A,A15)+SUMIFS('Summary All - updated May25'!E:E,'Summary All - updated May25'!A:A,45),IF(A15=45,0,SUMIFS('Summary All - updated May25'!E:E,'Summary All - updated May25'!A:A,A15))))</f>
        <v>-135577807.73944077</v>
      </c>
      <c r="G15" s="12">
        <f t="shared" si="8"/>
        <v>3174123493.2099657</v>
      </c>
      <c r="H15" s="12">
        <f t="shared" si="4"/>
        <v>114542126.2074095</v>
      </c>
      <c r="I15" s="12">
        <f>IFERROR(VLOOKUP(A15,'CDS-A Study 2024 over 2023'!$A$3:$J$50,10,FALSE),0)</f>
        <v>131523852.72806339</v>
      </c>
      <c r="J15" s="12">
        <f t="shared" si="5"/>
        <v>132839091.25534402</v>
      </c>
      <c r="K15" s="37">
        <f>VLOOKUP(A15,'Summary All'!A12:$G$56,7,FALSE)</f>
        <v>1.1077312682949558</v>
      </c>
      <c r="L15" s="12">
        <f t="shared" si="9"/>
        <v>1471500.150354316</v>
      </c>
      <c r="M15" s="2">
        <f t="shared" si="6"/>
        <v>4.6359259603544905E-4</v>
      </c>
      <c r="N15" s="12">
        <f t="shared" si="7"/>
        <v>116013626.35776381</v>
      </c>
      <c r="O15" s="2">
        <f t="shared" si="1"/>
        <v>3.6549814966537475E-2</v>
      </c>
      <c r="P15" s="2"/>
      <c r="Q15" s="12"/>
      <c r="R15" s="12"/>
    </row>
    <row r="16" spans="1:26" x14ac:dyDescent="0.25">
      <c r="A16" s="1">
        <v>10</v>
      </c>
      <c r="B16" s="1">
        <f t="shared" si="2"/>
        <v>10</v>
      </c>
      <c r="C16" s="1" t="s">
        <v>18</v>
      </c>
      <c r="D16" s="2">
        <f t="shared" si="3"/>
        <v>3.6086222370502026E-2</v>
      </c>
      <c r="E16" s="12">
        <f>IF(A16=19,SUMIFS('Summary All - updated May25'!F:F,'Summary All - updated May25'!A:A,A16)+SUMIFS('Summary All - updated May25'!F:F,'Summary All - updated May25'!A:A,45),IF(A16=45,0,SUMIFS('Summary All - updated May25'!F:F,'Summary All - updated May25'!A:A,A16)))</f>
        <v>17478978.493925173</v>
      </c>
      <c r="F16" s="12">
        <f>-1*(IF(A16=19,SUMIFS('Summary All - updated May25'!E:E,'Summary All - updated May25'!A:A,A16)+SUMIFS('Summary All - updated May25'!E:E,'Summary All - updated May25'!A:A,45),IF(A16=45,0,SUMIFS('Summary All - updated May25'!E:E,'Summary All - updated May25'!A:A,A16))))</f>
        <v>-504569.09044597385</v>
      </c>
      <c r="G16" s="12">
        <f t="shared" si="8"/>
        <v>16974409.4034792</v>
      </c>
      <c r="H16" s="12">
        <f t="shared" si="4"/>
        <v>612542.312341891</v>
      </c>
      <c r="I16" s="12">
        <f>IFERROR(VLOOKUP(A16,'CDS-A Study 2024 over 2023'!$A$3:$J$50,10,FALSE),0)</f>
        <v>59510.298000000003</v>
      </c>
      <c r="J16" s="12">
        <f t="shared" si="5"/>
        <v>60105.400980000006</v>
      </c>
      <c r="K16" s="37">
        <f>VLOOKUP(A16,'Summary All'!A13:$G$56,7,FALSE)</f>
        <v>1.1702600652609856</v>
      </c>
      <c r="L16" s="12">
        <f t="shared" si="9"/>
        <v>703.38950473392515</v>
      </c>
      <c r="M16" s="2">
        <f t="shared" si="6"/>
        <v>4.1438231399659375E-5</v>
      </c>
      <c r="N16" s="12">
        <f t="shared" si="7"/>
        <v>613245.70184662496</v>
      </c>
      <c r="O16" s="2">
        <f t="shared" si="1"/>
        <v>3.6127660601901687E-2</v>
      </c>
      <c r="P16" s="2"/>
      <c r="Q16" s="12"/>
      <c r="R16" s="12"/>
    </row>
    <row r="17" spans="1:26" x14ac:dyDescent="0.25">
      <c r="A17" s="1">
        <v>11</v>
      </c>
      <c r="B17" s="1">
        <f t="shared" si="2"/>
        <v>11</v>
      </c>
      <c r="C17" s="1" t="s">
        <v>19</v>
      </c>
      <c r="D17" s="2">
        <f t="shared" si="3"/>
        <v>3.6086222370502026E-2</v>
      </c>
      <c r="E17" s="12">
        <f>IF(A17=19,SUMIFS('Summary All - updated May25'!F:F,'Summary All - updated May25'!A:A,A17)+SUMIFS('Summary All - updated May25'!F:F,'Summary All - updated May25'!A:A,45),IF(A17=45,0,SUMIFS('Summary All - updated May25'!F:F,'Summary All - updated May25'!A:A,A17)))</f>
        <v>567829402.04519999</v>
      </c>
      <c r="F17" s="12">
        <f>-1*(IF(A17=19,SUMIFS('Summary All - updated May25'!E:E,'Summary All - updated May25'!A:A,A17)+SUMIFS('Summary All - updated May25'!E:E,'Summary All - updated May25'!A:A,45),IF(A17=45,0,SUMIFS('Summary All - updated May25'!E:E,'Summary All - updated May25'!A:A,A17))))</f>
        <v>-40362567.167884447</v>
      </c>
      <c r="G17" s="12">
        <f t="shared" si="8"/>
        <v>527466834.87731552</v>
      </c>
      <c r="H17" s="12">
        <f t="shared" si="4"/>
        <v>19034285.496447682</v>
      </c>
      <c r="I17" s="12">
        <f>IFERROR(VLOOKUP(A17,'CDS-A Study 2024 over 2023'!$A$3:$J$50,10,FALSE),0)</f>
        <v>12904246.985234728</v>
      </c>
      <c r="J17" s="12">
        <f t="shared" si="5"/>
        <v>13033289.455087075</v>
      </c>
      <c r="K17" s="37">
        <f>VLOOKUP(A17,'Summary All'!A14:$G$56,7,FALSE)</f>
        <v>1.117959076351269</v>
      </c>
      <c r="L17" s="12">
        <f t="shared" si="9"/>
        <v>145706.8424102788</v>
      </c>
      <c r="M17" s="2">
        <f t="shared" si="6"/>
        <v>2.7623886996453346E-4</v>
      </c>
      <c r="N17" s="12">
        <f t="shared" si="7"/>
        <v>19179992.33885796</v>
      </c>
      <c r="O17" s="2">
        <f t="shared" si="1"/>
        <v>3.6362461240466555E-2</v>
      </c>
      <c r="P17" s="2"/>
      <c r="Q17" s="12"/>
      <c r="R17" s="12"/>
    </row>
    <row r="18" spans="1:26" x14ac:dyDescent="0.25">
      <c r="A18" s="1">
        <v>12</v>
      </c>
      <c r="B18" s="1">
        <f t="shared" si="2"/>
        <v>12</v>
      </c>
      <c r="C18" s="1" t="s">
        <v>20</v>
      </c>
      <c r="D18" s="2">
        <f t="shared" si="3"/>
        <v>3.6086222370502026E-2</v>
      </c>
      <c r="E18" s="12">
        <f>IF(A18=19,SUMIFS('Summary All - updated May25'!F:F,'Summary All - updated May25'!A:A,A18)+SUMIFS('Summary All - updated May25'!F:F,'Summary All - updated May25'!A:A,45),IF(A18=45,0,SUMIFS('Summary All - updated May25'!F:F,'Summary All - updated May25'!A:A,A18)))</f>
        <v>991954505.00303125</v>
      </c>
      <c r="F18" s="12">
        <f>-1*(IF(A18=19,SUMIFS('Summary All - updated May25'!E:E,'Summary All - updated May25'!A:A,A18)+SUMIFS('Summary All - updated May25'!E:E,'Summary All - updated May25'!A:A,45),IF(A18=45,0,SUMIFS('Summary All - updated May25'!E:E,'Summary All - updated May25'!A:A,A18))))</f>
        <v>-25428962.158668239</v>
      </c>
      <c r="G18" s="12">
        <f t="shared" si="8"/>
        <v>966525542.84436297</v>
      </c>
      <c r="H18" s="12">
        <f t="shared" si="4"/>
        <v>34878255.665851869</v>
      </c>
      <c r="I18" s="12">
        <f>IFERROR(VLOOKUP(A18,'CDS-A Study 2024 over 2023'!$A$3:$J$50,10,FALSE),0)</f>
        <v>19331391.246360492</v>
      </c>
      <c r="J18" s="12">
        <f t="shared" si="5"/>
        <v>19524705.158824097</v>
      </c>
      <c r="K18" s="37">
        <f>VLOOKUP(A18,'Summary All'!A15:$G$56,7,FALSE)</f>
        <v>1.1232376192605842</v>
      </c>
      <c r="L18" s="12">
        <f>J18*K18*$L$5+(J33*K33*$L$5)</f>
        <v>359019.3715747887</v>
      </c>
      <c r="M18" s="2">
        <f t="shared" si="6"/>
        <v>3.7145357847268051E-4</v>
      </c>
      <c r="N18" s="12">
        <f>H18+L18+L33</f>
        <v>35237275.037426658</v>
      </c>
      <c r="O18" s="2">
        <f t="shared" si="1"/>
        <v>3.6457675948974713E-2</v>
      </c>
      <c r="P18" s="2"/>
      <c r="Q18" s="12"/>
      <c r="R18" s="12"/>
    </row>
    <row r="19" spans="1:26" x14ac:dyDescent="0.25">
      <c r="A19" s="1">
        <v>13</v>
      </c>
      <c r="B19" s="1">
        <f t="shared" si="2"/>
        <v>13</v>
      </c>
      <c r="C19" s="1" t="s">
        <v>21</v>
      </c>
      <c r="D19" s="2">
        <f t="shared" si="3"/>
        <v>3.6086222370502026E-2</v>
      </c>
      <c r="E19" s="12">
        <f>IF(A19=19,SUMIFS('Summary All - updated May25'!F:F,'Summary All - updated May25'!A:A,A19)+SUMIFS('Summary All - updated May25'!F:F,'Summary All - updated May25'!A:A,45),IF(A19=45,0,SUMIFS('Summary All - updated May25'!F:F,'Summary All - updated May25'!A:A,A19)))</f>
        <v>34996530.542581186</v>
      </c>
      <c r="F19" s="12">
        <f>-1*(IF(A19=19,SUMIFS('Summary All - updated May25'!E:E,'Summary All - updated May25'!A:A,A19)+SUMIFS('Summary All - updated May25'!E:E,'Summary All - updated May25'!A:A,45),IF(A19=45,0,SUMIFS('Summary All - updated May25'!E:E,'Summary All - updated May25'!A:A,A19))))</f>
        <v>-1254493.2517298202</v>
      </c>
      <c r="G19" s="12">
        <f t="shared" si="8"/>
        <v>33742037.290851362</v>
      </c>
      <c r="H19" s="12">
        <f t="shared" si="4"/>
        <v>1217622.6609114341</v>
      </c>
      <c r="I19" s="12">
        <f>IFERROR(VLOOKUP(A19,'CDS-A Study 2024 over 2023'!$A$3:$J$50,10,FALSE),0)</f>
        <v>0</v>
      </c>
      <c r="J19" s="12">
        <f t="shared" si="5"/>
        <v>0</v>
      </c>
      <c r="K19" s="37">
        <f>VLOOKUP(A19,'Summary All'!A16:$G$56,7,FALSE)</f>
        <v>1.0933441127280834</v>
      </c>
      <c r="L19" s="12">
        <f t="shared" si="9"/>
        <v>0</v>
      </c>
      <c r="M19" s="2">
        <f t="shared" si="6"/>
        <v>0</v>
      </c>
      <c r="N19" s="12">
        <f t="shared" ref="N19:N32" si="10">H19+L19</f>
        <v>1217622.6609114341</v>
      </c>
      <c r="O19" s="2">
        <f t="shared" si="1"/>
        <v>3.6086222370502026E-2</v>
      </c>
      <c r="P19" s="2"/>
      <c r="Q19" s="12"/>
      <c r="R19" s="12"/>
    </row>
    <row r="20" spans="1:26" x14ac:dyDescent="0.25">
      <c r="A20" s="1">
        <v>15</v>
      </c>
      <c r="B20" s="1">
        <f t="shared" si="2"/>
        <v>15</v>
      </c>
      <c r="C20" s="1" t="s">
        <v>22</v>
      </c>
      <c r="D20" s="2">
        <f t="shared" si="3"/>
        <v>3.6086222370502026E-2</v>
      </c>
      <c r="E20" s="12">
        <f>IF(A20=19,SUMIFS('Summary All - updated May25'!F:F,'Summary All - updated May25'!A:A,A20)+SUMIFS('Summary All - updated May25'!F:F,'Summary All - updated May25'!A:A,45),IF(A20=45,0,SUMIFS('Summary All - updated May25'!F:F,'Summary All - updated May25'!A:A,A20)))</f>
        <v>741428412.49041414</v>
      </c>
      <c r="F20" s="12">
        <f>-1*(IF(A20=19,SUMIFS('Summary All - updated May25'!E:E,'Summary All - updated May25'!A:A,A20)+SUMIFS('Summary All - updated May25'!E:E,'Summary All - updated May25'!A:A,45),IF(A20=45,0,SUMIFS('Summary All - updated May25'!E:E,'Summary All - updated May25'!A:A,A20))))</f>
        <v>-48174740.325134575</v>
      </c>
      <c r="G20" s="12">
        <f t="shared" si="8"/>
        <v>693253672.16527963</v>
      </c>
      <c r="H20" s="12">
        <f t="shared" si="4"/>
        <v>25016906.17292339</v>
      </c>
      <c r="I20" s="12">
        <f>IFERROR(VLOOKUP(A20,'CDS-A Study 2024 over 2023'!$A$3:$J$50,10,FALSE),0)</f>
        <v>30823892.469795655</v>
      </c>
      <c r="J20" s="12">
        <f t="shared" si="5"/>
        <v>31132131.394493613</v>
      </c>
      <c r="K20" s="37">
        <f>VLOOKUP(A20,'Summary All'!A17:$G$56,7,FALSE)</f>
        <v>1.1235731542051195</v>
      </c>
      <c r="L20" s="12">
        <f t="shared" si="9"/>
        <v>349792.2706803942</v>
      </c>
      <c r="M20" s="2">
        <f t="shared" si="6"/>
        <v>5.0456605529094079E-4</v>
      </c>
      <c r="N20" s="12">
        <f t="shared" si="10"/>
        <v>25366698.443603784</v>
      </c>
      <c r="O20" s="2">
        <f t="shared" si="1"/>
        <v>3.6590788425792962E-2</v>
      </c>
      <c r="P20" s="2"/>
      <c r="Q20" s="12"/>
      <c r="R20" s="12"/>
    </row>
    <row r="21" spans="1:26" ht="15.75" customHeight="1" x14ac:dyDescent="0.25">
      <c r="A21" s="1">
        <v>16</v>
      </c>
      <c r="B21" s="1">
        <f t="shared" si="2"/>
        <v>16</v>
      </c>
      <c r="C21" s="1" t="s">
        <v>23</v>
      </c>
      <c r="D21" s="2">
        <f t="shared" si="3"/>
        <v>3.6086222370502026E-2</v>
      </c>
      <c r="E21" s="12">
        <f>IF(A21=19,SUMIFS('Summary All - updated May25'!F:F,'Summary All - updated May25'!A:A,A21)+SUMIFS('Summary All - updated May25'!F:F,'Summary All - updated May25'!A:A,45),IF(A21=45,0,SUMIFS('Summary All - updated May25'!F:F,'Summary All - updated May25'!A:A,A21)))</f>
        <v>417226607.38412577</v>
      </c>
      <c r="F21" s="12">
        <f>-1*(IF(A21=19,SUMIFS('Summary All - updated May25'!E:E,'Summary All - updated May25'!A:A,A21)+SUMIFS('Summary All - updated May25'!E:E,'Summary All - updated May25'!A:A,45),IF(A21=45,0,SUMIFS('Summary All - updated May25'!E:E,'Summary All - updated May25'!A:A,A21))))</f>
        <v>-24143390.527321838</v>
      </c>
      <c r="G21" s="12">
        <f t="shared" si="8"/>
        <v>393083216.85680395</v>
      </c>
      <c r="H21" s="12">
        <f t="shared" si="4"/>
        <v>14184888.373606898</v>
      </c>
      <c r="I21" s="12">
        <f>IFERROR(VLOOKUP(A21,'CDS-A Study 2024 over 2023'!$A$3:$J$50,10,FALSE),0)</f>
        <v>149114.27448018824</v>
      </c>
      <c r="J21" s="12">
        <f t="shared" si="5"/>
        <v>150605.41722499012</v>
      </c>
      <c r="K21" s="37">
        <f>VLOOKUP(A21,'Summary All'!A18:$G$56,7,FALSE)</f>
        <v>1.1239447473962789</v>
      </c>
      <c r="L21" s="12">
        <f t="shared" si="9"/>
        <v>1692.7216761945274</v>
      </c>
      <c r="M21" s="2">
        <f t="shared" si="6"/>
        <v>4.3062679951842566E-6</v>
      </c>
      <c r="N21" s="12">
        <f t="shared" si="10"/>
        <v>14186581.095283093</v>
      </c>
      <c r="O21" s="2">
        <f t="shared" si="1"/>
        <v>3.609052863849721E-2</v>
      </c>
      <c r="P21" s="2"/>
      <c r="Q21" s="12"/>
      <c r="R21" s="12"/>
    </row>
    <row r="22" spans="1:26" ht="15.75" customHeight="1" x14ac:dyDescent="0.25">
      <c r="A22" s="1">
        <v>17</v>
      </c>
      <c r="B22" s="1">
        <f t="shared" si="2"/>
        <v>17</v>
      </c>
      <c r="C22" s="1" t="s">
        <v>24</v>
      </c>
      <c r="D22" s="2">
        <f t="shared" si="3"/>
        <v>3.6086222370502026E-2</v>
      </c>
      <c r="E22" s="12">
        <f>IF(A22=19,SUMIFS('Summary All - updated May25'!F:F,'Summary All - updated May25'!A:A,A22)+SUMIFS('Summary All - updated May25'!F:F,'Summary All - updated May25'!A:A,45),IF(A22=45,0,SUMIFS('Summary All - updated May25'!F:F,'Summary All - updated May25'!A:A,A22)))</f>
        <v>98002407.544808418</v>
      </c>
      <c r="F22" s="12">
        <f>-1*(IF(A22=19,SUMIFS('Summary All - updated May25'!E:E,'Summary All - updated May25'!A:A,A22)+SUMIFS('Summary All - updated May25'!E:E,'Summary All - updated May25'!A:A,45),IF(A22=45,0,SUMIFS('Summary All - updated May25'!E:E,'Summary All - updated May25'!A:A,A22))))</f>
        <v>-3261412.480094682</v>
      </c>
      <c r="G22" s="12">
        <f t="shared" si="8"/>
        <v>94740995.064713731</v>
      </c>
      <c r="H22" s="12">
        <f t="shared" si="4"/>
        <v>3418844.6155078947</v>
      </c>
      <c r="I22" s="12">
        <f>IFERROR(VLOOKUP(A22,'CDS-A Study 2024 over 2023'!$A$3:$J$50,10,FALSE),0)</f>
        <v>4165073.7543958295</v>
      </c>
      <c r="J22" s="12">
        <f t="shared" si="5"/>
        <v>4206724.4919397878</v>
      </c>
      <c r="K22" s="37">
        <f>VLOOKUP(A22,'Summary All'!A19:$G$56,7,FALSE)</f>
        <v>1.1220078240126943</v>
      </c>
      <c r="L22" s="12">
        <f t="shared" si="9"/>
        <v>47199.777934222679</v>
      </c>
      <c r="M22" s="2">
        <f t="shared" si="6"/>
        <v>4.9819803878967518E-4</v>
      </c>
      <c r="N22" s="12">
        <f t="shared" si="10"/>
        <v>3466044.3934421171</v>
      </c>
      <c r="O22" s="2">
        <f t="shared" si="1"/>
        <v>3.6584420409291697E-2</v>
      </c>
      <c r="P22" s="15"/>
      <c r="Q22" s="12"/>
      <c r="R22" s="12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>
        <v>18</v>
      </c>
      <c r="B23" s="1">
        <f t="shared" si="2"/>
        <v>18</v>
      </c>
      <c r="C23" s="1" t="s">
        <v>25</v>
      </c>
      <c r="D23" s="2">
        <f t="shared" si="3"/>
        <v>3.6086222370502026E-2</v>
      </c>
      <c r="E23" s="12">
        <f>IF(A23=19,SUMIFS('Summary All - updated May25'!F:F,'Summary All - updated May25'!A:A,A23)+SUMIFS('Summary All - updated May25'!F:F,'Summary All - updated May25'!A:A,45),IF(A23=45,0,SUMIFS('Summary All - updated May25'!F:F,'Summary All - updated May25'!A:A,A23)))</f>
        <v>241894847.17612523</v>
      </c>
      <c r="F23" s="12">
        <f>-1*(IF(A23=19,SUMIFS('Summary All - updated May25'!E:E,'Summary All - updated May25'!A:A,A23)+SUMIFS('Summary All - updated May25'!E:E,'Summary All - updated May25'!A:A,45),IF(A23=45,0,SUMIFS('Summary All - updated May25'!E:E,'Summary All - updated May25'!A:A,A23))))</f>
        <v>-17976426.080429744</v>
      </c>
      <c r="G23" s="12">
        <f t="shared" si="8"/>
        <v>223918421.0956955</v>
      </c>
      <c r="H23" s="12">
        <f t="shared" si="4"/>
        <v>8080369.9365109792</v>
      </c>
      <c r="I23" s="12">
        <f>IFERROR(VLOOKUP(A23,'CDS-A Study 2024 over 2023'!$A$3:$J$50,10,FALSE),0)</f>
        <v>7710041.947399999</v>
      </c>
      <c r="J23" s="12">
        <f t="shared" si="5"/>
        <v>7787142.3668739991</v>
      </c>
      <c r="K23" s="37">
        <f>VLOOKUP(A23,'Summary All'!A20:$G$56,7,FALSE)</f>
        <v>1.118484996717898</v>
      </c>
      <c r="L23" s="12">
        <f t="shared" si="9"/>
        <v>87098.019046548696</v>
      </c>
      <c r="M23" s="2">
        <f t="shared" si="6"/>
        <v>3.889721025199879E-4</v>
      </c>
      <c r="N23" s="12">
        <f t="shared" si="10"/>
        <v>8167467.955557528</v>
      </c>
      <c r="O23" s="2">
        <f t="shared" si="1"/>
        <v>3.6475194473022013E-2</v>
      </c>
      <c r="P23" s="2"/>
      <c r="Q23" s="12"/>
      <c r="R23" s="12"/>
    </row>
    <row r="24" spans="1:26" ht="15.75" customHeight="1" x14ac:dyDescent="0.25">
      <c r="A24" s="1">
        <v>19</v>
      </c>
      <c r="B24" s="1">
        <f t="shared" si="2"/>
        <v>19</v>
      </c>
      <c r="C24" s="1" t="s">
        <v>26</v>
      </c>
      <c r="D24" s="2">
        <f t="shared" si="3"/>
        <v>3.6086222370502026E-2</v>
      </c>
      <c r="E24" s="12">
        <f>IF(A24=19,SUMIFS('Summary All - updated May25'!F:F,'Summary All - updated May25'!A:A,A24)+SUMIFS('Summary All - updated May25'!F:F,'Summary All - updated May25'!A:A,45),IF(A24=45,0,SUMIFS('Summary All - updated May25'!F:F,'Summary All - updated May25'!A:A,A24)))</f>
        <v>655907852.72785258</v>
      </c>
      <c r="F24" s="12">
        <f>-1*(IF(A24=19,SUMIFS('Summary All - updated May25'!E:E,'Summary All - updated May25'!A:A,A24)+SUMIFS('Summary All - updated May25'!E:E,'Summary All - updated May25'!A:A,45),IF(A24=45,0,SUMIFS('Summary All - updated May25'!E:E,'Summary All - updated May25'!A:A,A24))))</f>
        <v>-26348303.451740853</v>
      </c>
      <c r="G24" s="12">
        <f>SUM(E24:F24)</f>
        <v>629559549.27611172</v>
      </c>
      <c r="H24" s="12">
        <f t="shared" si="4"/>
        <v>22718425.890650794</v>
      </c>
      <c r="I24" s="12">
        <f>IFERROR(VLOOKUP(A24,'CDS-A Study 2024 over 2023'!$A$3:$J$50,10,FALSE),0)</f>
        <v>4967277.4458765639</v>
      </c>
      <c r="J24" s="12">
        <f t="shared" si="5"/>
        <v>5016950.2203353299</v>
      </c>
      <c r="K24" s="37">
        <f>VLOOKUP(A24,'Summary All'!A21:$G$56,7,FALSE)</f>
        <v>1.1267437070730897</v>
      </c>
      <c r="L24" s="12">
        <f>J24*K24*$L$5</f>
        <v>56528.170894617841</v>
      </c>
      <c r="M24" s="2">
        <f t="shared" si="6"/>
        <v>8.9790030124419187E-5</v>
      </c>
      <c r="N24" s="12">
        <f>H24+L24</f>
        <v>22774954.061545413</v>
      </c>
      <c r="O24" s="2">
        <f t="shared" si="1"/>
        <v>3.6176012400626442E-2</v>
      </c>
      <c r="P24" s="2"/>
      <c r="Q24" s="12"/>
      <c r="R24" s="12"/>
    </row>
    <row r="25" spans="1:26" ht="15.75" customHeight="1" x14ac:dyDescent="0.25">
      <c r="A25" s="1">
        <v>22</v>
      </c>
      <c r="B25" s="1">
        <f t="shared" si="2"/>
        <v>22</v>
      </c>
      <c r="C25" s="1" t="s">
        <v>27</v>
      </c>
      <c r="D25" s="2">
        <f t="shared" si="3"/>
        <v>3.6086222370502026E-2</v>
      </c>
      <c r="E25" s="12">
        <f>IF(A25=19,SUMIFS('Summary All - updated May25'!F:F,'Summary All - updated May25'!A:A,A25)+SUMIFS('Summary All - updated May25'!F:F,'Summary All - updated May25'!A:A,45),IF(A25=45,0,SUMIFS('Summary All - updated May25'!F:F,'Summary All - updated May25'!A:A,A25)))</f>
        <v>467639544.41219473</v>
      </c>
      <c r="F25" s="12">
        <f>-1*(IF(A25=19,SUMIFS('Summary All - updated May25'!E:E,'Summary All - updated May25'!A:A,A25)+SUMIFS('Summary All - updated May25'!E:E,'Summary All - updated May25'!A:A,45),IF(A25=45,0,SUMIFS('Summary All - updated May25'!E:E,'Summary All - updated May25'!A:A,A25))))</f>
        <v>-16286346.908683475</v>
      </c>
      <c r="G25" s="12">
        <f t="shared" si="8"/>
        <v>451353197.50351125</v>
      </c>
      <c r="H25" s="12">
        <f t="shared" si="4"/>
        <v>16287631.852748826</v>
      </c>
      <c r="I25" s="12">
        <f>IFERROR(VLOOKUP(A25,'CDS-A Study 2024 over 2023'!$A$3:$J$50,10,FALSE),0)</f>
        <v>333864.90099999995</v>
      </c>
      <c r="J25" s="12">
        <f t="shared" si="5"/>
        <v>337203.55000999995</v>
      </c>
      <c r="K25" s="37">
        <f>VLOOKUP(A25,'Summary All'!A22:$G$56,7,FALSE)</f>
        <v>1.1090401679615984</v>
      </c>
      <c r="L25" s="12">
        <f t="shared" si="9"/>
        <v>3739.7228174033762</v>
      </c>
      <c r="M25" s="2">
        <f t="shared" si="6"/>
        <v>8.2855795374625288E-6</v>
      </c>
      <c r="N25" s="12">
        <f t="shared" si="10"/>
        <v>16291371.57556623</v>
      </c>
      <c r="O25" s="2">
        <f t="shared" si="1"/>
        <v>3.6094507950039489E-2</v>
      </c>
      <c r="P25" s="2"/>
      <c r="Q25" s="12"/>
      <c r="R25" s="12"/>
    </row>
    <row r="26" spans="1:26" ht="15.75" customHeight="1" x14ac:dyDescent="0.25">
      <c r="A26" s="1">
        <v>23</v>
      </c>
      <c r="B26" s="1">
        <f t="shared" si="2"/>
        <v>23</v>
      </c>
      <c r="C26" s="1" t="s">
        <v>28</v>
      </c>
      <c r="D26" s="2">
        <f t="shared" si="3"/>
        <v>3.6086222370502026E-2</v>
      </c>
      <c r="E26" s="12">
        <f>IF(A26=19,SUMIFS('Summary All - updated May25'!F:F,'Summary All - updated May25'!A:A,A26)+SUMIFS('Summary All - updated May25'!F:F,'Summary All - updated May25'!A:A,45),IF(A26=45,0,SUMIFS('Summary All - updated May25'!F:F,'Summary All - updated May25'!A:A,A26)))</f>
        <v>791578682.02538919</v>
      </c>
      <c r="F26" s="12">
        <f>-1*(IF(A26=19,SUMIFS('Summary All - updated May25'!E:E,'Summary All - updated May25'!A:A,A26)+SUMIFS('Summary All - updated May25'!E:E,'Summary All - updated May25'!A:A,45),IF(A26=45,0,SUMIFS('Summary All - updated May25'!E:E,'Summary All - updated May25'!A:A,A26))))</f>
        <v>-28733670.74528908</v>
      </c>
      <c r="G26" s="12">
        <f t="shared" si="8"/>
        <v>762845011.28010011</v>
      </c>
      <c r="H26" s="12">
        <f t="shared" si="4"/>
        <v>27528194.711281817</v>
      </c>
      <c r="I26" s="12">
        <f>IFERROR(VLOOKUP(A26,'CDS-A Study 2024 over 2023'!$A$3:$J$50,10,FALSE),0)</f>
        <v>3037702.2939999993</v>
      </c>
      <c r="J26" s="12">
        <f t="shared" si="5"/>
        <v>3068079.3169399993</v>
      </c>
      <c r="K26" s="37">
        <f>VLOOKUP(A26,'Summary All'!A23:$G$56,7,FALSE)</f>
        <v>1.109936057284536</v>
      </c>
      <c r="L26" s="12">
        <f t="shared" si="9"/>
        <v>34053.718604806156</v>
      </c>
      <c r="M26" s="2">
        <f t="shared" si="6"/>
        <v>4.4640415944599225E-5</v>
      </c>
      <c r="N26" s="12">
        <f t="shared" si="10"/>
        <v>27562248.429886624</v>
      </c>
      <c r="O26" s="2">
        <f t="shared" si="1"/>
        <v>3.6130862786446623E-2</v>
      </c>
      <c r="P26" s="2"/>
      <c r="Q26" s="12"/>
      <c r="R26" s="12"/>
    </row>
    <row r="27" spans="1:26" ht="15.75" customHeight="1" x14ac:dyDescent="0.25">
      <c r="A27" s="1">
        <v>24</v>
      </c>
      <c r="B27" s="1">
        <f t="shared" si="2"/>
        <v>24</v>
      </c>
      <c r="C27" s="1" t="s">
        <v>29</v>
      </c>
      <c r="D27" s="2">
        <f t="shared" si="3"/>
        <v>3.6086222370502026E-2</v>
      </c>
      <c r="E27" s="12">
        <f>IF(A27=19,SUMIFS('Summary All - updated May25'!F:F,'Summary All - updated May25'!A:A,A27)+SUMIFS('Summary All - updated May25'!F:F,'Summary All - updated May25'!A:A,45),IF(A27=45,0,SUMIFS('Summary All - updated May25'!F:F,'Summary All - updated May25'!A:A,A27)))</f>
        <v>524976000.28557247</v>
      </c>
      <c r="F27" s="12">
        <f>-1*(IF(A27=19,SUMIFS('Summary All - updated May25'!E:E,'Summary All - updated May25'!A:A,A27)+SUMIFS('Summary All - updated May25'!E:E,'Summary All - updated May25'!A:A,45),IF(A27=45,0,SUMIFS('Summary All - updated May25'!E:E,'Summary All - updated May25'!A:A,A27))))</f>
        <v>-21495632.351426352</v>
      </c>
      <c r="G27" s="12">
        <f>SUM(E27:F27)</f>
        <v>503480367.93414611</v>
      </c>
      <c r="H27" s="12">
        <f t="shared" si="4"/>
        <v>18168704.516453773</v>
      </c>
      <c r="I27" s="12">
        <f>IFERROR(VLOOKUP(A27,'CDS-A Study 2024 over 2023'!$A$3:$J$50,10,FALSE),0)</f>
        <v>141319.57092066383</v>
      </c>
      <c r="J27" s="12">
        <f t="shared" si="5"/>
        <v>142732.76662987046</v>
      </c>
      <c r="K27" s="37">
        <f>VLOOKUP(A27,'Summary All'!A24:$G$56,7,FALSE)</f>
        <v>1.1237394152553106</v>
      </c>
      <c r="L27" s="12">
        <f t="shared" si="9"/>
        <v>1603.9443571042334</v>
      </c>
      <c r="M27" s="2">
        <f t="shared" si="6"/>
        <v>3.1857138018815959E-6</v>
      </c>
      <c r="N27" s="12">
        <f t="shared" si="10"/>
        <v>18170308.460810877</v>
      </c>
      <c r="O27" s="2">
        <f t="shared" si="1"/>
        <v>3.6089408084303908E-2</v>
      </c>
      <c r="P27" s="2"/>
      <c r="Q27" s="12"/>
      <c r="R27" s="12"/>
    </row>
    <row r="28" spans="1:26" ht="15.75" customHeight="1" x14ac:dyDescent="0.25">
      <c r="A28" s="1">
        <v>27</v>
      </c>
      <c r="B28" s="1">
        <f t="shared" si="2"/>
        <v>27</v>
      </c>
      <c r="C28" s="1" t="s">
        <v>30</v>
      </c>
      <c r="D28" s="2">
        <f t="shared" si="3"/>
        <v>3.6086222370502026E-2</v>
      </c>
      <c r="E28" s="12">
        <f>IF(A28=19,SUMIFS('Summary All - updated May25'!F:F,'Summary All - updated May25'!A:A,A28)+SUMIFS('Summary All - updated May25'!F:F,'Summary All - updated May25'!A:A,45),IF(A28=45,0,SUMIFS('Summary All - updated May25'!F:F,'Summary All - updated May25'!A:A,A28)))</f>
        <v>405880859.83286065</v>
      </c>
      <c r="F28" s="12">
        <f>-1*(IF(A28=19,SUMIFS('Summary All - updated May25'!E:E,'Summary All - updated May25'!A:A,A28)+SUMIFS('Summary All - updated May25'!E:E,'Summary All - updated May25'!A:A,45),IF(A28=45,0,SUMIFS('Summary All - updated May25'!E:E,'Summary All - updated May25'!A:A,A28))))</f>
        <v>-12642961.019623108</v>
      </c>
      <c r="G28" s="12">
        <f t="shared" si="8"/>
        <v>393237898.81323755</v>
      </c>
      <c r="H28" s="12">
        <f t="shared" si="4"/>
        <v>14190470.261083465</v>
      </c>
      <c r="I28" s="12">
        <f>IFERROR(VLOOKUP(A28,'CDS-A Study 2024 over 2023'!$A$3:$J$50,10,FALSE),0)</f>
        <v>16504394.602894727</v>
      </c>
      <c r="J28" s="12">
        <f t="shared" si="5"/>
        <v>16669438.548923675</v>
      </c>
      <c r="K28" s="37">
        <f>VLOOKUP(A28,'Summary All'!A25:$G$56,7,FALSE)</f>
        <v>1.1278344219492284</v>
      </c>
      <c r="L28" s="12">
        <f t="shared" si="9"/>
        <v>188003.66590043518</v>
      </c>
      <c r="M28" s="2">
        <f t="shared" si="6"/>
        <v>4.780914211672276E-4</v>
      </c>
      <c r="N28" s="12">
        <f t="shared" si="10"/>
        <v>14378473.9269839</v>
      </c>
      <c r="O28" s="2">
        <f t="shared" si="1"/>
        <v>3.6564313791669252E-2</v>
      </c>
      <c r="P28" s="2"/>
      <c r="Q28" s="12"/>
      <c r="R28" s="12"/>
    </row>
    <row r="29" spans="1:26" ht="15.75" customHeight="1" x14ac:dyDescent="0.25">
      <c r="A29" s="1">
        <v>28</v>
      </c>
      <c r="B29" s="1">
        <f t="shared" si="2"/>
        <v>28</v>
      </c>
      <c r="C29" s="1" t="s">
        <v>31</v>
      </c>
      <c r="D29" s="2">
        <f t="shared" si="3"/>
        <v>3.6086222370502026E-2</v>
      </c>
      <c r="E29" s="12">
        <f>IF(A29=19,SUMIFS('Summary All - updated May25'!F:F,'Summary All - updated May25'!A:A,A29)+SUMIFS('Summary All - updated May25'!F:F,'Summary All - updated May25'!A:A,45),IF(A29=45,0,SUMIFS('Summary All - updated May25'!F:F,'Summary All - updated May25'!A:A,A29)))</f>
        <v>255238990.64004767</v>
      </c>
      <c r="F29" s="12">
        <f>-1*(IF(A29=19,SUMIFS('Summary All - updated May25'!E:E,'Summary All - updated May25'!A:A,A29)+SUMIFS('Summary All - updated May25'!E:E,'Summary All - updated May25'!A:A,45),IF(A29=45,0,SUMIFS('Summary All - updated May25'!E:E,'Summary All - updated May25'!A:A,A29))))</f>
        <v>-16804023.882997658</v>
      </c>
      <c r="G29" s="12">
        <f t="shared" si="8"/>
        <v>238434966.75705001</v>
      </c>
      <c r="H29" s="12">
        <f t="shared" si="4"/>
        <v>8604217.2312981654</v>
      </c>
      <c r="I29" s="12">
        <f>IFERROR(VLOOKUP(A29,'CDS-A Study 2024 over 2023'!$A$3:$J$50,10,FALSE),0)</f>
        <v>5555228.2338512829</v>
      </c>
      <c r="J29" s="12">
        <f t="shared" si="5"/>
        <v>5610780.5161897959</v>
      </c>
      <c r="K29" s="37">
        <f>VLOOKUP(A29,'Summary All'!A26:$G$56,7,FALSE)</f>
        <v>1.1154290207570936</v>
      </c>
      <c r="L29" s="12">
        <f t="shared" si="9"/>
        <v>62584.274168565644</v>
      </c>
      <c r="M29" s="2">
        <f t="shared" si="6"/>
        <v>2.6247943000883348E-4</v>
      </c>
      <c r="N29" s="12">
        <f t="shared" si="10"/>
        <v>8666801.5054667313</v>
      </c>
      <c r="O29" s="2">
        <f t="shared" si="1"/>
        <v>3.6348701800510863E-2</v>
      </c>
      <c r="P29" s="2"/>
      <c r="Q29" s="12"/>
      <c r="R29" s="12"/>
    </row>
    <row r="30" spans="1:26" ht="15.75" customHeight="1" x14ac:dyDescent="0.25">
      <c r="A30" s="1">
        <v>29</v>
      </c>
      <c r="B30" s="1">
        <f t="shared" si="2"/>
        <v>29</v>
      </c>
      <c r="C30" s="1" t="s">
        <v>32</v>
      </c>
      <c r="D30" s="2">
        <f t="shared" si="3"/>
        <v>3.6086222370502026E-2</v>
      </c>
      <c r="E30" s="12">
        <f>IF(A30=19,SUMIFS('Summary All - updated May25'!F:F,'Summary All - updated May25'!A:A,A30)+SUMIFS('Summary All - updated May25'!F:F,'Summary All - updated May25'!A:A,45),IF(A30=45,0,SUMIFS('Summary All - updated May25'!F:F,'Summary All - updated May25'!A:A,A30)))</f>
        <v>868799364.19048023</v>
      </c>
      <c r="F30" s="12">
        <f>-1*(IF(A30=19,SUMIFS('Summary All - updated May25'!E:E,'Summary All - updated May25'!A:A,A30)+SUMIFS('Summary All - updated May25'!E:E,'Summary All - updated May25'!A:A,45),IF(A30=45,0,SUMIFS('Summary All - updated May25'!E:E,'Summary All - updated May25'!A:A,A30))))</f>
        <v>-31791180.529665656</v>
      </c>
      <c r="G30" s="12">
        <f t="shared" si="8"/>
        <v>837008183.66081452</v>
      </c>
      <c r="H30" s="12">
        <f t="shared" si="4"/>
        <v>30204463.441514153</v>
      </c>
      <c r="I30" s="12">
        <f>IFERROR(VLOOKUP(A30,'CDS-A Study 2024 over 2023'!$A$3:$J$50,10,FALSE),0)</f>
        <v>20560462.175720654</v>
      </c>
      <c r="J30" s="12">
        <f t="shared" si="5"/>
        <v>20766066.79747786</v>
      </c>
      <c r="K30" s="37">
        <f>VLOOKUP(A30,'Summary All'!A27:$G$56,7,FALSE)</f>
        <v>1.116827822328361</v>
      </c>
      <c r="L30" s="12">
        <f t="shared" si="9"/>
        <v>231921.21159752482</v>
      </c>
      <c r="M30" s="2">
        <f t="shared" si="6"/>
        <v>2.7708356516082468E-4</v>
      </c>
      <c r="N30" s="12">
        <f t="shared" si="10"/>
        <v>30436384.653111678</v>
      </c>
      <c r="O30" s="2">
        <f t="shared" si="1"/>
        <v>3.6363305935662851E-2</v>
      </c>
      <c r="P30" s="2"/>
      <c r="Q30" s="12"/>
      <c r="R30" s="12"/>
    </row>
    <row r="31" spans="1:26" ht="15.75" customHeight="1" x14ac:dyDescent="0.25">
      <c r="A31" s="1">
        <v>30</v>
      </c>
      <c r="B31" s="1">
        <f t="shared" si="2"/>
        <v>30</v>
      </c>
      <c r="C31" s="1" t="s">
        <v>33</v>
      </c>
      <c r="D31" s="2">
        <f t="shared" si="3"/>
        <v>3.6086222370502026E-2</v>
      </c>
      <c r="E31" s="12">
        <f>IF(A31=19,SUMIFS('Summary All - updated May25'!F:F,'Summary All - updated May25'!A:A,A31)+SUMIFS('Summary All - updated May25'!F:F,'Summary All - updated May25'!A:A,45),IF(A31=45,0,SUMIFS('Summary All - updated May25'!F:F,'Summary All - updated May25'!A:A,A31)))</f>
        <v>55567778.318240911</v>
      </c>
      <c r="F31" s="12">
        <f>-1*(IF(A31=19,SUMIFS('Summary All - updated May25'!E:E,'Summary All - updated May25'!A:A,A31)+SUMIFS('Summary All - updated May25'!E:E,'Summary All - updated May25'!A:A,45),IF(A31=45,0,SUMIFS('Summary All - updated May25'!E:E,'Summary All - updated May25'!A:A,A31))))</f>
        <v>-1585087.5628000642</v>
      </c>
      <c r="G31" s="12">
        <f t="shared" si="8"/>
        <v>53982690.755440846</v>
      </c>
      <c r="H31" s="12">
        <f t="shared" si="4"/>
        <v>1948031.3827588824</v>
      </c>
      <c r="I31" s="12">
        <f>IFERROR(VLOOKUP(A31,'CDS-A Study 2024 over 2023'!$A$3:$J$50,10,FALSE),0)</f>
        <v>150319.117</v>
      </c>
      <c r="J31" s="12">
        <f t="shared" si="5"/>
        <v>151822.30817</v>
      </c>
      <c r="K31" s="37">
        <f>VLOOKUP(A31,'Summary All'!A28:$G$56,7,FALSE)</f>
        <v>1.1238685466800173</v>
      </c>
      <c r="L31" s="12">
        <f t="shared" si="9"/>
        <v>1706.2831683662362</v>
      </c>
      <c r="M31" s="2">
        <f t="shared" si="6"/>
        <v>3.1607968118822648E-5</v>
      </c>
      <c r="N31" s="12">
        <f t="shared" si="10"/>
        <v>1949737.6659272485</v>
      </c>
      <c r="O31" s="2">
        <f t="shared" si="1"/>
        <v>3.611783033862085E-2</v>
      </c>
      <c r="P31" s="2"/>
      <c r="Q31" s="12"/>
      <c r="R31" s="12"/>
    </row>
    <row r="32" spans="1:26" ht="15.75" customHeight="1" x14ac:dyDescent="0.25">
      <c r="A32" s="1">
        <v>32</v>
      </c>
      <c r="B32" s="1">
        <f t="shared" si="2"/>
        <v>32</v>
      </c>
      <c r="C32" s="1" t="s">
        <v>34</v>
      </c>
      <c r="D32" s="2">
        <f t="shared" si="3"/>
        <v>3.6086222370502026E-2</v>
      </c>
      <c r="E32" s="12">
        <f>IF(A32=19,SUMIFS('Summary All - updated May25'!F:F,'Summary All - updated May25'!A:A,A32)+SUMIFS('Summary All - updated May25'!F:F,'Summary All - updated May25'!A:A,45),IF(A32=45,0,SUMIFS('Summary All - updated May25'!F:F,'Summary All - updated May25'!A:A,A32)))</f>
        <v>209653053.80002305</v>
      </c>
      <c r="F32" s="12">
        <f>-1*(IF(A32=19,SUMIFS('Summary All - updated May25'!E:E,'Summary All - updated May25'!A:A,A32)+SUMIFS('Summary All - updated May25'!E:E,'Summary All - updated May25'!A:A,45),IF(A32=45,0,SUMIFS('Summary All - updated May25'!E:E,'Summary All - updated May25'!A:A,A32))))</f>
        <v>-3883878.9690857409</v>
      </c>
      <c r="G32" s="12">
        <f t="shared" si="8"/>
        <v>205769174.8309373</v>
      </c>
      <c r="H32" s="12">
        <f t="shared" si="4"/>
        <v>7425432.1999439122</v>
      </c>
      <c r="I32" s="12">
        <f>IFERROR(VLOOKUP(A32,'CDS-A Study 2024 over 2023'!$A$3:$J$50,10,FALSE),0)</f>
        <v>5389339</v>
      </c>
      <c r="J32" s="12">
        <f t="shared" si="5"/>
        <v>5443232.3899999997</v>
      </c>
      <c r="K32" s="37">
        <f>VLOOKUP(A32,'Summary All'!A29:$G$56,7,FALSE)</f>
        <v>1.1251393623363799</v>
      </c>
      <c r="L32" s="12">
        <f t="shared" si="9"/>
        <v>61243.95020333329</v>
      </c>
      <c r="M32" s="2">
        <f t="shared" si="6"/>
        <v>2.9763423143263387E-4</v>
      </c>
      <c r="N32" s="12">
        <f t="shared" si="10"/>
        <v>7486676.1501472453</v>
      </c>
      <c r="O32" s="2">
        <f t="shared" si="1"/>
        <v>3.6383856601934661E-2</v>
      </c>
      <c r="P32" s="2"/>
      <c r="Q32" s="12"/>
      <c r="R32" s="12"/>
    </row>
    <row r="33" spans="1:18" ht="15.75" customHeight="1" x14ac:dyDescent="0.25">
      <c r="A33" s="1">
        <v>33</v>
      </c>
      <c r="B33" s="1">
        <f t="shared" si="2"/>
        <v>33</v>
      </c>
      <c r="C33" s="1" t="s">
        <v>35</v>
      </c>
      <c r="D33" s="2">
        <f t="shared" si="3"/>
        <v>3.6086222370502026E-2</v>
      </c>
      <c r="E33" s="12">
        <f>IF(A33=19,SUMIFS('Summary All - updated May25'!F:F,'Summary All - updated May25'!A:A,A33)+SUMIFS('Summary All - updated May25'!F:F,'Summary All - updated May25'!A:A,45),IF(A33=45,0,SUMIFS('Summary All - updated May25'!F:F,'Summary All - updated May25'!A:A,A33)))</f>
        <v>289413828.11518097</v>
      </c>
      <c r="F33" s="12">
        <f>-1*(IF(A33=19,SUMIFS('Summary All - updated May25'!E:E,'Summary All - updated May25'!A:A,A33)+SUMIFS('Summary All - updated May25'!E:E,'Summary All - updated May25'!A:A,45),IF(A33=45,0,SUMIFS('Summary All - updated May25'!E:E,'Summary All - updated May25'!A:A,A33))))</f>
        <v>-8764132.7826064043</v>
      </c>
      <c r="G33" s="12">
        <f t="shared" si="8"/>
        <v>280649695.33257455</v>
      </c>
      <c r="H33" s="12">
        <f t="shared" si="4"/>
        <v>10127587.313984931</v>
      </c>
      <c r="I33" s="12">
        <f>IFERROR(VLOOKUP(A33,'CDS-A Study 2024 over 2023'!$A$3:$J$50,10,FALSE),0)</f>
        <v>12352758.372560617</v>
      </c>
      <c r="J33" s="12">
        <f t="shared" si="5"/>
        <v>12476285.956286224</v>
      </c>
      <c r="K33" s="37">
        <f>VLOOKUP(A33,'Summary All'!A30:$G$56,7,FALSE)</f>
        <v>1.1198087208859684</v>
      </c>
      <c r="L33" s="12">
        <v>0</v>
      </c>
      <c r="M33" s="2">
        <f t="shared" si="6"/>
        <v>0</v>
      </c>
      <c r="N33" s="12">
        <f>H33</f>
        <v>10127587.313984931</v>
      </c>
      <c r="O33" s="2">
        <f t="shared" si="1"/>
        <v>3.6086222370502026E-2</v>
      </c>
      <c r="P33" s="2"/>
      <c r="Q33" s="12"/>
      <c r="R33" s="12"/>
    </row>
    <row r="34" spans="1:18" ht="15.75" customHeight="1" x14ac:dyDescent="0.25">
      <c r="A34" s="1">
        <v>34</v>
      </c>
      <c r="B34" s="1">
        <f t="shared" si="2"/>
        <v>34</v>
      </c>
      <c r="C34" s="1" t="s">
        <v>36</v>
      </c>
      <c r="D34" s="2">
        <f t="shared" si="3"/>
        <v>3.6086222370502026E-2</v>
      </c>
      <c r="E34" s="12">
        <f>IF(A34=19,SUMIFS('Summary All - updated May25'!F:F,'Summary All - updated May25'!A:A,A34)+SUMIFS('Summary All - updated May25'!F:F,'Summary All - updated May25'!A:A,45),IF(A34=45,0,SUMIFS('Summary All - updated May25'!F:F,'Summary All - updated May25'!A:A,A34)))</f>
        <v>241328443.22935939</v>
      </c>
      <c r="F34" s="12">
        <f>-1*(IF(A34=19,SUMIFS('Summary All - updated May25'!E:E,'Summary All - updated May25'!A:A,A34)+SUMIFS('Summary All - updated May25'!E:E,'Summary All - updated May25'!A:A,45),IF(A34=45,0,SUMIFS('Summary All - updated May25'!E:E,'Summary All - updated May25'!A:A,A34))))</f>
        <v>-16922896.367908284</v>
      </c>
      <c r="G34" s="12">
        <f t="shared" si="8"/>
        <v>224405546.86145109</v>
      </c>
      <c r="H34" s="12">
        <f t="shared" si="4"/>
        <v>8097948.4652164374</v>
      </c>
      <c r="I34" s="12">
        <f>IFERROR(VLOOKUP(A34,'CDS-A Study 2024 over 2023'!$A$3:$J$50,10,FALSE),0)</f>
        <v>318016.03418724495</v>
      </c>
      <c r="J34" s="12">
        <f t="shared" si="5"/>
        <v>321196.19452911738</v>
      </c>
      <c r="K34" s="37">
        <f>VLOOKUP(A34,'Summary All'!A31:$G$56,7,FALSE)</f>
        <v>1.1267050227140725</v>
      </c>
      <c r="L34" s="12">
        <f t="shared" si="9"/>
        <v>3618.9336565260282</v>
      </c>
      <c r="M34" s="2">
        <f t="shared" si="6"/>
        <v>1.6126756700717264E-5</v>
      </c>
      <c r="N34" s="12">
        <f t="shared" ref="N34:N41" si="11">H34+L34</f>
        <v>8101567.3988729632</v>
      </c>
      <c r="O34" s="2">
        <f t="shared" si="1"/>
        <v>3.6102349127202747E-2</v>
      </c>
      <c r="P34" s="2"/>
      <c r="Q34" s="12"/>
      <c r="R34" s="12"/>
    </row>
    <row r="35" spans="1:18" ht="15.75" customHeight="1" x14ac:dyDescent="0.25">
      <c r="A35" s="1">
        <v>35</v>
      </c>
      <c r="B35" s="1">
        <f t="shared" si="2"/>
        <v>35</v>
      </c>
      <c r="C35" s="1" t="s">
        <v>37</v>
      </c>
      <c r="D35" s="2">
        <f t="shared" si="3"/>
        <v>3.6086222370502026E-2</v>
      </c>
      <c r="E35" s="12">
        <f>IF(A35=19,SUMIFS('Summary All - updated May25'!F:F,'Summary All - updated May25'!A:A,A35)+SUMIFS('Summary All - updated May25'!F:F,'Summary All - updated May25'!A:A,45),IF(A35=45,0,SUMIFS('Summary All - updated May25'!F:F,'Summary All - updated May25'!A:A,A35)))</f>
        <v>197165398.54601154</v>
      </c>
      <c r="F35" s="12">
        <f>-1*(IF(A35=19,SUMIFS('Summary All - updated May25'!E:E,'Summary All - updated May25'!A:A,A35)+SUMIFS('Summary All - updated May25'!E:E,'Summary All - updated May25'!A:A,45),IF(A35=45,0,SUMIFS('Summary All - updated May25'!E:E,'Summary All - updated May25'!A:A,A35))))</f>
        <v>-7614086.9886035947</v>
      </c>
      <c r="G35" s="12">
        <f t="shared" si="8"/>
        <v>189551311.55740795</v>
      </c>
      <c r="H35" s="12">
        <f t="shared" si="4"/>
        <v>6840190.7794809341</v>
      </c>
      <c r="I35" s="12">
        <f>IFERROR(VLOOKUP(A35,'CDS-A Study 2024 over 2023'!$A$3:$J$50,10,FALSE),0)</f>
        <v>767917.36</v>
      </c>
      <c r="J35" s="12">
        <f t="shared" si="5"/>
        <v>775596.53359999997</v>
      </c>
      <c r="K35" s="37">
        <f>VLOOKUP(A35,'Summary All'!A32:$G$56,7,FALSE)</f>
        <v>1.1161445571200141</v>
      </c>
      <c r="L35" s="12">
        <f t="shared" si="9"/>
        <v>8656.7784949879006</v>
      </c>
      <c r="M35" s="2">
        <f t="shared" si="6"/>
        <v>4.5669842238818211E-5</v>
      </c>
      <c r="N35" s="12">
        <f t="shared" si="11"/>
        <v>6848847.5579759218</v>
      </c>
      <c r="O35" s="2">
        <f t="shared" si="1"/>
        <v>3.6131892212740845E-2</v>
      </c>
      <c r="P35" s="2"/>
      <c r="Q35" s="12"/>
      <c r="R35" s="12"/>
    </row>
    <row r="36" spans="1:18" ht="15.75" customHeight="1" x14ac:dyDescent="0.25">
      <c r="A36" s="1">
        <v>37</v>
      </c>
      <c r="B36" s="1">
        <f t="shared" si="2"/>
        <v>37</v>
      </c>
      <c r="C36" s="1" t="s">
        <v>38</v>
      </c>
      <c r="D36" s="2">
        <f t="shared" si="3"/>
        <v>3.6086222370502026E-2</v>
      </c>
      <c r="E36" s="12">
        <f>IF(A36=19,SUMIFS('Summary All - updated May25'!F:F,'Summary All - updated May25'!A:A,A36)+SUMIFS('Summary All - updated May25'!F:F,'Summary All - updated May25'!A:A,45),IF(A36=45,0,SUMIFS('Summary All - updated May25'!F:F,'Summary All - updated May25'!A:A,A36)))</f>
        <v>319683808.33483177</v>
      </c>
      <c r="F36" s="12">
        <f>-1*(IF(A36=19,SUMIFS('Summary All - updated May25'!E:E,'Summary All - updated May25'!A:A,A36)+SUMIFS('Summary All - updated May25'!E:E,'Summary All - updated May25'!A:A,45),IF(A36=45,0,SUMIFS('Summary All - updated May25'!E:E,'Summary All - updated May25'!A:A,A36))))</f>
        <v>-23766776.451613829</v>
      </c>
      <c r="G36" s="12">
        <f t="shared" si="8"/>
        <v>295917031.88321793</v>
      </c>
      <c r="H36" s="12">
        <f t="shared" si="4"/>
        <v>10678527.81575674</v>
      </c>
      <c r="I36" s="12">
        <f>IFERROR(VLOOKUP(A36,'CDS-A Study 2024 over 2023'!$A$3:$J$50,10,FALSE),0)</f>
        <v>6091603.5460000001</v>
      </c>
      <c r="J36" s="12">
        <f t="shared" si="5"/>
        <v>6152519.58146</v>
      </c>
      <c r="K36" s="37">
        <f>VLOOKUP(A36,'Summary All'!A33:$G$56,7,FALSE)</f>
        <v>1.1264600064171217</v>
      </c>
      <c r="L36" s="12">
        <f t="shared" si="9"/>
        <v>69305.672472128994</v>
      </c>
      <c r="M36" s="2">
        <f t="shared" si="6"/>
        <v>2.3420643290136847E-4</v>
      </c>
      <c r="N36" s="12">
        <f t="shared" si="11"/>
        <v>10747833.488228869</v>
      </c>
      <c r="O36" s="2">
        <f t="shared" si="1"/>
        <v>3.6320428803403394E-2</v>
      </c>
      <c r="P36" s="2"/>
      <c r="Q36" s="12"/>
      <c r="R36" s="12"/>
    </row>
    <row r="37" spans="1:18" ht="15.75" customHeight="1" x14ac:dyDescent="0.25">
      <c r="A37" s="1">
        <v>38</v>
      </c>
      <c r="B37" s="1">
        <f t="shared" si="2"/>
        <v>38</v>
      </c>
      <c r="C37" s="1" t="s">
        <v>39</v>
      </c>
      <c r="D37" s="2">
        <f t="shared" si="3"/>
        <v>3.6086222370502026E-2</v>
      </c>
      <c r="E37" s="12">
        <f>IF(A37=19,SUMIFS('Summary All - updated May25'!F:F,'Summary All - updated May25'!A:A,A37)+SUMIFS('Summary All - updated May25'!F:F,'Summary All - updated May25'!A:A,45),IF(A37=45,0,SUMIFS('Summary All - updated May25'!F:F,'Summary All - updated May25'!A:A,A37)))</f>
        <v>285895984.23831099</v>
      </c>
      <c r="F37" s="12">
        <f>-1*(IF(A37=19,SUMIFS('Summary All - updated May25'!E:E,'Summary All - updated May25'!A:A,A37)+SUMIFS('Summary All - updated May25'!E:E,'Summary All - updated May25'!A:A,45),IF(A37=45,0,SUMIFS('Summary All - updated May25'!E:E,'Summary All - updated May25'!A:A,A37))))</f>
        <v>-10188802.617190203</v>
      </c>
      <c r="G37" s="12">
        <f t="shared" si="8"/>
        <v>275707181.62112081</v>
      </c>
      <c r="H37" s="12">
        <f t="shared" si="4"/>
        <v>9949230.6651241556</v>
      </c>
      <c r="I37" s="12">
        <f>IFERROR(VLOOKUP(A37,'CDS-A Study 2024 over 2023'!$A$3:$J$50,10,FALSE),0)</f>
        <v>548605.29806684726</v>
      </c>
      <c r="J37" s="12">
        <f t="shared" si="5"/>
        <v>554091.35104751575</v>
      </c>
      <c r="K37" s="37">
        <f>VLOOKUP(A37,'Summary All'!A34:$G$56,7,FALSE)</f>
        <v>1.1269535839837195</v>
      </c>
      <c r="L37" s="12">
        <f t="shared" si="9"/>
        <v>6244.3523391737917</v>
      </c>
      <c r="M37" s="2">
        <f t="shared" si="6"/>
        <v>2.2648493602734059E-5</v>
      </c>
      <c r="N37" s="12">
        <f t="shared" si="11"/>
        <v>9955475.0174633302</v>
      </c>
      <c r="O37" s="2">
        <f t="shared" si="1"/>
        <v>3.6108870864104768E-2</v>
      </c>
      <c r="P37" s="2"/>
      <c r="Q37" s="12"/>
      <c r="R37" s="12"/>
    </row>
    <row r="38" spans="1:18" ht="15.75" customHeight="1" x14ac:dyDescent="0.25">
      <c r="A38" s="1">
        <v>39</v>
      </c>
      <c r="B38" s="1">
        <f t="shared" si="2"/>
        <v>39</v>
      </c>
      <c r="C38" s="1" t="s">
        <v>40</v>
      </c>
      <c r="D38" s="2">
        <f t="shared" si="3"/>
        <v>3.6086222370502026E-2</v>
      </c>
      <c r="E38" s="12">
        <f>IF(A38=19,SUMIFS('Summary All - updated May25'!F:F,'Summary All - updated May25'!A:A,A38)+SUMIFS('Summary All - updated May25'!F:F,'Summary All - updated May25'!A:A,45),IF(A38=45,0,SUMIFS('Summary All - updated May25'!F:F,'Summary All - updated May25'!A:A,A38)))</f>
        <v>197668655.90447876</v>
      </c>
      <c r="F38" s="12">
        <f>-1*(IF(A38=19,SUMIFS('Summary All - updated May25'!E:E,'Summary All - updated May25'!A:A,A38)+SUMIFS('Summary All - updated May25'!E:E,'Summary All - updated May25'!A:A,45),IF(A38=45,0,SUMIFS('Summary All - updated May25'!E:E,'Summary All - updated May25'!A:A,A38))))</f>
        <v>-9780885.9040390812</v>
      </c>
      <c r="G38" s="12">
        <f t="shared" si="8"/>
        <v>187887770.00043967</v>
      </c>
      <c r="H38" s="12">
        <f t="shared" si="4"/>
        <v>6780159.8489336055</v>
      </c>
      <c r="I38" s="12">
        <f>IFERROR(VLOOKUP(A38,'CDS-A Study 2024 over 2023'!$A$3:$J$50,10,FALSE),0)</f>
        <v>8458389.8460000008</v>
      </c>
      <c r="J38" s="12">
        <f t="shared" si="5"/>
        <v>8542973.7444600016</v>
      </c>
      <c r="K38" s="37">
        <f>VLOOKUP(A38,'Summary All'!A35:$G$56,7,FALSE)</f>
        <v>1.1136396711012622</v>
      </c>
      <c r="L38" s="12">
        <f t="shared" si="9"/>
        <v>95137.944710071533</v>
      </c>
      <c r="M38" s="2">
        <f t="shared" si="6"/>
        <v>5.0635517527217926E-4</v>
      </c>
      <c r="N38" s="12">
        <f t="shared" si="11"/>
        <v>6875297.7936436767</v>
      </c>
      <c r="O38" s="2">
        <f t="shared" si="1"/>
        <v>3.6592577545774205E-2</v>
      </c>
      <c r="P38" s="2"/>
      <c r="Q38" s="12"/>
      <c r="R38" s="12"/>
    </row>
    <row r="39" spans="1:18" ht="15.75" customHeight="1" x14ac:dyDescent="0.25">
      <c r="A39" s="1">
        <v>40</v>
      </c>
      <c r="B39" s="1">
        <f t="shared" si="2"/>
        <v>40</v>
      </c>
      <c r="C39" s="1" t="s">
        <v>41</v>
      </c>
      <c r="D39" s="2">
        <f t="shared" si="3"/>
        <v>3.6086222370502026E-2</v>
      </c>
      <c r="E39" s="12">
        <f>IF(A39=19,SUMIFS('Summary All - updated May25'!F:F,'Summary All - updated May25'!A:A,A39)+SUMIFS('Summary All - updated May25'!F:F,'Summary All - updated May25'!A:A,45),IF(A39=45,0,SUMIFS('Summary All - updated May25'!F:F,'Summary All - updated May25'!A:A,A39)))</f>
        <v>321874949.81011307</v>
      </c>
      <c r="F39" s="12">
        <f>-1*(IF(A39=19,SUMIFS('Summary All - updated May25'!E:E,'Summary All - updated May25'!A:A,A39)+SUMIFS('Summary All - updated May25'!E:E,'Summary All - updated May25'!A:A,45),IF(A39=45,0,SUMIFS('Summary All - updated May25'!E:E,'Summary All - updated May25'!A:A,A39))))</f>
        <v>-11276143.438725429</v>
      </c>
      <c r="G39" s="12">
        <f t="shared" si="8"/>
        <v>310598806.37138766</v>
      </c>
      <c r="H39" s="12">
        <f t="shared" si="4"/>
        <v>11208337.594730396</v>
      </c>
      <c r="I39" s="12">
        <f>IFERROR(VLOOKUP(A39,'CDS-A Study 2024 over 2023'!$A$3:$J$50,10,FALSE),0)</f>
        <v>0</v>
      </c>
      <c r="J39" s="12">
        <f t="shared" si="5"/>
        <v>0</v>
      </c>
      <c r="K39" s="37">
        <f>VLOOKUP(A39,'Summary All'!A36:$G$56,7,FALSE)</f>
        <v>1.1238777706357723</v>
      </c>
      <c r="L39" s="12">
        <f t="shared" si="9"/>
        <v>0</v>
      </c>
      <c r="M39" s="2">
        <f t="shared" si="6"/>
        <v>0</v>
      </c>
      <c r="N39" s="12">
        <f t="shared" si="11"/>
        <v>11208337.594730396</v>
      </c>
      <c r="O39" s="2">
        <f t="shared" si="1"/>
        <v>3.6086222370502026E-2</v>
      </c>
      <c r="P39" s="2"/>
      <c r="Q39" s="12"/>
      <c r="R39" s="12"/>
    </row>
    <row r="40" spans="1:18" ht="15.75" customHeight="1" x14ac:dyDescent="0.25">
      <c r="A40" s="1">
        <v>43</v>
      </c>
      <c r="B40" s="1">
        <f t="shared" si="2"/>
        <v>43</v>
      </c>
      <c r="C40" s="1" t="s">
        <v>42</v>
      </c>
      <c r="D40" s="2">
        <f t="shared" si="3"/>
        <v>3.6086222370502026E-2</v>
      </c>
      <c r="E40" s="12">
        <f>IF(A40=19,SUMIFS('Summary All - updated May25'!F:F,'Summary All - updated May25'!A:A,A40)+SUMIFS('Summary All - updated May25'!F:F,'Summary All - updated May25'!A:A,45),IF(A40=45,0,SUMIFS('Summary All - updated May25'!F:F,'Summary All - updated May25'!A:A,A40)))</f>
        <v>555174137.3813827</v>
      </c>
      <c r="F40" s="12">
        <f>-1*(IF(A40=19,SUMIFS('Summary All - updated May25'!E:E,'Summary All - updated May25'!A:A,A40)+SUMIFS('Summary All - updated May25'!E:E,'Summary All - updated May25'!A:A,45),IF(A40=45,0,SUMIFS('Summary All - updated May25'!E:E,'Summary All - updated May25'!A:A,A40))))</f>
        <v>-16883815.865198571</v>
      </c>
      <c r="G40" s="12">
        <f t="shared" si="8"/>
        <v>538290321.51618409</v>
      </c>
      <c r="H40" s="12">
        <f t="shared" si="4"/>
        <v>19424864.24212205</v>
      </c>
      <c r="I40" s="12">
        <f>IFERROR(VLOOKUP(A40,'CDS-A Study 2024 over 2023'!$A$3:$J$50,10,FALSE),0)</f>
        <v>1366762.3159999996</v>
      </c>
      <c r="J40" s="12">
        <f t="shared" si="5"/>
        <v>1380429.9391599996</v>
      </c>
      <c r="K40" s="37">
        <f>VLOOKUP(A40,'Summary All'!A37:$G$56,7,FALSE)</f>
        <v>1.1199214396162245</v>
      </c>
      <c r="L40" s="12">
        <f t="shared" si="9"/>
        <v>15459.73084753404</v>
      </c>
      <c r="M40" s="2">
        <f t="shared" si="6"/>
        <v>2.8720060958906227E-5</v>
      </c>
      <c r="N40" s="12">
        <f t="shared" si="11"/>
        <v>19440323.972969584</v>
      </c>
      <c r="O40" s="2">
        <f t="shared" si="1"/>
        <v>3.6114942431460934E-2</v>
      </c>
      <c r="P40" s="2"/>
      <c r="Q40" s="12"/>
      <c r="R40" s="12"/>
    </row>
    <row r="41" spans="1:18" ht="15.75" customHeight="1" x14ac:dyDescent="0.25">
      <c r="A41" s="1">
        <v>44</v>
      </c>
      <c r="B41" s="1">
        <f t="shared" si="2"/>
        <v>44</v>
      </c>
      <c r="C41" s="1" t="s">
        <v>43</v>
      </c>
      <c r="D41" s="2">
        <f t="shared" si="3"/>
        <v>3.6086222370502026E-2</v>
      </c>
      <c r="E41" s="12">
        <f>IF(A41=19,SUMIFS('Summary All - updated May25'!F:F,'Summary All - updated May25'!A:A,A41)+SUMIFS('Summary All - updated May25'!F:F,'Summary All - updated May25'!A:A,45),IF(A41=45,0,SUMIFS('Summary All - updated May25'!F:F,'Summary All - updated May25'!A:A,A41)))</f>
        <v>534941229.69384581</v>
      </c>
      <c r="F41" s="12">
        <f>-1*(IF(A41=19,SUMIFS('Summary All - updated May25'!E:E,'Summary All - updated May25'!A:A,A41)+SUMIFS('Summary All - updated May25'!E:E,'Summary All - updated May25'!A:A,45),IF(A41=45,0,SUMIFS('Summary All - updated May25'!E:E,'Summary All - updated May25'!A:A,A41))))</f>
        <v>-14276093.931210604</v>
      </c>
      <c r="G41" s="12">
        <f t="shared" si="8"/>
        <v>520665135.76263523</v>
      </c>
      <c r="H41" s="12">
        <f t="shared" si="4"/>
        <v>18788837.869698081</v>
      </c>
      <c r="I41" s="12">
        <f>IFERROR(VLOOKUP(A41,'CDS-A Study 2024 over 2023'!$A$3:$J$50,10,FALSE),0)</f>
        <v>0</v>
      </c>
      <c r="J41" s="12">
        <f t="shared" si="5"/>
        <v>0</v>
      </c>
      <c r="K41" s="37">
        <f>VLOOKUP(A41,'Summary All'!A38:$G$56,7,FALSE)</f>
        <v>1.1101883621643456</v>
      </c>
      <c r="L41" s="12">
        <f t="shared" si="9"/>
        <v>0</v>
      </c>
      <c r="M41" s="2">
        <f t="shared" si="6"/>
        <v>0</v>
      </c>
      <c r="N41" s="12">
        <f t="shared" si="11"/>
        <v>18788837.869698081</v>
      </c>
      <c r="O41" s="2">
        <f t="shared" si="1"/>
        <v>3.6086222370502026E-2</v>
      </c>
      <c r="P41" s="2"/>
      <c r="Q41" s="12"/>
      <c r="R41" s="12"/>
    </row>
    <row r="42" spans="1:18" ht="16.5" customHeight="1" x14ac:dyDescent="0.25">
      <c r="A42" s="1">
        <v>45</v>
      </c>
      <c r="B42" s="1">
        <f t="shared" si="2"/>
        <v>45</v>
      </c>
      <c r="C42" s="1" t="s">
        <v>44</v>
      </c>
      <c r="D42" s="2">
        <f t="shared" si="3"/>
        <v>3.6086222370502026E-2</v>
      </c>
      <c r="E42" s="12">
        <f>IF(A42=19,SUMIFS('Summary All - updated May25'!F:F,'Summary All - updated May25'!A:A,A42)+SUMIFS('Summary All - updated May25'!F:F,'Summary All - updated May25'!A:A,45),IF(A42=45,0,SUMIFS('Summary All - updated May25'!F:F,'Summary All - updated May25'!A:A,A42)))</f>
        <v>0</v>
      </c>
      <c r="F42" s="12">
        <f>-1*(IF(A42=19,SUMIFS('Summary All - updated May25'!E:E,'Summary All - updated May25'!A:A,A42)+SUMIFS('Summary All - updated May25'!E:E,'Summary All - updated May25'!A:A,45),IF(A42=45,0,SUMIFS('Summary All - updated May25'!E:E,'Summary All - updated May25'!A:A,A42))))</f>
        <v>0</v>
      </c>
      <c r="G42" s="12"/>
      <c r="H42" s="12"/>
      <c r="I42" s="12">
        <f>IFERROR(VLOOKUP(A42,'CDS-A Study 2024 over 2023'!$A$3:$J$50,10,FALSE),0)</f>
        <v>0</v>
      </c>
      <c r="J42" s="12"/>
      <c r="K42" s="37">
        <f>VLOOKUP(A42,'Summary All'!A39:$G$56,7,FALSE)</f>
        <v>0</v>
      </c>
      <c r="L42" s="12"/>
      <c r="M42" s="2"/>
      <c r="N42" s="12"/>
      <c r="O42" s="2"/>
      <c r="P42" s="2"/>
      <c r="Q42" s="12"/>
      <c r="R42" s="12"/>
    </row>
    <row r="43" spans="1:18" ht="15.75" customHeight="1" x14ac:dyDescent="0.25">
      <c r="A43" s="1">
        <v>48</v>
      </c>
      <c r="B43" s="1">
        <f t="shared" si="2"/>
        <v>48</v>
      </c>
      <c r="C43" s="1" t="s">
        <v>45</v>
      </c>
      <c r="D43" s="2">
        <f t="shared" si="3"/>
        <v>3.6086222370502026E-2</v>
      </c>
      <c r="E43" s="12">
        <f>IF(A43=19,SUMIFS('Summary All - updated May25'!F:F,'Summary All - updated May25'!A:A,A43)+SUMIFS('Summary All - updated May25'!F:F,'Summary All - updated May25'!A:A,45),IF(A43=45,0,SUMIFS('Summary All - updated May25'!F:F,'Summary All - updated May25'!A:A,A43)))</f>
        <v>401928868.65197062</v>
      </c>
      <c r="F43" s="12">
        <f>-1*(IF(A43=19,SUMIFS('Summary All - updated May25'!E:E,'Summary All - updated May25'!A:A,A43)+SUMIFS('Summary All - updated May25'!E:E,'Summary All - updated May25'!A:A,45),IF(A43=45,0,SUMIFS('Summary All - updated May25'!E:E,'Summary All - updated May25'!A:A,A43))))</f>
        <v>-12149760.69848579</v>
      </c>
      <c r="G43" s="12">
        <f t="shared" ref="G43:G59" si="12">SUM(E43:F43)</f>
        <v>389779107.95348483</v>
      </c>
      <c r="H43" s="12">
        <f t="shared" ref="H43:H59" si="13">G43*D43</f>
        <v>14065655.564985368</v>
      </c>
      <c r="I43" s="12">
        <f>IFERROR(VLOOKUP(A43,'CDS-A Study 2024 over 2023'!$A$3:$J$50,10,FALSE),0)</f>
        <v>494959.32799999998</v>
      </c>
      <c r="J43" s="12">
        <f t="shared" ref="J43:J59" si="14">I43*(1+$J$5)</f>
        <v>499908.92128000001</v>
      </c>
      <c r="K43" s="37">
        <f>VLOOKUP(A43,'Summary All'!A40:$G$56,7,FALSE)</f>
        <v>1.1049366075304718</v>
      </c>
      <c r="L43" s="12">
        <f t="shared" ref="L43:L59" si="15">J43*K43*$L$5</f>
        <v>5523.6766755334093</v>
      </c>
      <c r="M43" s="2">
        <f t="shared" ref="M43:M59" si="16">L43/G43</f>
        <v>1.4171300007676628E-5</v>
      </c>
      <c r="N43" s="12">
        <f t="shared" ref="N43:N59" si="17">H43+L43</f>
        <v>14071179.241660902</v>
      </c>
      <c r="O43" s="2">
        <f t="shared" ref="O43:O59" si="18">N43/G43</f>
        <v>3.6100393670509705E-2</v>
      </c>
      <c r="P43" s="2"/>
      <c r="Q43" s="12"/>
      <c r="R43" s="12"/>
    </row>
    <row r="44" spans="1:18" ht="15.75" customHeight="1" x14ac:dyDescent="0.25">
      <c r="A44" s="1">
        <v>49</v>
      </c>
      <c r="B44" s="1">
        <f t="shared" si="2"/>
        <v>49</v>
      </c>
      <c r="C44" s="1" t="s">
        <v>46</v>
      </c>
      <c r="D44" s="2">
        <f t="shared" si="3"/>
        <v>3.6086222370502026E-2</v>
      </c>
      <c r="E44" s="12">
        <f>IF(A44=19,SUMIFS('Summary All - updated May25'!F:F,'Summary All - updated May25'!A:A,A44)+SUMIFS('Summary All - updated May25'!F:F,'Summary All - updated May25'!A:A,45),IF(A44=45,0,SUMIFS('Summary All - updated May25'!F:F,'Summary All - updated May25'!A:A,A44)))</f>
        <v>464467875.97247726</v>
      </c>
      <c r="F44" s="12">
        <f>-1*(IF(A44=19,SUMIFS('Summary All - updated May25'!E:E,'Summary All - updated May25'!A:A,A44)+SUMIFS('Summary All - updated May25'!E:E,'Summary All - updated May25'!A:A,45),IF(A44=45,0,SUMIFS('Summary All - updated May25'!E:E,'Summary All - updated May25'!A:A,A44))))</f>
        <v>-11587314.613174824</v>
      </c>
      <c r="G44" s="12">
        <f t="shared" si="12"/>
        <v>452880561.35930246</v>
      </c>
      <c r="H44" s="12">
        <f t="shared" si="13"/>
        <v>16342748.644489575</v>
      </c>
      <c r="I44" s="12">
        <f>IFERROR(VLOOKUP(A44,'CDS-A Study 2024 over 2023'!$A$3:$J$50,10,FALSE),0)</f>
        <v>402645.48599999998</v>
      </c>
      <c r="J44" s="12">
        <f t="shared" si="14"/>
        <v>406671.94085999997</v>
      </c>
      <c r="K44" s="37">
        <f>VLOOKUP(A44,'Summary All'!A41:$G$56,7,FALSE)</f>
        <v>1.1171673498340509</v>
      </c>
      <c r="L44" s="12">
        <f t="shared" si="15"/>
        <v>4543.2061442243603</v>
      </c>
      <c r="M44" s="2">
        <f t="shared" si="16"/>
        <v>1.003179763465253E-5</v>
      </c>
      <c r="N44" s="12">
        <f t="shared" si="17"/>
        <v>16347291.8506338</v>
      </c>
      <c r="O44" s="2">
        <f t="shared" si="18"/>
        <v>3.6096254168136679E-2</v>
      </c>
      <c r="P44" s="2"/>
      <c r="Q44" s="12"/>
      <c r="R44" s="12"/>
    </row>
    <row r="45" spans="1:18" ht="15.75" customHeight="1" x14ac:dyDescent="0.25">
      <c r="A45" s="1">
        <v>51</v>
      </c>
      <c r="B45" s="1">
        <f t="shared" si="2"/>
        <v>51</v>
      </c>
      <c r="C45" s="1" t="s">
        <v>47</v>
      </c>
      <c r="D45" s="2">
        <f t="shared" si="3"/>
        <v>3.6086222370502026E-2</v>
      </c>
      <c r="E45" s="12">
        <f>IF(A45=19,SUMIFS('Summary All - updated May25'!F:F,'Summary All - updated May25'!A:A,A45)+SUMIFS('Summary All - updated May25'!F:F,'Summary All - updated May25'!A:A,45),IF(A45=45,0,SUMIFS('Summary All - updated May25'!F:F,'Summary All - updated May25'!A:A,A45)))</f>
        <v>328794453.64989775</v>
      </c>
      <c r="F45" s="12">
        <f>-1*(IF(A45=19,SUMIFS('Summary All - updated May25'!E:E,'Summary All - updated May25'!A:A,A45)+SUMIFS('Summary All - updated May25'!E:E,'Summary All - updated May25'!A:A,45),IF(A45=45,0,SUMIFS('Summary All - updated May25'!E:E,'Summary All - updated May25'!A:A,A45))))</f>
        <v>-17557802.993393585</v>
      </c>
      <c r="G45" s="12">
        <f t="shared" si="12"/>
        <v>311236650.65650415</v>
      </c>
      <c r="H45" s="12">
        <f t="shared" si="13"/>
        <v>11231354.985440865</v>
      </c>
      <c r="I45" s="12">
        <f>IFERROR(VLOOKUP(A45,'CDS-A Study 2024 over 2023'!$A$3:$J$50,10,FALSE),0)</f>
        <v>295249.02399999998</v>
      </c>
      <c r="J45" s="12">
        <f t="shared" si="14"/>
        <v>298201.51423999999</v>
      </c>
      <c r="K45" s="37">
        <f>VLOOKUP(A45,'Summary All'!A42:$G$56,7,FALSE)</f>
        <v>1.1189983090382953</v>
      </c>
      <c r="L45" s="12">
        <f t="shared" si="15"/>
        <v>3336.8699018721913</v>
      </c>
      <c r="M45" s="2">
        <f t="shared" si="16"/>
        <v>1.0721326986502378E-5</v>
      </c>
      <c r="N45" s="12">
        <f t="shared" si="17"/>
        <v>11234691.855342736</v>
      </c>
      <c r="O45" s="2">
        <f t="shared" si="18"/>
        <v>3.6096943697488532E-2</v>
      </c>
      <c r="P45" s="2"/>
      <c r="Q45" s="12"/>
      <c r="R45" s="12"/>
    </row>
    <row r="46" spans="1:18" ht="15.75" customHeight="1" x14ac:dyDescent="0.25">
      <c r="A46" s="1">
        <v>55</v>
      </c>
      <c r="B46" s="1">
        <f t="shared" si="2"/>
        <v>55</v>
      </c>
      <c r="C46" s="1" t="s">
        <v>48</v>
      </c>
      <c r="D46" s="2">
        <f t="shared" si="3"/>
        <v>3.6086222370502026E-2</v>
      </c>
      <c r="E46" s="12">
        <f>IF(A46=19,SUMIFS('Summary All - updated May25'!F:F,'Summary All - updated May25'!A:A,A46)+SUMIFS('Summary All - updated May25'!F:F,'Summary All - updated May25'!A:A,45),IF(A46=45,0,SUMIFS('Summary All - updated May25'!F:F,'Summary All - updated May25'!A:A,A46)))</f>
        <v>44920580.212409407</v>
      </c>
      <c r="F46" s="12">
        <f>-1*(IF(A46=19,SUMIFS('Summary All - updated May25'!E:E,'Summary All - updated May25'!A:A,A46)+SUMIFS('Summary All - updated May25'!E:E,'Summary All - updated May25'!A:A,45),IF(A46=45,0,SUMIFS('Summary All - updated May25'!E:E,'Summary All - updated May25'!A:A,A46))))</f>
        <v>-1526447.8205674535</v>
      </c>
      <c r="G46" s="12">
        <f t="shared" si="12"/>
        <v>43394132.391841955</v>
      </c>
      <c r="H46" s="12">
        <f t="shared" si="13"/>
        <v>1565930.3110670138</v>
      </c>
      <c r="I46" s="12">
        <f>IFERROR(VLOOKUP(A46,'CDS-A Study 2024 over 2023'!$A$3:$J$50,10,FALSE),0)</f>
        <v>117967.44099999999</v>
      </c>
      <c r="J46" s="12">
        <f t="shared" si="14"/>
        <v>119147.11541</v>
      </c>
      <c r="K46" s="37">
        <f>VLOOKUP(A46,'Summary All'!A43:$G$56,7,FALSE)</f>
        <v>1.2326840578182912</v>
      </c>
      <c r="L46" s="12">
        <f t="shared" si="15"/>
        <v>1468.7074970094304</v>
      </c>
      <c r="M46" s="2">
        <f t="shared" si="16"/>
        <v>3.3845762458095499E-5</v>
      </c>
      <c r="N46" s="12">
        <f t="shared" si="17"/>
        <v>1567399.0185640233</v>
      </c>
      <c r="O46" s="2">
        <f t="shared" si="18"/>
        <v>3.6120068132960127E-2</v>
      </c>
      <c r="P46" s="2"/>
      <c r="Q46" s="12"/>
      <c r="R46" s="12"/>
    </row>
    <row r="47" spans="1:18" ht="15.75" customHeight="1" x14ac:dyDescent="0.25">
      <c r="A47" s="1">
        <v>2004</v>
      </c>
      <c r="B47" s="1">
        <v>56</v>
      </c>
      <c r="C47" s="1" t="s">
        <v>49</v>
      </c>
      <c r="D47" s="2">
        <f t="shared" si="3"/>
        <v>3.6086222370502026E-2</v>
      </c>
      <c r="E47" s="12">
        <f>IF(A47=19,SUMIFS('Summary All - updated May25'!F:F,'Summary All - updated May25'!A:A,A47)+SUMIFS('Summary All - updated May25'!F:F,'Summary All - updated May25'!A:A,45),IF(A47=45,0,SUMIFS('Summary All - updated May25'!F:F,'Summary All - updated May25'!A:A,A47)))</f>
        <v>327680434.25804079</v>
      </c>
      <c r="F47" s="12">
        <f>-1*(IF(A47=19,SUMIFS('Summary All - updated May25'!E:E,'Summary All - updated May25'!A:A,A47)+SUMIFS('Summary All - updated May25'!E:E,'Summary All - updated May25'!A:A,45),IF(A47=45,0,SUMIFS('Summary All - updated May25'!E:E,'Summary All - updated May25'!A:A,A47))))</f>
        <v>-8959071.6587092038</v>
      </c>
      <c r="G47" s="12">
        <f t="shared" si="12"/>
        <v>318721362.59933156</v>
      </c>
      <c r="H47" s="12">
        <f t="shared" si="13"/>
        <v>11501449.964988885</v>
      </c>
      <c r="I47" s="12">
        <f>IFERROR(VLOOKUP(A47,'CDS-A Study 2024 over 2023'!$A$3:$J$50,10,FALSE),0)</f>
        <v>143837.9956503053</v>
      </c>
      <c r="J47" s="12">
        <f t="shared" si="14"/>
        <v>145276.37560680835</v>
      </c>
      <c r="K47" s="37">
        <f>VLOOKUP(A47,'Summary All'!A44:$G$56,7,FALSE)</f>
        <v>1.1306741913635847</v>
      </c>
      <c r="L47" s="12">
        <f t="shared" si="15"/>
        <v>1642.6024851346042</v>
      </c>
      <c r="M47" s="2">
        <f t="shared" si="16"/>
        <v>5.153725723743028E-6</v>
      </c>
      <c r="N47" s="12">
        <f t="shared" si="17"/>
        <v>11503092.567474021</v>
      </c>
      <c r="O47" s="2">
        <f t="shared" si="18"/>
        <v>3.6091376096225772E-2</v>
      </c>
      <c r="P47" s="2"/>
      <c r="Q47" s="12"/>
      <c r="R47" s="12"/>
    </row>
    <row r="48" spans="1:18" ht="15.75" customHeight="1" x14ac:dyDescent="0.25">
      <c r="A48" s="1">
        <v>5050</v>
      </c>
      <c r="B48" s="1">
        <v>57</v>
      </c>
      <c r="C48" s="1" t="s">
        <v>50</v>
      </c>
      <c r="D48" s="2">
        <f t="shared" si="3"/>
        <v>3.6086222370502026E-2</v>
      </c>
      <c r="E48" s="12">
        <f>IF(A48=19,SUMIFS('Summary All - updated May25'!F:F,'Summary All - updated May25'!A:A,A48)+SUMIFS('Summary All - updated May25'!F:F,'Summary All - updated May25'!A:A,45),IF(A48=45,0,SUMIFS('Summary All - updated May25'!F:F,'Summary All - updated May25'!A:A,A48)))</f>
        <v>564896194.66337228</v>
      </c>
      <c r="F48" s="12">
        <f>-1*(IF(A48=19,SUMIFS('Summary All - updated May25'!E:E,'Summary All - updated May25'!A:A,A48)+SUMIFS('Summary All - updated May25'!E:E,'Summary All - updated May25'!A:A,45),IF(A48=45,0,SUMIFS('Summary All - updated May25'!E:E,'Summary All - updated May25'!A:A,A48))))</f>
        <v>-28593143.284269705</v>
      </c>
      <c r="G48" s="12">
        <f t="shared" si="12"/>
        <v>536303051.37910259</v>
      </c>
      <c r="H48" s="12">
        <f t="shared" si="13"/>
        <v>19353151.17004507</v>
      </c>
      <c r="I48" s="12">
        <f>IFERROR(VLOOKUP(A48,'CDS-A Study 2024 over 2023'!$A$3:$J$50,10,FALSE),0)</f>
        <v>776899.69015580846</v>
      </c>
      <c r="J48" s="12">
        <f t="shared" si="14"/>
        <v>784668.68705736659</v>
      </c>
      <c r="K48" s="37">
        <f>VLOOKUP(A48,'Summary All'!A45:$G$56,7,FALSE)</f>
        <v>1.1118697568950591</v>
      </c>
      <c r="L48" s="12">
        <f t="shared" si="15"/>
        <v>8724.4938232163931</v>
      </c>
      <c r="M48" s="2">
        <f t="shared" si="16"/>
        <v>1.6267842968227328E-5</v>
      </c>
      <c r="N48" s="12">
        <f t="shared" si="17"/>
        <v>19361875.663868286</v>
      </c>
      <c r="O48" s="2">
        <f t="shared" si="18"/>
        <v>3.6102490213470256E-2</v>
      </c>
      <c r="P48" s="2"/>
      <c r="Q48" s="12"/>
      <c r="R48" s="12"/>
    </row>
    <row r="49" spans="1:18" ht="15.75" customHeight="1" x14ac:dyDescent="0.25">
      <c r="A49" s="1">
        <v>2001</v>
      </c>
      <c r="B49" s="1">
        <v>58</v>
      </c>
      <c r="C49" s="1" t="s">
        <v>51</v>
      </c>
      <c r="D49" s="2">
        <f t="shared" si="3"/>
        <v>3.6086222370502026E-2</v>
      </c>
      <c r="E49" s="12">
        <f>IF(A49=19,SUMIFS('Summary All - updated May25'!F:F,'Summary All - updated May25'!A:A,A49)+SUMIFS('Summary All - updated May25'!F:F,'Summary All - updated May25'!A:A,45),IF(A49=45,0,SUMIFS('Summary All - updated May25'!F:F,'Summary All - updated May25'!A:A,A49)))</f>
        <v>156533115.3670533</v>
      </c>
      <c r="F49" s="12">
        <f>-1*(IF(A49=19,SUMIFS('Summary All - updated May25'!E:E,'Summary All - updated May25'!A:A,A49)+SUMIFS('Summary All - updated May25'!E:E,'Summary All - updated May25'!A:A,45),IF(A49=45,0,SUMIFS('Summary All - updated May25'!E:E,'Summary All - updated May25'!A:A,A49))))</f>
        <v>-5679040.5980347069</v>
      </c>
      <c r="G49" s="12">
        <f t="shared" si="12"/>
        <v>150854074.76901859</v>
      </c>
      <c r="H49" s="12">
        <f t="shared" si="13"/>
        <v>5443753.687611144</v>
      </c>
      <c r="I49" s="12">
        <f>IFERROR(VLOOKUP(A49,'CDS-A Study 2024 over 2023'!$A$3:$J$50,10,FALSE),0)</f>
        <v>0</v>
      </c>
      <c r="J49" s="12">
        <f t="shared" si="14"/>
        <v>0</v>
      </c>
      <c r="K49" s="37">
        <f>VLOOKUP(A49,'Summary All'!A46:$G$56,7,FALSE)</f>
        <v>1.1131375571407696</v>
      </c>
      <c r="L49" s="12">
        <f t="shared" si="15"/>
        <v>0</v>
      </c>
      <c r="M49" s="2">
        <f t="shared" si="16"/>
        <v>0</v>
      </c>
      <c r="N49" s="12">
        <f t="shared" si="17"/>
        <v>5443753.687611144</v>
      </c>
      <c r="O49" s="2">
        <f t="shared" si="18"/>
        <v>3.6086222370502026E-2</v>
      </c>
      <c r="P49" s="2"/>
      <c r="Q49" s="12"/>
      <c r="R49" s="12"/>
    </row>
    <row r="50" spans="1:18" ht="15.75" customHeight="1" x14ac:dyDescent="0.25">
      <c r="A50" s="1">
        <v>60</v>
      </c>
      <c r="B50" s="1">
        <f t="shared" ref="B50:B59" si="19">A50</f>
        <v>60</v>
      </c>
      <c r="C50" s="1" t="s">
        <v>52</v>
      </c>
      <c r="D50" s="2">
        <f t="shared" si="3"/>
        <v>3.6086222370502026E-2</v>
      </c>
      <c r="E50" s="12">
        <f>IF(A50=19,SUMIFS('Summary All - updated May25'!F:F,'Summary All - updated May25'!A:A,A50)+SUMIFS('Summary All - updated May25'!F:F,'Summary All - updated May25'!A:A,45),IF(A50=45,0,SUMIFS('Summary All - updated May25'!F:F,'Summary All - updated May25'!A:A,A50)))</f>
        <v>71578440.080109388</v>
      </c>
      <c r="F50" s="12">
        <f>-1*(IF(A50=19,SUMIFS('Summary All - updated May25'!E:E,'Summary All - updated May25'!A:A,A50)+SUMIFS('Summary All - updated May25'!E:E,'Summary All - updated May25'!A:A,45),IF(A50=45,0,SUMIFS('Summary All - updated May25'!E:E,'Summary All - updated May25'!A:A,A50))))</f>
        <v>-2472277.6281959349</v>
      </c>
      <c r="G50" s="12">
        <f t="shared" si="12"/>
        <v>69106162.451913446</v>
      </c>
      <c r="H50" s="12">
        <f t="shared" si="13"/>
        <v>2493780.3454117863</v>
      </c>
      <c r="I50" s="12">
        <f>IFERROR(VLOOKUP(A50,'CDS-A Study 2024 over 2023'!$A$3:$J$50,10,FALSE),0)</f>
        <v>212260.27</v>
      </c>
      <c r="J50" s="12">
        <f t="shared" si="14"/>
        <v>214382.87269999998</v>
      </c>
      <c r="K50" s="37">
        <f>VLOOKUP(A50,'Summary All'!A47:$G$56,7,FALSE)</f>
        <v>1.1225939436565051</v>
      </c>
      <c r="L50" s="12">
        <f t="shared" si="15"/>
        <v>2406.6491451670349</v>
      </c>
      <c r="M50" s="2">
        <f t="shared" si="16"/>
        <v>3.4825391249900004E-5</v>
      </c>
      <c r="N50" s="12">
        <f t="shared" si="17"/>
        <v>2496186.9945569532</v>
      </c>
      <c r="O50" s="2">
        <f t="shared" si="18"/>
        <v>3.6121047761751929E-2</v>
      </c>
      <c r="P50" s="2"/>
      <c r="Q50" s="12"/>
      <c r="R50" s="12"/>
    </row>
    <row r="51" spans="1:18" ht="15.75" customHeight="1" x14ac:dyDescent="0.25">
      <c r="A51" s="1">
        <v>61</v>
      </c>
      <c r="B51" s="1">
        <f t="shared" si="19"/>
        <v>61</v>
      </c>
      <c r="C51" s="1" t="s">
        <v>53</v>
      </c>
      <c r="D51" s="2">
        <f t="shared" si="3"/>
        <v>3.6086222370502026E-2</v>
      </c>
      <c r="E51" s="12">
        <f>IF(A51=19,SUMIFS('Summary All - updated May25'!F:F,'Summary All - updated May25'!A:A,A51)+SUMIFS('Summary All - updated May25'!F:F,'Summary All - updated May25'!A:A,45),IF(A51=45,0,SUMIFS('Summary All - updated May25'!F:F,'Summary All - updated May25'!A:A,A51)))</f>
        <v>140870362.00262147</v>
      </c>
      <c r="F51" s="12">
        <f>-1*(IF(A51=19,SUMIFS('Summary All - updated May25'!E:E,'Summary All - updated May25'!A:A,A51)+SUMIFS('Summary All - updated May25'!E:E,'Summary All - updated May25'!A:A,45),IF(A51=45,0,SUMIFS('Summary All - updated May25'!E:E,'Summary All - updated May25'!A:A,A51))))</f>
        <v>-4438585.108976149</v>
      </c>
      <c r="G51" s="12">
        <f t="shared" si="12"/>
        <v>136431776.89364532</v>
      </c>
      <c r="H51" s="12">
        <f t="shared" si="13"/>
        <v>4923307.4393868046</v>
      </c>
      <c r="I51" s="12">
        <f>IFERROR(VLOOKUP(A51,'CDS-A Study 2024 over 2023'!$A$3:$J$50,10,FALSE),0)</f>
        <v>0</v>
      </c>
      <c r="J51" s="12">
        <f t="shared" si="14"/>
        <v>0</v>
      </c>
      <c r="K51" s="37">
        <f>VLOOKUP(A51,'Summary All'!A48:$G$56,7,FALSE)</f>
        <v>1.1236497259497726</v>
      </c>
      <c r="L51" s="12">
        <f t="shared" si="15"/>
        <v>0</v>
      </c>
      <c r="M51" s="2">
        <f t="shared" si="16"/>
        <v>0</v>
      </c>
      <c r="N51" s="12">
        <f t="shared" si="17"/>
        <v>4923307.4393868046</v>
      </c>
      <c r="O51" s="2">
        <f t="shared" si="18"/>
        <v>3.6086222370502026E-2</v>
      </c>
      <c r="P51" s="2"/>
      <c r="Q51" s="12"/>
      <c r="R51" s="12"/>
    </row>
    <row r="52" spans="1:18" ht="15.75" customHeight="1" x14ac:dyDescent="0.25">
      <c r="A52" s="1">
        <v>62</v>
      </c>
      <c r="B52" s="1">
        <f t="shared" si="19"/>
        <v>62</v>
      </c>
      <c r="C52" s="1" t="s">
        <v>54</v>
      </c>
      <c r="D52" s="2">
        <f t="shared" si="3"/>
        <v>3.6086222370502026E-2</v>
      </c>
      <c r="E52" s="12">
        <f>IF(A52=19,SUMIFS('Summary All - updated May25'!F:F,'Summary All - updated May25'!A:A,A52)+SUMIFS('Summary All - updated May25'!F:F,'Summary All - updated May25'!A:A,45),IF(A52=45,0,SUMIFS('Summary All - updated May25'!F:F,'Summary All - updated May25'!A:A,A52)))</f>
        <v>361263218.10819495</v>
      </c>
      <c r="F52" s="12">
        <f>-1*(IF(A52=19,SUMIFS('Summary All - updated May25'!E:E,'Summary All - updated May25'!A:A,A52)+SUMIFS('Summary All - updated May25'!E:E,'Summary All - updated May25'!A:A,45),IF(A52=45,0,SUMIFS('Summary All - updated May25'!E:E,'Summary All - updated May25'!A:A,A52))))</f>
        <v>-18565057.380392186</v>
      </c>
      <c r="G52" s="12">
        <f t="shared" si="12"/>
        <v>342698160.72780275</v>
      </c>
      <c r="H52" s="12">
        <f t="shared" si="13"/>
        <v>12366682.033985535</v>
      </c>
      <c r="I52" s="12">
        <f>IFERROR(VLOOKUP(A52,'CDS-A Study 2024 over 2023'!$A$3:$J$50,10,FALSE),0)</f>
        <v>234034.59887737667</v>
      </c>
      <c r="J52" s="12">
        <f t="shared" si="14"/>
        <v>236374.94486615044</v>
      </c>
      <c r="K52" s="37">
        <f>VLOOKUP(A52,'Summary All'!A49:$G$56,7,FALSE)</f>
        <v>1.1171900302032232</v>
      </c>
      <c r="L52" s="12">
        <f t="shared" si="15"/>
        <v>2640.7573179429987</v>
      </c>
      <c r="M52" s="2">
        <f t="shared" si="16"/>
        <v>7.7057819987557246E-6</v>
      </c>
      <c r="N52" s="12">
        <f t="shared" si="17"/>
        <v>12369322.791303478</v>
      </c>
      <c r="O52" s="2">
        <f t="shared" si="18"/>
        <v>3.609392815250078E-2</v>
      </c>
      <c r="P52" s="2"/>
      <c r="Q52" s="12"/>
      <c r="R52" s="12"/>
    </row>
    <row r="53" spans="1:18" ht="15.75" customHeight="1" x14ac:dyDescent="0.25">
      <c r="A53" s="1">
        <v>63</v>
      </c>
      <c r="B53" s="1">
        <f t="shared" si="19"/>
        <v>63</v>
      </c>
      <c r="C53" s="1" t="s">
        <v>55</v>
      </c>
      <c r="D53" s="2">
        <f t="shared" si="3"/>
        <v>3.6086222370502026E-2</v>
      </c>
      <c r="E53" s="12">
        <f>IF(A53=19,SUMIFS('Summary All - updated May25'!F:F,'Summary All - updated May25'!A:A,A53)+SUMIFS('Summary All - updated May25'!F:F,'Summary All - updated May25'!A:A,45),IF(A53=45,0,SUMIFS('Summary All - updated May25'!F:F,'Summary All - updated May25'!A:A,A53)))</f>
        <v>507442510.00889122</v>
      </c>
      <c r="F53" s="12">
        <f>-1*(IF(A53=19,SUMIFS('Summary All - updated May25'!E:E,'Summary All - updated May25'!A:A,A53)+SUMIFS('Summary All - updated May25'!E:E,'Summary All - updated May25'!A:A,45),IF(A53=45,0,SUMIFS('Summary All - updated May25'!E:E,'Summary All - updated May25'!A:A,A53))))</f>
        <v>-19198743.186412424</v>
      </c>
      <c r="G53" s="12">
        <f t="shared" si="12"/>
        <v>488243766.82247877</v>
      </c>
      <c r="H53" s="12">
        <f t="shared" si="13"/>
        <v>17618873.140567508</v>
      </c>
      <c r="I53" s="12">
        <f>IFERROR(VLOOKUP(A53,'CDS-A Study 2024 over 2023'!$A$3:$J$50,10,FALSE),0)</f>
        <v>196048.08799999999</v>
      </c>
      <c r="J53" s="12">
        <f t="shared" si="14"/>
        <v>198008.56887999998</v>
      </c>
      <c r="K53" s="37">
        <f>VLOOKUP(A53,'Summary All'!A50:$G$56,7,FALSE)</f>
        <v>1.1169446961820713</v>
      </c>
      <c r="L53" s="12">
        <f t="shared" si="15"/>
        <v>2211.6462080911829</v>
      </c>
      <c r="M53" s="2">
        <f t="shared" si="16"/>
        <v>4.5297991666841256E-6</v>
      </c>
      <c r="N53" s="12">
        <f t="shared" si="17"/>
        <v>17621084.7867756</v>
      </c>
      <c r="O53" s="2">
        <f t="shared" si="18"/>
        <v>3.6090752169668713E-2</v>
      </c>
      <c r="P53" s="2"/>
      <c r="Q53" s="12"/>
      <c r="R53" s="12"/>
    </row>
    <row r="54" spans="1:18" ht="15.75" customHeight="1" x14ac:dyDescent="0.25">
      <c r="A54" s="1">
        <v>87</v>
      </c>
      <c r="B54" s="1">
        <f t="shared" si="19"/>
        <v>87</v>
      </c>
      <c r="C54" s="1" t="s">
        <v>56</v>
      </c>
      <c r="D54" s="2">
        <f t="shared" si="3"/>
        <v>3.6086222370502026E-2</v>
      </c>
      <c r="E54" s="12">
        <f>IF(A54=19,SUMIFS('Summary All - updated May25'!F:F,'Summary All - updated May25'!A:A,A54)+SUMIFS('Summary All - updated May25'!F:F,'Summary All - updated May25'!A:A,45),IF(A54=45,0,SUMIFS('Summary All - updated May25'!F:F,'Summary All - updated May25'!A:A,A54)))</f>
        <v>22765240.955358222</v>
      </c>
      <c r="F54" s="12">
        <f>-1*(IF(A54=19,SUMIFS('Summary All - updated May25'!E:E,'Summary All - updated May25'!A:A,A54)+SUMIFS('Summary All - updated May25'!E:E,'Summary All - updated May25'!A:A,45),IF(A54=45,0,SUMIFS('Summary All - updated May25'!E:E,'Summary All - updated May25'!A:A,A54))))</f>
        <v>-3721757.6632769229</v>
      </c>
      <c r="G54" s="12">
        <f t="shared" si="12"/>
        <v>19043483.2920813</v>
      </c>
      <c r="H54" s="12">
        <f t="shared" si="13"/>
        <v>687207.37278698583</v>
      </c>
      <c r="I54" s="12">
        <f>IFERROR(VLOOKUP(A54,'CDS-A Study 2024 over 2023'!$A$3:$J$50,10,FALSE),0)</f>
        <v>0</v>
      </c>
      <c r="J54" s="12">
        <f t="shared" si="14"/>
        <v>0</v>
      </c>
      <c r="K54" s="37">
        <f>VLOOKUP(A54,'Summary All'!A51:$G$56,7,FALSE)</f>
        <v>1.3809623466457082</v>
      </c>
      <c r="L54" s="12">
        <f t="shared" si="15"/>
        <v>0</v>
      </c>
      <c r="M54" s="2">
        <f t="shared" si="16"/>
        <v>0</v>
      </c>
      <c r="N54" s="12">
        <f t="shared" si="17"/>
        <v>687207.37278698583</v>
      </c>
      <c r="O54" s="2">
        <f t="shared" si="18"/>
        <v>3.6086222370502026E-2</v>
      </c>
      <c r="P54" s="2"/>
      <c r="Q54" s="12"/>
      <c r="R54" s="12"/>
    </row>
    <row r="55" spans="1:18" ht="15.75" customHeight="1" x14ac:dyDescent="0.25">
      <c r="A55" s="1">
        <v>88</v>
      </c>
      <c r="B55" s="1">
        <f t="shared" si="19"/>
        <v>88</v>
      </c>
      <c r="C55" s="1" t="s">
        <v>57</v>
      </c>
      <c r="D55" s="2">
        <f t="shared" si="3"/>
        <v>3.6086222370502026E-2</v>
      </c>
      <c r="E55" s="12">
        <f>IF(A55=19,SUMIFS('Summary All - updated May25'!F:F,'Summary All - updated May25'!A:A,A55)+SUMIFS('Summary All - updated May25'!F:F,'Summary All - updated May25'!A:A,45),IF(A55=45,0,SUMIFS('Summary All - updated May25'!F:F,'Summary All - updated May25'!A:A,A55)))</f>
        <v>9264305.9164496437</v>
      </c>
      <c r="F55" s="12">
        <f>-1*(IF(A55=19,SUMIFS('Summary All - updated May25'!E:E,'Summary All - updated May25'!A:A,A55)+SUMIFS('Summary All - updated May25'!E:E,'Summary All - updated May25'!A:A,45),IF(A55=45,0,SUMIFS('Summary All - updated May25'!E:E,'Summary All - updated May25'!A:A,A55))))</f>
        <v>64261.857231127666</v>
      </c>
      <c r="G55" s="12">
        <f t="shared" si="12"/>
        <v>9328567.7736807708</v>
      </c>
      <c r="H55" s="12">
        <f t="shared" si="13"/>
        <v>336632.77107934334</v>
      </c>
      <c r="I55" s="12">
        <f>IFERROR(VLOOKUP(A55,'CDS-A Study 2024 over 2023'!$A$3:$J$50,10,FALSE),0)</f>
        <v>0</v>
      </c>
      <c r="J55" s="12">
        <f t="shared" si="14"/>
        <v>0</v>
      </c>
      <c r="K55" s="37">
        <f>VLOOKUP(A55,'Summary All'!A52:$G$56,7,FALSE)</f>
        <v>1.2012870353525753</v>
      </c>
      <c r="L55" s="12">
        <f t="shared" si="15"/>
        <v>0</v>
      </c>
      <c r="M55" s="2">
        <f t="shared" si="16"/>
        <v>0</v>
      </c>
      <c r="N55" s="12">
        <f t="shared" si="17"/>
        <v>336632.77107934334</v>
      </c>
      <c r="O55" s="2">
        <f t="shared" si="18"/>
        <v>3.6086222370502026E-2</v>
      </c>
      <c r="P55" s="2"/>
      <c r="Q55" s="12"/>
      <c r="R55" s="12"/>
    </row>
    <row r="56" spans="1:18" ht="15.75" customHeight="1" x14ac:dyDescent="0.25">
      <c r="A56" s="1">
        <v>333</v>
      </c>
      <c r="B56" s="1">
        <f t="shared" si="19"/>
        <v>333</v>
      </c>
      <c r="C56" s="1" t="s">
        <v>58</v>
      </c>
      <c r="D56" s="2">
        <f t="shared" si="3"/>
        <v>3.6086222370502026E-2</v>
      </c>
      <c r="E56" s="12">
        <f>IF(A56=19,SUMIFS('Summary All - updated May25'!F:F,'Summary All - updated May25'!A:A,A56)+SUMIFS('Summary All - updated May25'!F:F,'Summary All - updated May25'!A:A,45),IF(A56=45,0,SUMIFS('Summary All - updated May25'!F:F,'Summary All - updated May25'!A:A,A56)))</f>
        <v>24910300.686058871</v>
      </c>
      <c r="F56" s="12">
        <f>-1*(IF(A56=19,SUMIFS('Summary All - updated May25'!E:E,'Summary All - updated May25'!A:A,A56)+SUMIFS('Summary All - updated May25'!E:E,'Summary All - updated May25'!A:A,45),IF(A56=45,0,SUMIFS('Summary All - updated May25'!E:E,'Summary All - updated May25'!A:A,A56))))</f>
        <v>-96236.381017035717</v>
      </c>
      <c r="G56" s="12">
        <f t="shared" si="12"/>
        <v>24814064.305041835</v>
      </c>
      <c r="H56" s="12">
        <f t="shared" si="13"/>
        <v>895445.84242767643</v>
      </c>
      <c r="I56" s="12">
        <f>IFERROR(VLOOKUP(A56,'CDS-A Study 2024 over 2023'!$A$3:$J$50,10,FALSE),0)</f>
        <v>0</v>
      </c>
      <c r="J56" s="12">
        <f t="shared" si="14"/>
        <v>0</v>
      </c>
      <c r="K56" s="37">
        <f>VLOOKUP(A56,'Summary All'!A53:$G$56,7,FALSE)</f>
        <v>1.261482582785902</v>
      </c>
      <c r="L56" s="12">
        <f t="shared" si="15"/>
        <v>0</v>
      </c>
      <c r="M56" s="2">
        <f t="shared" si="16"/>
        <v>0</v>
      </c>
      <c r="N56" s="12">
        <f t="shared" si="17"/>
        <v>895445.84242767643</v>
      </c>
      <c r="O56" s="2">
        <f t="shared" si="18"/>
        <v>3.6086222370502026E-2</v>
      </c>
      <c r="P56" s="2"/>
      <c r="Q56" s="12"/>
      <c r="R56" s="12"/>
    </row>
    <row r="57" spans="1:18" ht="15.75" customHeight="1" x14ac:dyDescent="0.25">
      <c r="A57" s="1">
        <v>5033</v>
      </c>
      <c r="B57" s="1">
        <f t="shared" si="19"/>
        <v>5033</v>
      </c>
      <c r="C57" s="1" t="s">
        <v>59</v>
      </c>
      <c r="D57" s="2">
        <f t="shared" si="3"/>
        <v>3.6086222370502026E-2</v>
      </c>
      <c r="E57" s="12">
        <f>IF(A57=19,SUMIFS('Summary All - updated May25'!F:F,'Summary All - updated May25'!A:A,A57)+SUMIFS('Summary All - updated May25'!F:F,'Summary All - updated May25'!A:A,45),IF(A57=45,0,SUMIFS('Summary All - updated May25'!F:F,'Summary All - updated May25'!A:A,A57)))</f>
        <v>76327733.742024556</v>
      </c>
      <c r="F57" s="12">
        <f>-1*(IF(A57=19,SUMIFS('Summary All - updated May25'!E:E,'Summary All - updated May25'!A:A,A57)+SUMIFS('Summary All - updated May25'!E:E,'Summary All - updated May25'!A:A,45),IF(A57=45,0,SUMIFS('Summary All - updated May25'!E:E,'Summary All - updated May25'!A:A,A57))))</f>
        <v>-2616257.0238077133</v>
      </c>
      <c r="G57" s="12">
        <f t="shared" si="12"/>
        <v>73711476.718216836</v>
      </c>
      <c r="H57" s="12">
        <f t="shared" si="13"/>
        <v>2659968.7401116556</v>
      </c>
      <c r="I57" s="12">
        <f>IFERROR(VLOOKUP(A57,'CDS-A Study 2024 over 2023'!$A$3:$J$50,10,FALSE),0)</f>
        <v>0</v>
      </c>
      <c r="J57" s="12">
        <f t="shared" si="14"/>
        <v>0</v>
      </c>
      <c r="K57" s="37">
        <f>VLOOKUP(A57,'Summary All'!A54:$G$56,7,FALSE)</f>
        <v>1.1360078839078842</v>
      </c>
      <c r="L57" s="12">
        <f t="shared" si="15"/>
        <v>0</v>
      </c>
      <c r="M57" s="2">
        <f t="shared" si="16"/>
        <v>0</v>
      </c>
      <c r="N57" s="12">
        <f t="shared" si="17"/>
        <v>2659968.7401116556</v>
      </c>
      <c r="O57" s="2">
        <f t="shared" si="18"/>
        <v>3.6086222370502026E-2</v>
      </c>
      <c r="P57" s="2"/>
      <c r="Q57" s="12"/>
      <c r="R57" s="12"/>
    </row>
    <row r="58" spans="1:18" ht="15.75" customHeight="1" x14ac:dyDescent="0.25">
      <c r="A58" s="1">
        <v>8992</v>
      </c>
      <c r="B58" s="1">
        <f t="shared" si="19"/>
        <v>8992</v>
      </c>
      <c r="C58" s="1" t="s">
        <v>60</v>
      </c>
      <c r="D58" s="2">
        <f t="shared" si="3"/>
        <v>3.6086222370502026E-2</v>
      </c>
      <c r="E58" s="12">
        <f>IF(A58=19,SUMIFS('Summary All - updated May25'!F:F,'Summary All - updated May25'!A:A,A58)+SUMIFS('Summary All - updated May25'!F:F,'Summary All - updated May25'!A:A,45),IF(A58=45,0,SUMIFS('Summary All - updated May25'!F:F,'Summary All - updated May25'!A:A,A58)))</f>
        <v>285797358.77660698</v>
      </c>
      <c r="F58" s="12">
        <f>-1*(IF(A58=19,SUMIFS('Summary All - updated May25'!E:E,'Summary All - updated May25'!A:A,A58)+SUMIFS('Summary All - updated May25'!E:E,'Summary All - updated May25'!A:A,45),IF(A58=45,0,SUMIFS('Summary All - updated May25'!E:E,'Summary All - updated May25'!A:A,A58))))</f>
        <v>-8051376.7379963677</v>
      </c>
      <c r="G58" s="12">
        <f t="shared" si="12"/>
        <v>277745982.03861064</v>
      </c>
      <c r="H58" s="12">
        <f t="shared" si="13"/>
        <v>10022803.270358765</v>
      </c>
      <c r="I58" s="12">
        <f>IFERROR(VLOOKUP(A58,'CDS-A Study 2024 over 2023'!$A$3:$J$50,10,FALSE),0)</f>
        <v>25566.460938549222</v>
      </c>
      <c r="J58" s="12">
        <f t="shared" si="14"/>
        <v>25822.125547934716</v>
      </c>
      <c r="K58" s="37">
        <f>VLOOKUP(A58,'Summary All'!A55:$G$56,7,FALSE)</f>
        <v>1.1193480985155428</v>
      </c>
      <c r="L58" s="12">
        <f t="shared" si="15"/>
        <v>289.03947131710345</v>
      </c>
      <c r="M58" s="2">
        <f t="shared" si="16"/>
        <v>1.0406612156748422E-6</v>
      </c>
      <c r="N58" s="12">
        <f t="shared" si="17"/>
        <v>10023092.309830083</v>
      </c>
      <c r="O58" s="2">
        <f t="shared" si="18"/>
        <v>3.6087263031717699E-2</v>
      </c>
      <c r="P58" s="2"/>
      <c r="Q58" s="12"/>
      <c r="R58" s="12"/>
    </row>
    <row r="59" spans="1:18" ht="15.75" customHeight="1" x14ac:dyDescent="0.25">
      <c r="A59" s="1">
        <v>65</v>
      </c>
      <c r="B59" s="1">
        <f t="shared" si="19"/>
        <v>65</v>
      </c>
      <c r="C59" s="1" t="s">
        <v>61</v>
      </c>
      <c r="D59" s="2">
        <f t="shared" si="3"/>
        <v>3.6086222370502026E-2</v>
      </c>
      <c r="E59" s="12">
        <f>IF(A59=19,SUMIFS('Summary All - updated May25'!F:F,'Summary All - updated May25'!A:A,A59)+SUMIFS('Summary All - updated May25'!F:F,'Summary All - updated May25'!A:A,45),IF(A59=45,0,SUMIFS('Summary All - updated May25'!F:F,'Summary All - updated May25'!A:A,A59)))</f>
        <v>180482137.8732914</v>
      </c>
      <c r="F59" s="12">
        <f>-1*(IF(A59=19,SUMIFS('Summary All - updated May25'!E:E,'Summary All - updated May25'!A:A,A59)+SUMIFS('Summary All - updated May25'!E:E,'Summary All - updated May25'!A:A,45),IF(A59=45,0,SUMIFS('Summary All - updated May25'!E:E,'Summary All - updated May25'!A:A,A59))))</f>
        <v>-5024243.5393009819</v>
      </c>
      <c r="G59" s="12">
        <f t="shared" si="12"/>
        <v>175457894.33399042</v>
      </c>
      <c r="H59" s="12">
        <f t="shared" si="13"/>
        <v>6331612.5915964255</v>
      </c>
      <c r="I59" s="12">
        <f>IFERROR(VLOOKUP(A59,'CDS-A Study 2024 over 2023'!$A$3:$J$50,10,FALSE),0)</f>
        <v>129606.76064789247</v>
      </c>
      <c r="J59" s="12">
        <f t="shared" si="14"/>
        <v>130902.8282543714</v>
      </c>
      <c r="K59" s="37">
        <f>VLOOKUP(A59,'Summary All'!A56:$G$56,7,FALSE)</f>
        <v>1.1115533795130321</v>
      </c>
      <c r="L59" s="12">
        <f t="shared" si="15"/>
        <v>1455.0548113396057</v>
      </c>
      <c r="M59" s="2">
        <f t="shared" si="16"/>
        <v>8.2929002246536509E-6</v>
      </c>
      <c r="N59" s="12">
        <f t="shared" si="17"/>
        <v>6333067.6464077653</v>
      </c>
      <c r="O59" s="2">
        <f t="shared" si="18"/>
        <v>3.6094515270726678E-2</v>
      </c>
      <c r="P59" s="2"/>
      <c r="Q59" s="12"/>
      <c r="R59" s="12"/>
    </row>
    <row r="60" spans="1:18" ht="15.75" customHeight="1" x14ac:dyDescent="0.25"/>
    <row r="61" spans="1:18" ht="15.75" customHeight="1" x14ac:dyDescent="0.25"/>
    <row r="62" spans="1:18" ht="15.75" customHeight="1" x14ac:dyDescent="0.25">
      <c r="A62" s="1" t="s">
        <v>62</v>
      </c>
    </row>
    <row r="63" spans="1:18" ht="15.75" customHeight="1" x14ac:dyDescent="0.25">
      <c r="A63" s="45" t="s">
        <v>64</v>
      </c>
    </row>
    <row r="64" spans="1:18" ht="15.75" customHeight="1" x14ac:dyDescent="0.25">
      <c r="A64" s="45" t="s">
        <v>63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25" right="0.25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workbookViewId="0">
      <selection activeCell="L9" sqref="L9"/>
    </sheetView>
  </sheetViews>
  <sheetFormatPr defaultColWidth="12.5703125" defaultRowHeight="15" customHeight="1" x14ac:dyDescent="0.25"/>
  <cols>
    <col min="2" max="2" width="29.7109375" bestFit="1" customWidth="1"/>
    <col min="3" max="3" width="14.28515625" bestFit="1" customWidth="1"/>
    <col min="9" max="9" width="3.140625" customWidth="1"/>
    <col min="10" max="10" width="16.5703125" customWidth="1"/>
    <col min="13" max="14" width="14.42578125" style="19" bestFit="1" customWidth="1"/>
  </cols>
  <sheetData>
    <row r="1" spans="1:15" ht="46.5" customHeight="1" x14ac:dyDescent="0.25">
      <c r="A1" s="23" t="s">
        <v>176</v>
      </c>
      <c r="B1" s="23" t="s">
        <v>6</v>
      </c>
      <c r="C1" s="23" t="s">
        <v>177</v>
      </c>
      <c r="D1" s="23" t="s">
        <v>178</v>
      </c>
      <c r="E1" s="41" t="s">
        <v>196</v>
      </c>
      <c r="F1" s="41" t="s">
        <v>179</v>
      </c>
      <c r="G1" s="23" t="s">
        <v>180</v>
      </c>
      <c r="H1" s="23" t="s">
        <v>181</v>
      </c>
      <c r="I1" s="22"/>
      <c r="J1" s="23" t="s">
        <v>182</v>
      </c>
      <c r="K1" s="23" t="s">
        <v>181</v>
      </c>
      <c r="M1" s="41"/>
      <c r="N1" s="41"/>
    </row>
    <row r="2" spans="1:15" ht="15" customHeight="1" x14ac:dyDescent="0.25">
      <c r="A2" s="22"/>
      <c r="B2" s="22"/>
      <c r="C2" s="22"/>
      <c r="D2" s="22"/>
      <c r="E2" s="24"/>
      <c r="F2" s="24"/>
      <c r="G2" s="24"/>
      <c r="H2" s="22"/>
      <c r="I2" s="22"/>
      <c r="J2" s="24"/>
      <c r="K2" s="22"/>
    </row>
    <row r="3" spans="1:15" ht="15" customHeight="1" x14ac:dyDescent="0.25">
      <c r="A3" s="22">
        <v>1</v>
      </c>
      <c r="B3" s="22" t="s">
        <v>65</v>
      </c>
      <c r="C3" s="30" t="s">
        <v>183</v>
      </c>
      <c r="D3" s="28" t="s">
        <v>66</v>
      </c>
      <c r="E3" s="24">
        <v>27313882.009747189</v>
      </c>
      <c r="F3" s="24">
        <v>21255494.642535206</v>
      </c>
      <c r="G3" s="24">
        <v>6058387.3672119826</v>
      </c>
      <c r="H3" s="24" t="s">
        <v>67</v>
      </c>
      <c r="I3" s="24"/>
      <c r="J3" s="24">
        <v>27313882.009747189</v>
      </c>
      <c r="K3" s="24" t="s">
        <v>67</v>
      </c>
      <c r="O3" s="38"/>
    </row>
    <row r="4" spans="1:15" ht="15" customHeight="1" x14ac:dyDescent="0.25">
      <c r="A4" s="22">
        <v>2</v>
      </c>
      <c r="B4" s="25" t="s">
        <v>68</v>
      </c>
      <c r="C4" s="30" t="s">
        <v>184</v>
      </c>
      <c r="D4" s="28" t="s">
        <v>69</v>
      </c>
      <c r="E4" s="24">
        <v>72048210.887830511</v>
      </c>
      <c r="F4" s="24">
        <v>77155194.899188355</v>
      </c>
      <c r="G4" s="24">
        <v>-5106984.0113578439</v>
      </c>
      <c r="H4" s="24" t="s">
        <v>67</v>
      </c>
      <c r="I4" s="24"/>
      <c r="J4" s="24">
        <v>72048210.887830511</v>
      </c>
      <c r="K4" s="24" t="s">
        <v>67</v>
      </c>
      <c r="O4" s="38"/>
    </row>
    <row r="5" spans="1:15" ht="15" customHeight="1" x14ac:dyDescent="0.25">
      <c r="A5" s="22">
        <v>3</v>
      </c>
      <c r="B5" s="25" t="s">
        <v>70</v>
      </c>
      <c r="C5" s="30" t="s">
        <v>184</v>
      </c>
      <c r="D5" s="28" t="s">
        <v>69</v>
      </c>
      <c r="E5" s="24">
        <v>223058.05442664895</v>
      </c>
      <c r="F5" s="24">
        <v>129356.09963496251</v>
      </c>
      <c r="G5" s="24">
        <v>93701.954791686439</v>
      </c>
      <c r="H5" s="24" t="s">
        <v>67</v>
      </c>
      <c r="I5" s="24"/>
      <c r="J5" s="24">
        <v>223058.05442664895</v>
      </c>
      <c r="K5" s="24" t="s">
        <v>67</v>
      </c>
      <c r="O5" s="38"/>
    </row>
    <row r="6" spans="1:15" ht="15" customHeight="1" x14ac:dyDescent="0.25">
      <c r="A6" s="22">
        <v>4</v>
      </c>
      <c r="B6" s="22" t="s">
        <v>71</v>
      </c>
      <c r="C6" s="30" t="s">
        <v>72</v>
      </c>
      <c r="D6" s="28" t="s">
        <v>73</v>
      </c>
      <c r="E6" s="24">
        <v>418216.60520416952</v>
      </c>
      <c r="F6" s="24">
        <v>478327.13677089318</v>
      </c>
      <c r="G6" s="24">
        <v>-60110.531566723657</v>
      </c>
      <c r="H6" s="24" t="s">
        <v>67</v>
      </c>
      <c r="I6" s="24"/>
      <c r="J6" s="24">
        <v>418216.60520416952</v>
      </c>
      <c r="K6" s="24" t="s">
        <v>67</v>
      </c>
      <c r="O6" s="38"/>
    </row>
    <row r="7" spans="1:15" ht="15" customHeight="1" x14ac:dyDescent="0.25">
      <c r="A7" s="22">
        <v>5</v>
      </c>
      <c r="B7" s="22" t="s">
        <v>74</v>
      </c>
      <c r="C7" s="28"/>
      <c r="D7" s="28" t="s">
        <v>75</v>
      </c>
      <c r="E7" s="24">
        <v>0</v>
      </c>
      <c r="F7" s="24">
        <v>0</v>
      </c>
      <c r="G7" s="24">
        <v>0</v>
      </c>
      <c r="H7" s="24"/>
      <c r="I7" s="24"/>
      <c r="J7" s="24">
        <v>0</v>
      </c>
      <c r="K7" s="24"/>
      <c r="O7" s="38"/>
    </row>
    <row r="8" spans="1:15" ht="15" customHeight="1" x14ac:dyDescent="0.25">
      <c r="A8" s="22">
        <v>6</v>
      </c>
      <c r="B8" s="25" t="s">
        <v>76</v>
      </c>
      <c r="C8" s="30" t="s">
        <v>184</v>
      </c>
      <c r="D8" s="28" t="s">
        <v>185</v>
      </c>
      <c r="E8" s="24">
        <v>521993.25100000005</v>
      </c>
      <c r="F8" s="24">
        <v>641443.52100000007</v>
      </c>
      <c r="G8" s="24">
        <v>-119450.27000000002</v>
      </c>
      <c r="H8" s="24" t="s">
        <v>77</v>
      </c>
      <c r="I8" s="24"/>
      <c r="J8" s="24">
        <v>521993.25100000005</v>
      </c>
      <c r="K8" s="24" t="s">
        <v>77</v>
      </c>
      <c r="O8" s="38"/>
    </row>
    <row r="9" spans="1:15" ht="15" customHeight="1" x14ac:dyDescent="0.25">
      <c r="A9" s="22">
        <v>8</v>
      </c>
      <c r="B9" s="22" t="s">
        <v>16</v>
      </c>
      <c r="C9" s="30" t="s">
        <v>78</v>
      </c>
      <c r="D9" s="28" t="s">
        <v>66</v>
      </c>
      <c r="E9" s="24">
        <v>11403072.745039936</v>
      </c>
      <c r="F9" s="24">
        <v>9398398.457110798</v>
      </c>
      <c r="G9" s="24">
        <v>2004674.2879291382</v>
      </c>
      <c r="H9" s="24" t="s">
        <v>67</v>
      </c>
      <c r="I9" s="24"/>
      <c r="J9" s="24">
        <v>11403072.745039936</v>
      </c>
      <c r="K9" s="24" t="s">
        <v>67</v>
      </c>
      <c r="O9" s="38"/>
    </row>
    <row r="10" spans="1:15" ht="15" customHeight="1" x14ac:dyDescent="0.25">
      <c r="A10" s="22">
        <v>9</v>
      </c>
      <c r="B10" s="26" t="s">
        <v>79</v>
      </c>
      <c r="C10" s="30" t="s">
        <v>80</v>
      </c>
      <c r="D10" s="28" t="s">
        <v>69</v>
      </c>
      <c r="E10" s="24">
        <v>131523852.72806339</v>
      </c>
      <c r="F10" s="24">
        <v>113978696.50784269</v>
      </c>
      <c r="G10" s="24">
        <v>17545156.2202207</v>
      </c>
      <c r="H10" s="24" t="s">
        <v>67</v>
      </c>
      <c r="I10" s="24"/>
      <c r="J10" s="24">
        <v>131523852.72806339</v>
      </c>
      <c r="K10" s="24" t="s">
        <v>67</v>
      </c>
      <c r="O10" s="38"/>
    </row>
    <row r="11" spans="1:15" ht="15" customHeight="1" x14ac:dyDescent="0.25">
      <c r="A11" s="22">
        <v>10</v>
      </c>
      <c r="B11" s="25" t="s">
        <v>81</v>
      </c>
      <c r="C11" s="30" t="s">
        <v>184</v>
      </c>
      <c r="D11" s="28" t="s">
        <v>185</v>
      </c>
      <c r="E11" s="24">
        <v>59510.298000000003</v>
      </c>
      <c r="F11" s="24">
        <v>64274.634999999995</v>
      </c>
      <c r="G11" s="24">
        <v>-4764.3369999999923</v>
      </c>
      <c r="H11" s="24" t="s">
        <v>77</v>
      </c>
      <c r="I11" s="24"/>
      <c r="J11" s="24">
        <v>59510.298000000003</v>
      </c>
      <c r="K11" s="24" t="s">
        <v>77</v>
      </c>
      <c r="O11" s="38"/>
    </row>
    <row r="12" spans="1:15" ht="15" customHeight="1" x14ac:dyDescent="0.25">
      <c r="A12" s="22">
        <v>11</v>
      </c>
      <c r="B12" s="22" t="s">
        <v>82</v>
      </c>
      <c r="C12" s="30" t="s">
        <v>83</v>
      </c>
      <c r="D12" s="28" t="s">
        <v>185</v>
      </c>
      <c r="E12" s="24">
        <v>12904246.985234728</v>
      </c>
      <c r="F12" s="24">
        <v>12013079.625598282</v>
      </c>
      <c r="G12" s="24">
        <v>891167.35963644646</v>
      </c>
      <c r="H12" s="24" t="s">
        <v>67</v>
      </c>
      <c r="I12" s="24"/>
      <c r="J12" s="24">
        <v>12904246.985234728</v>
      </c>
      <c r="K12" s="24" t="s">
        <v>67</v>
      </c>
      <c r="O12" s="38"/>
    </row>
    <row r="13" spans="1:15" ht="15" customHeight="1" x14ac:dyDescent="0.25">
      <c r="A13" s="22">
        <v>12</v>
      </c>
      <c r="B13" s="27" t="s">
        <v>84</v>
      </c>
      <c r="C13" s="30" t="s">
        <v>85</v>
      </c>
      <c r="D13" s="28" t="s">
        <v>66</v>
      </c>
      <c r="E13" s="24">
        <v>19331391.246360492</v>
      </c>
      <c r="F13" s="24">
        <v>13242186.097563691</v>
      </c>
      <c r="G13" s="24">
        <v>6089205.1487968005</v>
      </c>
      <c r="H13" s="24" t="s">
        <v>67</v>
      </c>
      <c r="I13" s="24"/>
      <c r="J13" s="24">
        <v>19331391.246360492</v>
      </c>
      <c r="K13" s="24" t="s">
        <v>67</v>
      </c>
      <c r="O13" s="38"/>
    </row>
    <row r="14" spans="1:15" ht="15" customHeight="1" x14ac:dyDescent="0.25">
      <c r="A14" s="22">
        <v>13</v>
      </c>
      <c r="B14" s="27" t="s">
        <v>86</v>
      </c>
      <c r="C14" s="28" t="s">
        <v>85</v>
      </c>
      <c r="D14" s="28" t="s">
        <v>66</v>
      </c>
      <c r="E14" s="24">
        <v>0</v>
      </c>
      <c r="F14" s="24">
        <v>0</v>
      </c>
      <c r="G14" s="24">
        <v>0</v>
      </c>
      <c r="H14" s="24"/>
      <c r="I14" s="24"/>
      <c r="J14" s="24">
        <v>0</v>
      </c>
      <c r="K14" s="24"/>
      <c r="O14" s="38"/>
    </row>
    <row r="15" spans="1:15" ht="15" customHeight="1" x14ac:dyDescent="0.25">
      <c r="A15" s="22">
        <v>15</v>
      </c>
      <c r="B15" s="28" t="s">
        <v>87</v>
      </c>
      <c r="C15" s="30" t="s">
        <v>88</v>
      </c>
      <c r="D15" s="28" t="s">
        <v>73</v>
      </c>
      <c r="E15" s="24">
        <v>30823892.469795655</v>
      </c>
      <c r="F15" s="24">
        <v>25498213.079593405</v>
      </c>
      <c r="G15" s="24">
        <v>5325679.3902022503</v>
      </c>
      <c r="H15" s="24" t="s">
        <v>67</v>
      </c>
      <c r="I15" s="24"/>
      <c r="J15" s="24">
        <v>30823892.469795655</v>
      </c>
      <c r="K15" s="24" t="s">
        <v>67</v>
      </c>
      <c r="O15" s="38"/>
    </row>
    <row r="16" spans="1:15" ht="15" customHeight="1" x14ac:dyDescent="0.25">
      <c r="A16" s="22">
        <v>16</v>
      </c>
      <c r="B16" s="22" t="s">
        <v>89</v>
      </c>
      <c r="C16" s="30" t="s">
        <v>90</v>
      </c>
      <c r="D16" s="28" t="s">
        <v>75</v>
      </c>
      <c r="E16" s="24">
        <v>149114.27448018824</v>
      </c>
      <c r="F16" s="24">
        <v>90116.928766986006</v>
      </c>
      <c r="G16" s="24">
        <v>58997.34571320223</v>
      </c>
      <c r="H16" s="24" t="s">
        <v>67</v>
      </c>
      <c r="I16" s="24"/>
      <c r="J16" s="24">
        <v>149114.27448018824</v>
      </c>
      <c r="K16" s="24" t="s">
        <v>67</v>
      </c>
      <c r="O16" s="38"/>
    </row>
    <row r="17" spans="1:15" ht="15" customHeight="1" x14ac:dyDescent="0.25">
      <c r="A17" s="22">
        <v>17</v>
      </c>
      <c r="B17" s="22" t="s">
        <v>91</v>
      </c>
      <c r="C17" s="30" t="s">
        <v>92</v>
      </c>
      <c r="D17" s="28" t="s">
        <v>75</v>
      </c>
      <c r="E17" s="24">
        <v>4165073.7543958295</v>
      </c>
      <c r="F17" s="24">
        <v>3876278.7972396379</v>
      </c>
      <c r="G17" s="24">
        <v>288794.95715619158</v>
      </c>
      <c r="H17" s="24" t="s">
        <v>67</v>
      </c>
      <c r="I17" s="24"/>
      <c r="J17" s="24">
        <v>4165073.7543958295</v>
      </c>
      <c r="K17" s="24" t="s">
        <v>67</v>
      </c>
      <c r="O17" s="38"/>
    </row>
    <row r="18" spans="1:15" ht="15" customHeight="1" x14ac:dyDescent="0.25">
      <c r="A18" s="22">
        <v>18</v>
      </c>
      <c r="B18" s="28" t="s">
        <v>93</v>
      </c>
      <c r="C18" s="30" t="s">
        <v>88</v>
      </c>
      <c r="D18" s="28" t="s">
        <v>73</v>
      </c>
      <c r="E18" s="24">
        <v>7710041.947399999</v>
      </c>
      <c r="F18" s="24">
        <v>7853380.1322000008</v>
      </c>
      <c r="G18" s="24">
        <v>-143338.18480000179</v>
      </c>
      <c r="H18" s="24" t="s">
        <v>77</v>
      </c>
      <c r="I18" s="24"/>
      <c r="J18" s="24">
        <v>7710041.947399999</v>
      </c>
      <c r="K18" s="24" t="s">
        <v>77</v>
      </c>
      <c r="O18" s="38"/>
    </row>
    <row r="19" spans="1:15" ht="15" customHeight="1" x14ac:dyDescent="0.25">
      <c r="A19" s="22">
        <v>19</v>
      </c>
      <c r="B19" s="22" t="s">
        <v>94</v>
      </c>
      <c r="C19" s="30" t="s">
        <v>186</v>
      </c>
      <c r="D19" s="28" t="s">
        <v>75</v>
      </c>
      <c r="E19" s="24">
        <v>4967277.4458765639</v>
      </c>
      <c r="F19" s="24">
        <v>4383412.0388975535</v>
      </c>
      <c r="G19" s="24">
        <v>583865.40697901044</v>
      </c>
      <c r="H19" s="24" t="s">
        <v>67</v>
      </c>
      <c r="I19" s="24"/>
      <c r="J19" s="24">
        <v>4967277.4458765639</v>
      </c>
      <c r="K19" s="24" t="s">
        <v>67</v>
      </c>
      <c r="O19" s="38"/>
    </row>
    <row r="20" spans="1:15" ht="15" customHeight="1" x14ac:dyDescent="0.25">
      <c r="A20" s="22">
        <v>22</v>
      </c>
      <c r="B20" s="26" t="s">
        <v>95</v>
      </c>
      <c r="C20" s="30" t="s">
        <v>80</v>
      </c>
      <c r="D20" s="28" t="s">
        <v>69</v>
      </c>
      <c r="E20" s="24">
        <v>333864.90099999995</v>
      </c>
      <c r="F20" s="24">
        <v>338236.57299999997</v>
      </c>
      <c r="G20" s="24">
        <v>-4371.6720000000205</v>
      </c>
      <c r="H20" s="24" t="s">
        <v>77</v>
      </c>
      <c r="I20" s="24"/>
      <c r="J20" s="24">
        <v>333864.90099999995</v>
      </c>
      <c r="K20" s="24" t="s">
        <v>77</v>
      </c>
      <c r="O20" s="38"/>
    </row>
    <row r="21" spans="1:15" ht="15" customHeight="1" x14ac:dyDescent="0.25">
      <c r="A21" s="22">
        <v>23</v>
      </c>
      <c r="B21" s="22" t="s">
        <v>28</v>
      </c>
      <c r="C21" s="30" t="s">
        <v>96</v>
      </c>
      <c r="D21" s="28" t="s">
        <v>73</v>
      </c>
      <c r="E21" s="24">
        <v>8430748.7217999995</v>
      </c>
      <c r="F21" s="24">
        <v>17798238.426399998</v>
      </c>
      <c r="G21" s="24">
        <v>-9367489.7045999989</v>
      </c>
      <c r="H21" s="24" t="s">
        <v>77</v>
      </c>
      <c r="I21" s="24"/>
      <c r="J21" s="24">
        <v>3037702.2939999993</v>
      </c>
      <c r="K21" s="24" t="s">
        <v>77</v>
      </c>
      <c r="O21" s="38"/>
    </row>
    <row r="22" spans="1:15" ht="15" customHeight="1" x14ac:dyDescent="0.25">
      <c r="A22" s="22">
        <v>24</v>
      </c>
      <c r="B22" s="28" t="s">
        <v>97</v>
      </c>
      <c r="C22" s="30" t="s">
        <v>88</v>
      </c>
      <c r="D22" s="28" t="s">
        <v>73</v>
      </c>
      <c r="E22" s="24">
        <v>141319.57092066383</v>
      </c>
      <c r="F22" s="24">
        <v>88370.091190330495</v>
      </c>
      <c r="G22" s="24">
        <v>52949.479730333333</v>
      </c>
      <c r="H22" s="24" t="s">
        <v>67</v>
      </c>
      <c r="I22" s="24"/>
      <c r="J22" s="24">
        <v>141319.57092066383</v>
      </c>
      <c r="K22" s="24" t="s">
        <v>67</v>
      </c>
      <c r="O22" s="38"/>
    </row>
    <row r="23" spans="1:15" ht="15" customHeight="1" x14ac:dyDescent="0.25">
      <c r="A23" s="22">
        <v>27</v>
      </c>
      <c r="B23" s="22" t="s">
        <v>98</v>
      </c>
      <c r="C23" s="30" t="s">
        <v>99</v>
      </c>
      <c r="D23" s="28" t="s">
        <v>75</v>
      </c>
      <c r="E23" s="24">
        <v>16504394.602894727</v>
      </c>
      <c r="F23" s="24">
        <v>17229466.426054735</v>
      </c>
      <c r="G23" s="24">
        <v>-725071.8231600076</v>
      </c>
      <c r="H23" s="24" t="s">
        <v>100</v>
      </c>
      <c r="I23" s="24"/>
      <c r="J23" s="24">
        <v>16504394.602894727</v>
      </c>
      <c r="K23" s="24" t="s">
        <v>100</v>
      </c>
      <c r="L23" s="44" t="s">
        <v>206</v>
      </c>
      <c r="O23" s="38"/>
    </row>
    <row r="24" spans="1:15" ht="15" customHeight="1" x14ac:dyDescent="0.25">
      <c r="A24" s="22">
        <v>28</v>
      </c>
      <c r="B24" s="28" t="s">
        <v>101</v>
      </c>
      <c r="C24" s="30" t="s">
        <v>88</v>
      </c>
      <c r="D24" s="28" t="s">
        <v>73</v>
      </c>
      <c r="E24" s="24">
        <v>5555228.2338512829</v>
      </c>
      <c r="F24" s="24">
        <v>3801502.1455420111</v>
      </c>
      <c r="G24" s="24">
        <v>1753726.0883092717</v>
      </c>
      <c r="H24" s="24" t="s">
        <v>67</v>
      </c>
      <c r="I24" s="24"/>
      <c r="J24" s="24">
        <v>5555228.2338512829</v>
      </c>
      <c r="K24" s="24" t="s">
        <v>67</v>
      </c>
      <c r="O24" s="38"/>
    </row>
    <row r="25" spans="1:15" ht="15" customHeight="1" x14ac:dyDescent="0.25">
      <c r="A25" s="22">
        <v>29</v>
      </c>
      <c r="B25" s="26" t="s">
        <v>102</v>
      </c>
      <c r="C25" s="30" t="s">
        <v>80</v>
      </c>
      <c r="D25" s="28" t="s">
        <v>69</v>
      </c>
      <c r="E25" s="24">
        <v>20560462.175720654</v>
      </c>
      <c r="F25" s="24">
        <v>18935911.512181599</v>
      </c>
      <c r="G25" s="24">
        <v>1624550.6635390557</v>
      </c>
      <c r="H25" s="24" t="s">
        <v>67</v>
      </c>
      <c r="I25" s="24"/>
      <c r="J25" s="24">
        <v>20560462.175720654</v>
      </c>
      <c r="K25" s="24" t="s">
        <v>67</v>
      </c>
      <c r="O25" s="38"/>
    </row>
    <row r="26" spans="1:15" ht="15" customHeight="1" x14ac:dyDescent="0.25">
      <c r="A26" s="22">
        <v>30</v>
      </c>
      <c r="B26" s="25" t="s">
        <v>103</v>
      </c>
      <c r="C26" s="30" t="s">
        <v>184</v>
      </c>
      <c r="D26" s="28" t="s">
        <v>185</v>
      </c>
      <c r="E26" s="24">
        <v>150319.117</v>
      </c>
      <c r="F26" s="24">
        <v>89474.39899999999</v>
      </c>
      <c r="G26" s="24">
        <v>60844.718000000008</v>
      </c>
      <c r="H26" s="24" t="s">
        <v>77</v>
      </c>
      <c r="I26" s="24"/>
      <c r="J26" s="24">
        <v>150319.117</v>
      </c>
      <c r="K26" s="24" t="s">
        <v>77</v>
      </c>
      <c r="O26" s="38"/>
    </row>
    <row r="27" spans="1:15" ht="15" customHeight="1" x14ac:dyDescent="0.25">
      <c r="A27" s="22">
        <v>32</v>
      </c>
      <c r="B27" s="22" t="s">
        <v>104</v>
      </c>
      <c r="C27" s="30" t="s">
        <v>105</v>
      </c>
      <c r="D27" s="28" t="s">
        <v>66</v>
      </c>
      <c r="E27" s="24">
        <v>8249786.6160000004</v>
      </c>
      <c r="F27" s="24">
        <v>9685056.1739999987</v>
      </c>
      <c r="G27" s="24">
        <v>-1435269.5579999983</v>
      </c>
      <c r="H27" s="24" t="s">
        <v>77</v>
      </c>
      <c r="I27" s="24"/>
      <c r="J27" s="24">
        <v>5389339</v>
      </c>
      <c r="K27" s="24" t="s">
        <v>67</v>
      </c>
      <c r="O27" s="38"/>
    </row>
    <row r="28" spans="1:15" ht="15" customHeight="1" x14ac:dyDescent="0.25">
      <c r="A28" s="22">
        <v>33</v>
      </c>
      <c r="B28" s="27" t="s">
        <v>106</v>
      </c>
      <c r="C28" s="30" t="s">
        <v>85</v>
      </c>
      <c r="D28" s="28" t="s">
        <v>66</v>
      </c>
      <c r="E28" s="24">
        <v>12352758.372560617</v>
      </c>
      <c r="F28" s="24">
        <v>11225241.859098757</v>
      </c>
      <c r="G28" s="24">
        <v>1127516.5134618599</v>
      </c>
      <c r="H28" s="24" t="s">
        <v>67</v>
      </c>
      <c r="I28" s="24"/>
      <c r="J28" s="24">
        <v>12352758.372560617</v>
      </c>
      <c r="K28" s="24" t="s">
        <v>67</v>
      </c>
      <c r="O28" s="38"/>
    </row>
    <row r="29" spans="1:15" ht="15" customHeight="1" x14ac:dyDescent="0.25">
      <c r="A29" s="22">
        <v>34</v>
      </c>
      <c r="B29" s="28" t="s">
        <v>107</v>
      </c>
      <c r="C29" s="30" t="s">
        <v>88</v>
      </c>
      <c r="D29" s="28" t="s">
        <v>73</v>
      </c>
      <c r="E29" s="24">
        <v>318016.03418724495</v>
      </c>
      <c r="F29" s="24">
        <v>231489.0843183136</v>
      </c>
      <c r="G29" s="24">
        <v>86526.949868931348</v>
      </c>
      <c r="H29" s="24" t="s">
        <v>67</v>
      </c>
      <c r="I29" s="24"/>
      <c r="J29" s="24">
        <v>318016.03418724495</v>
      </c>
      <c r="K29" s="24" t="s">
        <v>67</v>
      </c>
      <c r="O29" s="38"/>
    </row>
    <row r="30" spans="1:15" ht="15" customHeight="1" x14ac:dyDescent="0.25">
      <c r="A30" s="22">
        <v>35</v>
      </c>
      <c r="B30" s="25" t="s">
        <v>108</v>
      </c>
      <c r="C30" s="30" t="s">
        <v>184</v>
      </c>
      <c r="D30" s="28" t="s">
        <v>185</v>
      </c>
      <c r="E30" s="24">
        <v>767917.36</v>
      </c>
      <c r="F30" s="24">
        <v>709565.41900000011</v>
      </c>
      <c r="G30" s="24">
        <v>58351.940999999875</v>
      </c>
      <c r="H30" s="24" t="s">
        <v>77</v>
      </c>
      <c r="I30" s="24"/>
      <c r="J30" s="24">
        <v>767917.36</v>
      </c>
      <c r="K30" s="24" t="s">
        <v>77</v>
      </c>
      <c r="O30" s="38"/>
    </row>
    <row r="31" spans="1:15" ht="15" customHeight="1" x14ac:dyDescent="0.25">
      <c r="A31" s="22">
        <v>37</v>
      </c>
      <c r="B31" s="25" t="s">
        <v>109</v>
      </c>
      <c r="C31" s="30" t="s">
        <v>184</v>
      </c>
      <c r="D31" s="28" t="s">
        <v>185</v>
      </c>
      <c r="E31" s="24">
        <v>6091603.5460000001</v>
      </c>
      <c r="F31" s="24">
        <v>10940392.512</v>
      </c>
      <c r="G31" s="24">
        <v>-4848788.966</v>
      </c>
      <c r="H31" s="24" t="s">
        <v>67</v>
      </c>
      <c r="I31" s="24"/>
      <c r="J31" s="24">
        <v>6091603.5460000001</v>
      </c>
      <c r="K31" s="24" t="s">
        <v>67</v>
      </c>
      <c r="O31" s="38"/>
    </row>
    <row r="32" spans="1:15" ht="15" customHeight="1" x14ac:dyDescent="0.25">
      <c r="A32" s="22">
        <v>38</v>
      </c>
      <c r="B32" s="25" t="s">
        <v>110</v>
      </c>
      <c r="C32" s="30" t="s">
        <v>184</v>
      </c>
      <c r="D32" s="28" t="s">
        <v>69</v>
      </c>
      <c r="E32" s="24">
        <v>548605.29806684726</v>
      </c>
      <c r="F32" s="24">
        <v>194080.42738720632</v>
      </c>
      <c r="G32" s="24">
        <v>354524.87067964091</v>
      </c>
      <c r="H32" s="24" t="s">
        <v>67</v>
      </c>
      <c r="I32" s="24"/>
      <c r="J32" s="24">
        <v>548605.29806684726</v>
      </c>
      <c r="K32" s="24" t="s">
        <v>67</v>
      </c>
      <c r="O32" s="38"/>
    </row>
    <row r="33" spans="1:15" ht="15" customHeight="1" x14ac:dyDescent="0.25">
      <c r="A33" s="22">
        <v>39</v>
      </c>
      <c r="B33" s="22" t="s">
        <v>111</v>
      </c>
      <c r="C33" s="30" t="s">
        <v>112</v>
      </c>
      <c r="D33" s="28" t="s">
        <v>75</v>
      </c>
      <c r="E33" s="24">
        <v>8458389.8460000008</v>
      </c>
      <c r="F33" s="24">
        <v>9451195.5199999958</v>
      </c>
      <c r="G33" s="24">
        <v>-992805.67399999499</v>
      </c>
      <c r="H33" s="24" t="s">
        <v>77</v>
      </c>
      <c r="I33" s="24"/>
      <c r="J33" s="24">
        <v>8458389.8460000008</v>
      </c>
      <c r="K33" s="24" t="s">
        <v>77</v>
      </c>
      <c r="O33" s="38"/>
    </row>
    <row r="34" spans="1:15" ht="15" customHeight="1" x14ac:dyDescent="0.25">
      <c r="A34" s="22">
        <v>40</v>
      </c>
      <c r="B34" s="27" t="s">
        <v>113</v>
      </c>
      <c r="C34" s="30" t="s">
        <v>85</v>
      </c>
      <c r="D34" s="28" t="s">
        <v>66</v>
      </c>
      <c r="E34" s="24">
        <v>295263.73599999998</v>
      </c>
      <c r="F34" s="24">
        <v>4070695.9149999996</v>
      </c>
      <c r="G34" s="24">
        <v>-3775432.1789999995</v>
      </c>
      <c r="H34" s="24" t="s">
        <v>77</v>
      </c>
      <c r="I34" s="24"/>
      <c r="J34" s="24">
        <v>0</v>
      </c>
      <c r="K34" s="24"/>
      <c r="O34" s="38"/>
    </row>
    <row r="35" spans="1:15" ht="15" customHeight="1" x14ac:dyDescent="0.25">
      <c r="A35" s="22">
        <v>43</v>
      </c>
      <c r="B35" s="25" t="s">
        <v>114</v>
      </c>
      <c r="C35" s="30" t="s">
        <v>184</v>
      </c>
      <c r="D35" s="28" t="s">
        <v>185</v>
      </c>
      <c r="E35" s="24">
        <v>1366762.3159999996</v>
      </c>
      <c r="F35" s="24">
        <v>1292008.726</v>
      </c>
      <c r="G35" s="24">
        <v>74753.589999999618</v>
      </c>
      <c r="H35" s="24" t="s">
        <v>77</v>
      </c>
      <c r="I35" s="24"/>
      <c r="J35" s="24">
        <v>1366762.3159999996</v>
      </c>
      <c r="K35" s="24" t="s">
        <v>77</v>
      </c>
      <c r="O35" s="38"/>
    </row>
    <row r="36" spans="1:15" ht="15" customHeight="1" x14ac:dyDescent="0.25">
      <c r="A36" s="22">
        <v>44</v>
      </c>
      <c r="B36" s="22" t="s">
        <v>115</v>
      </c>
      <c r="C36" s="28" t="s">
        <v>116</v>
      </c>
      <c r="D36" s="28" t="s">
        <v>75</v>
      </c>
      <c r="E36" s="24">
        <v>0</v>
      </c>
      <c r="F36" s="24">
        <v>0</v>
      </c>
      <c r="G36" s="24">
        <v>0</v>
      </c>
      <c r="H36" s="24"/>
      <c r="I36" s="24"/>
      <c r="J36" s="24">
        <v>0</v>
      </c>
      <c r="K36" s="24"/>
      <c r="O36" s="38"/>
    </row>
    <row r="37" spans="1:15" ht="15" customHeight="1" x14ac:dyDescent="0.25">
      <c r="A37" s="22">
        <v>45</v>
      </c>
      <c r="B37" s="22" t="s">
        <v>117</v>
      </c>
      <c r="C37" s="28"/>
      <c r="D37" s="28" t="s">
        <v>75</v>
      </c>
      <c r="E37" s="24">
        <v>0</v>
      </c>
      <c r="F37" s="24">
        <v>0</v>
      </c>
      <c r="G37" s="24">
        <v>0</v>
      </c>
      <c r="H37" s="24"/>
      <c r="I37" s="24"/>
      <c r="J37" s="24">
        <v>0</v>
      </c>
      <c r="K37" s="24"/>
      <c r="O37" s="38"/>
    </row>
    <row r="38" spans="1:15" ht="15" customHeight="1" x14ac:dyDescent="0.25">
      <c r="A38" s="22">
        <v>48</v>
      </c>
      <c r="B38" s="26" t="s">
        <v>118</v>
      </c>
      <c r="C38" s="30" t="s">
        <v>80</v>
      </c>
      <c r="D38" s="28" t="s">
        <v>69</v>
      </c>
      <c r="E38" s="24">
        <v>494959.32799999998</v>
      </c>
      <c r="F38" s="24">
        <v>390105.63900000002</v>
      </c>
      <c r="G38" s="24">
        <v>104853.68899999995</v>
      </c>
      <c r="H38" s="24" t="s">
        <v>77</v>
      </c>
      <c r="I38" s="24"/>
      <c r="J38" s="24">
        <v>494959.32799999998</v>
      </c>
      <c r="K38" s="24" t="s">
        <v>77</v>
      </c>
      <c r="O38" s="38"/>
    </row>
    <row r="39" spans="1:15" ht="15" customHeight="1" x14ac:dyDescent="0.25">
      <c r="A39" s="22">
        <v>49</v>
      </c>
      <c r="B39" s="25" t="s">
        <v>119</v>
      </c>
      <c r="C39" s="30" t="s">
        <v>184</v>
      </c>
      <c r="D39" s="28" t="s">
        <v>185</v>
      </c>
      <c r="E39" s="24">
        <v>402645.48599999998</v>
      </c>
      <c r="F39" s="24">
        <v>297294.60399999999</v>
      </c>
      <c r="G39" s="24">
        <v>105350.88199999998</v>
      </c>
      <c r="H39" s="24" t="s">
        <v>77</v>
      </c>
      <c r="I39" s="24"/>
      <c r="J39" s="24">
        <v>402645.48599999998</v>
      </c>
      <c r="K39" s="24" t="s">
        <v>77</v>
      </c>
      <c r="O39" s="38"/>
    </row>
    <row r="40" spans="1:15" ht="15" customHeight="1" x14ac:dyDescent="0.25">
      <c r="A40" s="22">
        <v>51</v>
      </c>
      <c r="B40" s="22" t="s">
        <v>120</v>
      </c>
      <c r="C40" s="30" t="s">
        <v>96</v>
      </c>
      <c r="D40" s="28" t="s">
        <v>73</v>
      </c>
      <c r="E40" s="24">
        <v>295249.02399999998</v>
      </c>
      <c r="F40" s="24">
        <v>274239.03499999997</v>
      </c>
      <c r="G40" s="24">
        <v>21009.989000000001</v>
      </c>
      <c r="H40" s="24" t="s">
        <v>77</v>
      </c>
      <c r="I40" s="24"/>
      <c r="J40" s="24">
        <v>295249.02399999998</v>
      </c>
      <c r="K40" s="24" t="s">
        <v>77</v>
      </c>
      <c r="O40" s="38"/>
    </row>
    <row r="41" spans="1:15" ht="15" customHeight="1" x14ac:dyDescent="0.25">
      <c r="A41" s="22">
        <v>55</v>
      </c>
      <c r="B41" s="25" t="s">
        <v>121</v>
      </c>
      <c r="C41" s="28" t="s">
        <v>184</v>
      </c>
      <c r="D41" s="28" t="s">
        <v>69</v>
      </c>
      <c r="E41" s="24">
        <v>117967.44099999999</v>
      </c>
      <c r="F41" s="24">
        <v>67712.475000000006</v>
      </c>
      <c r="G41" s="24">
        <v>50254.965999999986</v>
      </c>
      <c r="H41" s="24" t="s">
        <v>77</v>
      </c>
      <c r="I41" s="24"/>
      <c r="J41" s="24">
        <v>117967.44099999999</v>
      </c>
      <c r="K41" s="24" t="s">
        <v>77</v>
      </c>
      <c r="O41" s="38"/>
    </row>
    <row r="42" spans="1:15" ht="15" customHeight="1" x14ac:dyDescent="0.25">
      <c r="A42" s="22">
        <v>2004</v>
      </c>
      <c r="B42" s="28" t="s">
        <v>122</v>
      </c>
      <c r="C42" s="30" t="s">
        <v>88</v>
      </c>
      <c r="D42" s="28" t="s">
        <v>73</v>
      </c>
      <c r="E42" s="24">
        <v>143837.9956503053</v>
      </c>
      <c r="F42" s="24">
        <v>134780.65877172997</v>
      </c>
      <c r="G42" s="24">
        <v>9057.3368785753264</v>
      </c>
      <c r="H42" s="24" t="s">
        <v>67</v>
      </c>
      <c r="I42" s="24"/>
      <c r="J42" s="24">
        <v>143837.9956503053</v>
      </c>
      <c r="K42" s="24" t="s">
        <v>67</v>
      </c>
      <c r="O42" s="38"/>
    </row>
    <row r="43" spans="1:15" ht="15" customHeight="1" x14ac:dyDescent="0.25">
      <c r="A43" s="22">
        <v>5050</v>
      </c>
      <c r="B43" s="22" t="s">
        <v>123</v>
      </c>
      <c r="C43" s="30" t="s">
        <v>90</v>
      </c>
      <c r="D43" s="28" t="s">
        <v>75</v>
      </c>
      <c r="E43" s="24">
        <v>776899.69015580846</v>
      </c>
      <c r="F43" s="24">
        <v>817737.51599825791</v>
      </c>
      <c r="G43" s="24">
        <v>-40837.825842449442</v>
      </c>
      <c r="H43" s="24" t="s">
        <v>67</v>
      </c>
      <c r="I43" s="24"/>
      <c r="J43" s="24">
        <v>776899.69015580846</v>
      </c>
      <c r="K43" s="24" t="s">
        <v>67</v>
      </c>
      <c r="O43" s="38"/>
    </row>
    <row r="44" spans="1:15" ht="15" customHeight="1" x14ac:dyDescent="0.25">
      <c r="A44" s="22">
        <v>58</v>
      </c>
      <c r="B44" s="25" t="s">
        <v>124</v>
      </c>
      <c r="C44" s="28" t="s">
        <v>184</v>
      </c>
      <c r="D44" s="28" t="s">
        <v>69</v>
      </c>
      <c r="E44" s="24">
        <v>0</v>
      </c>
      <c r="F44" s="24">
        <v>0</v>
      </c>
      <c r="G44" s="24">
        <v>0</v>
      </c>
      <c r="H44" s="24"/>
      <c r="I44" s="24"/>
      <c r="J44" s="24">
        <v>0</v>
      </c>
      <c r="K44" s="24"/>
      <c r="O44" s="38"/>
    </row>
    <row r="45" spans="1:15" ht="15" customHeight="1" x14ac:dyDescent="0.25">
      <c r="A45" s="22">
        <v>60</v>
      </c>
      <c r="B45" s="22" t="s">
        <v>125</v>
      </c>
      <c r="C45" s="28" t="s">
        <v>90</v>
      </c>
      <c r="D45" s="28" t="s">
        <v>75</v>
      </c>
      <c r="E45" s="24">
        <v>212260.27</v>
      </c>
      <c r="F45" s="24">
        <v>33042.915999999997</v>
      </c>
      <c r="G45" s="24">
        <v>179217.35399999999</v>
      </c>
      <c r="H45" s="24" t="s">
        <v>77</v>
      </c>
      <c r="I45" s="24"/>
      <c r="J45" s="24">
        <v>212260.27</v>
      </c>
      <c r="K45" s="24" t="s">
        <v>77</v>
      </c>
      <c r="O45" s="38"/>
    </row>
    <row r="46" spans="1:15" ht="15" customHeight="1" x14ac:dyDescent="0.25">
      <c r="A46" s="22">
        <v>61</v>
      </c>
      <c r="B46" s="22" t="s">
        <v>126</v>
      </c>
      <c r="C46" s="28"/>
      <c r="D46" s="28" t="s">
        <v>66</v>
      </c>
      <c r="E46" s="24">
        <v>0</v>
      </c>
      <c r="F46" s="24">
        <v>0</v>
      </c>
      <c r="G46" s="24">
        <v>0</v>
      </c>
      <c r="H46" s="24"/>
      <c r="I46" s="24"/>
      <c r="J46" s="24">
        <v>0</v>
      </c>
      <c r="K46" s="24"/>
      <c r="O46" s="38"/>
    </row>
    <row r="47" spans="1:15" ht="15" customHeight="1" x14ac:dyDescent="0.25">
      <c r="A47" s="22">
        <v>62</v>
      </c>
      <c r="B47" s="28" t="s">
        <v>127</v>
      </c>
      <c r="C47" s="30" t="s">
        <v>88</v>
      </c>
      <c r="D47" s="28" t="s">
        <v>73</v>
      </c>
      <c r="E47" s="24">
        <v>234034.59887737667</v>
      </c>
      <c r="F47" s="24">
        <v>158947.37779194373</v>
      </c>
      <c r="G47" s="24">
        <v>75087.221085432946</v>
      </c>
      <c r="H47" s="24" t="s">
        <v>67</v>
      </c>
      <c r="I47" s="24"/>
      <c r="J47" s="24">
        <v>234034.59887737667</v>
      </c>
      <c r="K47" s="24" t="s">
        <v>67</v>
      </c>
      <c r="O47" s="38"/>
    </row>
    <row r="48" spans="1:15" ht="15" customHeight="1" x14ac:dyDescent="0.25">
      <c r="A48" s="22">
        <v>63</v>
      </c>
      <c r="B48" s="25" t="s">
        <v>128</v>
      </c>
      <c r="C48" s="30" t="s">
        <v>184</v>
      </c>
      <c r="D48" s="28" t="s">
        <v>185</v>
      </c>
      <c r="E48" s="24">
        <v>196048.08799999999</v>
      </c>
      <c r="F48" s="24">
        <v>134736.14499999999</v>
      </c>
      <c r="G48" s="24">
        <v>61311.942999999999</v>
      </c>
      <c r="H48" s="24" t="s">
        <v>77</v>
      </c>
      <c r="I48" s="24"/>
      <c r="J48" s="24">
        <v>196048.08799999999</v>
      </c>
      <c r="K48" s="24" t="s">
        <v>77</v>
      </c>
      <c r="O48" s="38"/>
    </row>
    <row r="49" spans="1:15" ht="15" customHeight="1" x14ac:dyDescent="0.25">
      <c r="A49" s="22">
        <v>65</v>
      </c>
      <c r="B49" s="22" t="s">
        <v>129</v>
      </c>
      <c r="C49" s="30" t="s">
        <v>72</v>
      </c>
      <c r="D49" s="28" t="s">
        <v>73</v>
      </c>
      <c r="E49" s="24">
        <v>129606.76064789247</v>
      </c>
      <c r="F49" s="24">
        <v>106090.98647089384</v>
      </c>
      <c r="G49" s="24">
        <v>23515.774176998631</v>
      </c>
      <c r="H49" s="24" t="s">
        <v>67</v>
      </c>
      <c r="I49" s="24"/>
      <c r="J49" s="24">
        <v>129606.76064789247</v>
      </c>
      <c r="K49" s="24" t="s">
        <v>67</v>
      </c>
      <c r="O49" s="38"/>
    </row>
    <row r="50" spans="1:15" ht="15" customHeight="1" x14ac:dyDescent="0.25">
      <c r="A50" s="22">
        <v>8992</v>
      </c>
      <c r="B50" s="25" t="s">
        <v>187</v>
      </c>
      <c r="C50" s="30" t="s">
        <v>184</v>
      </c>
      <c r="D50" s="28" t="s">
        <v>69</v>
      </c>
      <c r="E50" s="29">
        <v>25566.460938549222</v>
      </c>
      <c r="F50" s="29">
        <v>82970.599249138235</v>
      </c>
      <c r="G50" s="29">
        <v>-57404.138310589013</v>
      </c>
      <c r="H50" s="24" t="s">
        <v>67</v>
      </c>
      <c r="I50" s="24"/>
      <c r="J50" s="29">
        <v>25566.460938549222</v>
      </c>
      <c r="K50" s="24" t="s">
        <v>67</v>
      </c>
    </row>
  </sheetData>
  <phoneticPr fontId="14" type="noConversion"/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000"/>
  <sheetViews>
    <sheetView topLeftCell="A12" workbookViewId="0">
      <selection activeCell="F58" sqref="F58"/>
    </sheetView>
  </sheetViews>
  <sheetFormatPr defaultColWidth="11.28515625" defaultRowHeight="15" customHeight="1" x14ac:dyDescent="0.25"/>
  <cols>
    <col min="1" max="1" width="12.28515625" customWidth="1"/>
    <col min="3" max="3" width="17.5703125" customWidth="1"/>
    <col min="4" max="5" width="26.140625" customWidth="1"/>
    <col min="6" max="6" width="18.42578125" bestFit="1" customWidth="1"/>
    <col min="9" max="9" width="0.85546875" style="47" customWidth="1"/>
    <col min="11" max="11" width="12" bestFit="1" customWidth="1"/>
  </cols>
  <sheetData>
    <row r="1" spans="1:12" ht="15" customHeight="1" x14ac:dyDescent="0.25">
      <c r="A1" t="s">
        <v>188</v>
      </c>
    </row>
    <row r="2" spans="1:12" ht="15" customHeight="1" x14ac:dyDescent="0.25">
      <c r="A2" t="s">
        <v>189</v>
      </c>
    </row>
    <row r="3" spans="1:12" x14ac:dyDescent="0.25">
      <c r="B3" s="16"/>
      <c r="C3" s="16"/>
      <c r="D3" s="16"/>
    </row>
    <row r="4" spans="1:12" ht="15.75" x14ac:dyDescent="0.25">
      <c r="A4" s="17" t="s">
        <v>130</v>
      </c>
      <c r="B4" s="16" t="s">
        <v>131</v>
      </c>
      <c r="C4" s="16" t="s">
        <v>132</v>
      </c>
      <c r="D4" s="19" t="s">
        <v>133</v>
      </c>
      <c r="E4" t="s">
        <v>134</v>
      </c>
      <c r="F4" t="s">
        <v>135</v>
      </c>
    </row>
    <row r="5" spans="1:12" ht="15.75" x14ac:dyDescent="0.25">
      <c r="A5" s="17">
        <v>1</v>
      </c>
      <c r="B5" s="16">
        <v>210001</v>
      </c>
      <c r="C5" s="16" t="s">
        <v>65</v>
      </c>
      <c r="D5" s="19">
        <f>_xlfn.XLOOKUP(A5,'[1]Summary All'!$3:$3,'[1]Summary All'!$115:$115)</f>
        <v>507302029.57678121</v>
      </c>
      <c r="E5" s="19">
        <f>_xlfn.XLOOKUP(A5,'[1]Summary All'!$3:$3,'[1]Summary All'!$160:$160)</f>
        <v>30439960.870823346</v>
      </c>
      <c r="F5" s="19">
        <f>_xlfn.XLOOKUP(A5,'[1]Summary All'!$3:$3,'[1]Summary All'!$162:$162)</f>
        <v>537741990.44760454</v>
      </c>
      <c r="G5">
        <v>1.1250719936845397</v>
      </c>
      <c r="I5" s="47" t="b">
        <f>(D5+E5)=F5</f>
        <v>1</v>
      </c>
    </row>
    <row r="6" spans="1:12" ht="15.75" x14ac:dyDescent="0.25">
      <c r="A6" s="17">
        <v>2</v>
      </c>
      <c r="B6" s="16">
        <v>210002</v>
      </c>
      <c r="C6" s="16" t="s">
        <v>136</v>
      </c>
      <c r="D6" s="19">
        <f>_xlfn.XLOOKUP(A6,'[1]Summary All'!$3:$3,'[1]Summary All'!$115:$115)</f>
        <v>1934443073.9532831</v>
      </c>
      <c r="E6" s="19">
        <f>_xlfn.XLOOKUP(A6,'[1]Summary All'!$3:$3,'[1]Summary All'!$160:$160)</f>
        <v>68833638.057222784</v>
      </c>
      <c r="F6" s="19">
        <f>_xlfn.XLOOKUP(A6,'[1]Summary All'!$3:$3,'[1]Summary All'!$162:$162)</f>
        <v>2003276712.0105059</v>
      </c>
      <c r="G6">
        <v>1.1168343089829478</v>
      </c>
      <c r="I6" s="47" t="b">
        <f t="shared" ref="I6:I56" si="0">(D6+E6)=F6</f>
        <v>1</v>
      </c>
    </row>
    <row r="7" spans="1:12" ht="15.75" x14ac:dyDescent="0.25">
      <c r="A7" s="17">
        <v>3</v>
      </c>
      <c r="B7" s="16">
        <v>210003</v>
      </c>
      <c r="C7" s="16" t="s">
        <v>137</v>
      </c>
      <c r="D7" s="19">
        <f>_xlfn.XLOOKUP(A7,'[1]Summary All'!$3:$3,'[1]Summary All'!$115:$115)</f>
        <v>450625999.56213671</v>
      </c>
      <c r="E7" s="19">
        <f>_xlfn.XLOOKUP(A7,'[1]Summary All'!$3:$3,'[1]Summary All'!$160:$160)</f>
        <v>33797427.923036717</v>
      </c>
      <c r="F7" s="19">
        <f>_xlfn.XLOOKUP(A7,'[1]Summary All'!$3:$3,'[1]Summary All'!$162:$162)</f>
        <v>484423427.4851734</v>
      </c>
      <c r="G7">
        <v>1.1171664786310078</v>
      </c>
      <c r="I7" s="47" t="b">
        <f t="shared" si="0"/>
        <v>1</v>
      </c>
    </row>
    <row r="8" spans="1:12" ht="15.75" x14ac:dyDescent="0.25">
      <c r="A8" s="17">
        <v>4</v>
      </c>
      <c r="B8" s="16">
        <v>210004</v>
      </c>
      <c r="C8" s="16" t="s">
        <v>71</v>
      </c>
      <c r="D8" s="19">
        <f>_xlfn.XLOOKUP(A8,'[1]Summary All'!$3:$3,'[1]Summary All'!$115:$115)</f>
        <v>620977885.65347517</v>
      </c>
      <c r="E8" s="19">
        <f>_xlfn.XLOOKUP(A8,'[1]Summary All'!$3:$3,'[1]Summary All'!$160:$160)</f>
        <v>16323501.834362643</v>
      </c>
      <c r="F8" s="19">
        <f>_xlfn.XLOOKUP(A8,'[1]Summary All'!$3:$3,'[1]Summary All'!$162:$162)</f>
        <v>637301387.48783779</v>
      </c>
      <c r="G8">
        <v>1.1139927136263073</v>
      </c>
      <c r="I8" s="47" t="b">
        <f t="shared" si="0"/>
        <v>1</v>
      </c>
    </row>
    <row r="9" spans="1:12" ht="15.75" x14ac:dyDescent="0.25">
      <c r="A9" s="17">
        <v>5</v>
      </c>
      <c r="B9" s="16">
        <v>210005</v>
      </c>
      <c r="C9" s="16" t="s">
        <v>74</v>
      </c>
      <c r="D9" s="19">
        <f>_xlfn.XLOOKUP(A9,'[1]Summary All'!$3:$3,'[1]Summary All'!$115:$115)</f>
        <v>440525242.00127202</v>
      </c>
      <c r="E9" s="19">
        <f>_xlfn.XLOOKUP(A9,'[1]Summary All'!$3:$3,'[1]Summary All'!$160:$160)</f>
        <v>19344156.182607893</v>
      </c>
      <c r="F9" s="19">
        <f>_xlfn.XLOOKUP(A9,'[1]Summary All'!$3:$3,'[1]Summary All'!$162:$162)</f>
        <v>459869398.18387991</v>
      </c>
      <c r="G9">
        <v>1.1153754122420763</v>
      </c>
      <c r="I9" s="47" t="b">
        <f t="shared" si="0"/>
        <v>1</v>
      </c>
    </row>
    <row r="10" spans="1:12" ht="15.75" x14ac:dyDescent="0.25">
      <c r="A10" s="17">
        <v>6</v>
      </c>
      <c r="B10" s="16">
        <v>210006</v>
      </c>
      <c r="C10" s="16" t="s">
        <v>138</v>
      </c>
      <c r="D10" s="19">
        <f>_xlfn.XLOOKUP(A10,'[1]Summary All'!$3:$3,'[1]Summary All'!$115:$115)</f>
        <v>32593864.34534204</v>
      </c>
      <c r="E10" s="19">
        <f>_xlfn.XLOOKUP(A10,'[1]Summary All'!$3:$3,'[1]Summary All'!$160:$160)</f>
        <v>1293905.4612312422</v>
      </c>
      <c r="F10" s="19">
        <f>_xlfn.XLOOKUP(A10,'[1]Summary All'!$3:$3,'[1]Summary All'!$162:$162)</f>
        <v>33887769.806573279</v>
      </c>
      <c r="G10">
        <v>1.1191143641826482</v>
      </c>
      <c r="H10" s="40"/>
      <c r="I10" s="47" t="b">
        <f t="shared" si="0"/>
        <v>1</v>
      </c>
      <c r="J10" s="40"/>
      <c r="K10" s="40"/>
      <c r="L10" s="40"/>
    </row>
    <row r="11" spans="1:12" ht="15.75" x14ac:dyDescent="0.25">
      <c r="A11" s="17">
        <v>8</v>
      </c>
      <c r="B11" s="16">
        <v>210008</v>
      </c>
      <c r="C11" s="16" t="s">
        <v>139</v>
      </c>
      <c r="D11" s="19">
        <f>_xlfn.XLOOKUP(A11,'[1]Summary All'!$3:$3,'[1]Summary All'!$115:$115)</f>
        <v>697629726.96527386</v>
      </c>
      <c r="E11" s="19">
        <f>_xlfn.XLOOKUP(A11,'[1]Summary All'!$3:$3,'[1]Summary All'!$160:$160)</f>
        <v>20331697.654077351</v>
      </c>
      <c r="F11" s="19">
        <f>_xlfn.XLOOKUP(A11,'[1]Summary All'!$3:$3,'[1]Summary All'!$162:$162)</f>
        <v>717961424.61935115</v>
      </c>
      <c r="G11">
        <v>1.1117214986698161</v>
      </c>
      <c r="I11" s="47" t="b">
        <f t="shared" si="0"/>
        <v>1</v>
      </c>
    </row>
    <row r="12" spans="1:12" ht="15.75" x14ac:dyDescent="0.25">
      <c r="A12" s="17">
        <v>9</v>
      </c>
      <c r="B12" s="16">
        <v>210009</v>
      </c>
      <c r="C12" s="16" t="s">
        <v>79</v>
      </c>
      <c r="D12" s="19">
        <f>_xlfn.XLOOKUP(A12,'[1]Summary All'!$3:$3,'[1]Summary All'!$115:$115)</f>
        <v>3202138426.9410033</v>
      </c>
      <c r="E12" s="19">
        <f>_xlfn.XLOOKUP(A12,'[1]Summary All'!$3:$3,'[1]Summary All'!$160:$160)</f>
        <v>135577807.73944077</v>
      </c>
      <c r="F12" s="19">
        <f>_xlfn.XLOOKUP(A12,'[1]Summary All'!$3:$3,'[1]Summary All'!$162:$162)</f>
        <v>3337716234.6804442</v>
      </c>
      <c r="G12">
        <v>1.1077312682949558</v>
      </c>
      <c r="I12" s="47" t="b">
        <f t="shared" si="0"/>
        <v>1</v>
      </c>
    </row>
    <row r="13" spans="1:12" ht="15.75" x14ac:dyDescent="0.25">
      <c r="A13" s="17">
        <v>10</v>
      </c>
      <c r="B13" s="16">
        <v>210010</v>
      </c>
      <c r="C13" s="16" t="s">
        <v>140</v>
      </c>
      <c r="D13" s="19">
        <f>_xlfn.XLOOKUP(A13,'[1]Summary All'!$3:$3,'[1]Summary All'!$115:$115)</f>
        <v>16974409.4034792</v>
      </c>
      <c r="E13" s="19">
        <f>_xlfn.XLOOKUP(A13,'[1]Summary All'!$3:$3,'[1]Summary All'!$160:$160)</f>
        <v>504569.09044597385</v>
      </c>
      <c r="F13" s="19">
        <f>_xlfn.XLOOKUP(A13,'[1]Summary All'!$3:$3,'[1]Summary All'!$162:$162)</f>
        <v>17478978.493925173</v>
      </c>
      <c r="G13">
        <v>1.1702600652609856</v>
      </c>
      <c r="I13" s="47" t="b">
        <f t="shared" si="0"/>
        <v>1</v>
      </c>
    </row>
    <row r="14" spans="1:12" ht="15.75" x14ac:dyDescent="0.25">
      <c r="A14" s="17">
        <v>11</v>
      </c>
      <c r="B14" s="16">
        <v>210011</v>
      </c>
      <c r="C14" s="16" t="s">
        <v>141</v>
      </c>
      <c r="D14" s="19">
        <f>_xlfn.XLOOKUP(A14,'[1]Summary All'!$3:$3,'[1]Summary All'!$115:$115)</f>
        <v>527466834.87731558</v>
      </c>
      <c r="E14" s="19">
        <f>_xlfn.XLOOKUP(A14,'[1]Summary All'!$3:$3,'[1]Summary All'!$160:$160)</f>
        <v>40362567.167884447</v>
      </c>
      <c r="F14" s="19">
        <f>_xlfn.XLOOKUP(A14,'[1]Summary All'!$3:$3,'[1]Summary All'!$162:$162)</f>
        <v>567829402.04519999</v>
      </c>
      <c r="G14">
        <v>1.117959076351269</v>
      </c>
      <c r="I14" s="47" t="b">
        <f t="shared" si="0"/>
        <v>1</v>
      </c>
    </row>
    <row r="15" spans="1:12" ht="15.75" x14ac:dyDescent="0.25">
      <c r="A15" s="17">
        <v>12</v>
      </c>
      <c r="B15" s="16">
        <v>210012</v>
      </c>
      <c r="C15" s="16" t="s">
        <v>142</v>
      </c>
      <c r="D15" s="19">
        <f>_xlfn.XLOOKUP(A15,'[1]Summary All'!$3:$3,'[1]Summary All'!$115:$115)</f>
        <v>966525542.84436297</v>
      </c>
      <c r="E15" s="19">
        <f>_xlfn.XLOOKUP(A15,'[1]Summary All'!$3:$3,'[1]Summary All'!$160:$160)</f>
        <v>25428962.158668239</v>
      </c>
      <c r="F15" s="19">
        <f>_xlfn.XLOOKUP(A15,'[1]Summary All'!$3:$3,'[1]Summary All'!$162:$162)</f>
        <v>991954505.00303125</v>
      </c>
      <c r="G15">
        <v>1.1232376192605842</v>
      </c>
      <c r="I15" s="47" t="b">
        <f t="shared" si="0"/>
        <v>1</v>
      </c>
    </row>
    <row r="16" spans="1:12" ht="15.75" x14ac:dyDescent="0.25">
      <c r="A16" s="17">
        <v>13</v>
      </c>
      <c r="B16" s="16">
        <v>210013</v>
      </c>
      <c r="C16" s="16" t="s">
        <v>143</v>
      </c>
      <c r="D16" s="19">
        <f>_xlfn.XLOOKUP(A16,'[1]Summary All'!$3:$3,'[1]Summary All'!$115:$115)</f>
        <v>33742037.290851362</v>
      </c>
      <c r="E16" s="19">
        <f>_xlfn.XLOOKUP(A16,'[1]Summary All'!$3:$3,'[1]Summary All'!$160:$160)</f>
        <v>1254493.2517298202</v>
      </c>
      <c r="F16" s="19">
        <f>_xlfn.XLOOKUP(A16,'[1]Summary All'!$3:$3,'[1]Summary All'!$162:$162)</f>
        <v>34996530.542581186</v>
      </c>
      <c r="G16">
        <v>1.0933441127280834</v>
      </c>
      <c r="I16" s="47" t="b">
        <f t="shared" si="0"/>
        <v>1</v>
      </c>
    </row>
    <row r="17" spans="1:11" ht="15.75" x14ac:dyDescent="0.25">
      <c r="A17" s="17">
        <v>15</v>
      </c>
      <c r="B17" s="16">
        <v>210015</v>
      </c>
      <c r="C17" s="16" t="s">
        <v>144</v>
      </c>
      <c r="D17" s="19">
        <f>_xlfn.XLOOKUP(A17,'[1]Summary All'!$3:$3,'[1]Summary All'!$115:$115)</f>
        <v>692705489.42916048</v>
      </c>
      <c r="E17" s="19">
        <f>_xlfn.XLOOKUP(A17,'[1]Summary All'!$3:$3,'[1]Summary All'!$160:$160)</f>
        <v>48174740.325134575</v>
      </c>
      <c r="F17" s="46">
        <f>_xlfn.XLOOKUP(A17,'[1]Summary All'!$3:$3,'[1]Summary All'!$162:$162)</f>
        <v>740880229.75429511</v>
      </c>
      <c r="G17">
        <v>1.1235731542051195</v>
      </c>
      <c r="I17" s="47" t="b">
        <f t="shared" si="0"/>
        <v>1</v>
      </c>
    </row>
    <row r="18" spans="1:11" ht="15.75" x14ac:dyDescent="0.25">
      <c r="A18" s="17">
        <v>16</v>
      </c>
      <c r="B18" s="16">
        <v>210016</v>
      </c>
      <c r="C18" s="16" t="s">
        <v>145</v>
      </c>
      <c r="D18" s="19">
        <f>_xlfn.XLOOKUP(A18,'[1]Summary All'!$3:$3,'[1]Summary All'!$115:$115)</f>
        <v>393083216.85680395</v>
      </c>
      <c r="E18" s="19">
        <f>_xlfn.XLOOKUP(A18,'[1]Summary All'!$3:$3,'[1]Summary All'!$160:$160)</f>
        <v>24143390.527321838</v>
      </c>
      <c r="F18" s="46">
        <f>_xlfn.XLOOKUP(A18,'[1]Summary All'!$3:$3,'[1]Summary All'!$162:$162)</f>
        <v>417226607.38412577</v>
      </c>
      <c r="G18">
        <v>1.1239447473962789</v>
      </c>
      <c r="I18" s="47" t="b">
        <f t="shared" si="0"/>
        <v>1</v>
      </c>
    </row>
    <row r="19" spans="1:11" ht="15.75" x14ac:dyDescent="0.25">
      <c r="A19" s="17">
        <v>17</v>
      </c>
      <c r="B19" s="16">
        <v>210017</v>
      </c>
      <c r="C19" s="16" t="s">
        <v>146</v>
      </c>
      <c r="D19" s="19">
        <f>_xlfn.XLOOKUP(A19,'[1]Summary All'!$3:$3,'[1]Summary All'!$115:$115)</f>
        <v>94740995.064713731</v>
      </c>
      <c r="E19" s="19">
        <f>_xlfn.XLOOKUP(A19,'[1]Summary All'!$3:$3,'[1]Summary All'!$160:$160)</f>
        <v>3261412.480094682</v>
      </c>
      <c r="F19" s="46">
        <f>_xlfn.XLOOKUP(A19,'[1]Summary All'!$3:$3,'[1]Summary All'!$162:$162)</f>
        <v>98002407.544808418</v>
      </c>
      <c r="G19">
        <v>1.1220078240126943</v>
      </c>
      <c r="I19" s="47" t="b">
        <f t="shared" si="0"/>
        <v>1</v>
      </c>
    </row>
    <row r="20" spans="1:11" ht="15.75" x14ac:dyDescent="0.25">
      <c r="A20" s="17">
        <v>18</v>
      </c>
      <c r="B20" s="16">
        <v>210018</v>
      </c>
      <c r="C20" s="16" t="s">
        <v>93</v>
      </c>
      <c r="D20" s="19">
        <f>_xlfn.XLOOKUP(A20,'[1]Summary All'!$3:$3,'[1]Summary All'!$115:$115)</f>
        <v>223918421.0956955</v>
      </c>
      <c r="E20" s="19">
        <f>_xlfn.XLOOKUP(A20,'[1]Summary All'!$3:$3,'[1]Summary All'!$160:$160)</f>
        <v>17976426.080429744</v>
      </c>
      <c r="F20" s="46">
        <f>_xlfn.XLOOKUP(A20,'[1]Summary All'!$3:$3,'[1]Summary All'!$162:$162)</f>
        <v>241894847.17612523</v>
      </c>
      <c r="G20">
        <v>1.118484996717898</v>
      </c>
      <c r="I20" s="47" t="b">
        <f t="shared" si="0"/>
        <v>1</v>
      </c>
    </row>
    <row r="21" spans="1:11" ht="15.75" customHeight="1" x14ac:dyDescent="0.25">
      <c r="A21" s="17">
        <v>19</v>
      </c>
      <c r="B21" s="16">
        <v>210019</v>
      </c>
      <c r="C21" s="16" t="s">
        <v>147</v>
      </c>
      <c r="D21" s="19">
        <f>_xlfn.XLOOKUP(A21,'[1]Summary All'!$3:$3,'[1]Summary All'!$115:$115)</f>
        <v>629558600.78574932</v>
      </c>
      <c r="E21" s="19">
        <f>_xlfn.XLOOKUP(A21,'[1]Summary All'!$3:$3,'[1]Summary All'!$160:$160)</f>
        <v>26348303.451740853</v>
      </c>
      <c r="F21" s="46">
        <f>_xlfn.XLOOKUP(A21,'[1]Summary All'!$3:$3,'[1]Summary All'!$162:$162)</f>
        <v>649707718.05208015</v>
      </c>
      <c r="G21">
        <v>1.1267437070730897</v>
      </c>
      <c r="I21" s="47" t="b">
        <f>(D21+E21)=F21</f>
        <v>0</v>
      </c>
      <c r="K21" s="38">
        <f>F39+F21</f>
        <v>655905955.74712753</v>
      </c>
    </row>
    <row r="22" spans="1:11" ht="15.75" customHeight="1" x14ac:dyDescent="0.25">
      <c r="A22" s="17">
        <v>22</v>
      </c>
      <c r="B22" s="16">
        <v>210022</v>
      </c>
      <c r="C22" s="16" t="s">
        <v>95</v>
      </c>
      <c r="D22" s="19">
        <f>_xlfn.XLOOKUP(A22,'[1]Summary All'!$3:$3,'[1]Summary All'!$115:$115)</f>
        <v>451353197.50351125</v>
      </c>
      <c r="E22" s="19">
        <f>_xlfn.XLOOKUP(A22,'[1]Summary All'!$3:$3,'[1]Summary All'!$160:$160)</f>
        <v>16286346.908683475</v>
      </c>
      <c r="F22" s="46">
        <f>_xlfn.XLOOKUP(A22,'[1]Summary All'!$3:$3,'[1]Summary All'!$162:$162)</f>
        <v>467639544.41219473</v>
      </c>
      <c r="G22">
        <v>1.1090401679615984</v>
      </c>
      <c r="I22" s="47" t="b">
        <f t="shared" si="0"/>
        <v>1</v>
      </c>
    </row>
    <row r="23" spans="1:11" ht="15.75" customHeight="1" x14ac:dyDescent="0.25">
      <c r="A23" s="17">
        <v>23</v>
      </c>
      <c r="B23" s="16">
        <v>210023</v>
      </c>
      <c r="C23" s="16" t="s">
        <v>148</v>
      </c>
      <c r="D23" s="19">
        <f>_xlfn.XLOOKUP(A23,'[1]Summary All'!$3:$3,'[1]Summary All'!$115:$115)</f>
        <v>757660681.19291127</v>
      </c>
      <c r="E23" s="19">
        <f>_xlfn.XLOOKUP(A23,'[1]Summary All'!$3:$3,'[1]Summary All'!$160:$160)</f>
        <v>28733670.74528908</v>
      </c>
      <c r="F23" s="46">
        <f>_xlfn.XLOOKUP(A23,'[1]Summary All'!$3:$3,'[1]Summary All'!$162:$162)</f>
        <v>786394351.93820035</v>
      </c>
      <c r="G23">
        <v>1.109936057284536</v>
      </c>
      <c r="I23" s="47" t="b">
        <f t="shared" si="0"/>
        <v>1</v>
      </c>
    </row>
    <row r="24" spans="1:11" ht="15.75" customHeight="1" x14ac:dyDescent="0.25">
      <c r="A24" s="17">
        <v>24</v>
      </c>
      <c r="B24" s="16">
        <v>210024</v>
      </c>
      <c r="C24" s="16" t="s">
        <v>149</v>
      </c>
      <c r="D24" s="19">
        <f>_xlfn.XLOOKUP(A24,'[1]Summary All'!$3:$3,'[1]Summary All'!$115:$115)</f>
        <v>503480367.93414611</v>
      </c>
      <c r="E24" s="19">
        <f>_xlfn.XLOOKUP(A24,'[1]Summary All'!$3:$3,'[1]Summary All'!$160:$160)</f>
        <v>21495632.351426352</v>
      </c>
      <c r="F24" s="46">
        <f>_xlfn.XLOOKUP(A24,'[1]Summary All'!$3:$3,'[1]Summary All'!$162:$162)</f>
        <v>524976000.28557247</v>
      </c>
      <c r="G24">
        <v>1.1237394152553106</v>
      </c>
      <c r="I24" s="47" t="b">
        <f t="shared" si="0"/>
        <v>1</v>
      </c>
    </row>
    <row r="25" spans="1:11" ht="15.75" customHeight="1" x14ac:dyDescent="0.25">
      <c r="A25" s="17">
        <v>27</v>
      </c>
      <c r="B25" s="16">
        <v>210027</v>
      </c>
      <c r="C25" s="16" t="s">
        <v>150</v>
      </c>
      <c r="D25" s="19">
        <f>_xlfn.XLOOKUP(A25,'[1]Summary All'!$3:$3,'[1]Summary All'!$115:$115)</f>
        <v>393237898.81323755</v>
      </c>
      <c r="E25" s="19">
        <f>_xlfn.XLOOKUP(A25,'[1]Summary All'!$3:$3,'[1]Summary All'!$160:$160)</f>
        <v>12642961.019623108</v>
      </c>
      <c r="F25" s="46">
        <f>_xlfn.XLOOKUP(A25,'[1]Summary All'!$3:$3,'[1]Summary All'!$162:$162)</f>
        <v>405880859.83286065</v>
      </c>
      <c r="G25">
        <v>1.1278344219492284</v>
      </c>
      <c r="I25" s="47" t="b">
        <f t="shared" si="0"/>
        <v>1</v>
      </c>
    </row>
    <row r="26" spans="1:11" ht="15.75" customHeight="1" x14ac:dyDescent="0.25">
      <c r="A26" s="17">
        <v>28</v>
      </c>
      <c r="B26" s="16">
        <v>210028</v>
      </c>
      <c r="C26" s="16" t="s">
        <v>151</v>
      </c>
      <c r="D26" s="19">
        <f>_xlfn.XLOOKUP(A26,'[1]Summary All'!$3:$3,'[1]Summary All'!$115:$115)</f>
        <v>238434966.75705001</v>
      </c>
      <c r="E26" s="19">
        <f>_xlfn.XLOOKUP(A26,'[1]Summary All'!$3:$3,'[1]Summary All'!$160:$160)</f>
        <v>16804023.882997658</v>
      </c>
      <c r="F26" s="46">
        <f>_xlfn.XLOOKUP(A26,'[1]Summary All'!$3:$3,'[1]Summary All'!$162:$162)</f>
        <v>255238990.64004767</v>
      </c>
      <c r="G26">
        <v>1.1154290207570936</v>
      </c>
      <c r="I26" s="47" t="b">
        <f t="shared" si="0"/>
        <v>1</v>
      </c>
    </row>
    <row r="27" spans="1:11" ht="15.75" customHeight="1" x14ac:dyDescent="0.25">
      <c r="A27" s="17">
        <v>29</v>
      </c>
      <c r="B27" s="16">
        <v>210029</v>
      </c>
      <c r="C27" s="16" t="s">
        <v>152</v>
      </c>
      <c r="D27" s="19">
        <f>_xlfn.XLOOKUP(A27,'[1]Summary All'!$3:$3,'[1]Summary All'!$115:$115)</f>
        <v>837008183.66081452</v>
      </c>
      <c r="E27" s="19">
        <f>_xlfn.XLOOKUP(A27,'[1]Summary All'!$3:$3,'[1]Summary All'!$160:$160)</f>
        <v>31791180.529665656</v>
      </c>
      <c r="F27" s="46">
        <f>_xlfn.XLOOKUP(A27,'[1]Summary All'!$3:$3,'[1]Summary All'!$162:$162)</f>
        <v>868799364.19048023</v>
      </c>
      <c r="G27">
        <v>1.116827822328361</v>
      </c>
      <c r="I27" s="47" t="b">
        <f t="shared" si="0"/>
        <v>1</v>
      </c>
    </row>
    <row r="28" spans="1:11" ht="15.75" customHeight="1" x14ac:dyDescent="0.25">
      <c r="A28" s="17">
        <v>30</v>
      </c>
      <c r="B28" s="16">
        <v>210030</v>
      </c>
      <c r="C28" s="16" t="s">
        <v>153</v>
      </c>
      <c r="D28" s="19">
        <f>_xlfn.XLOOKUP(A28,'[1]Summary All'!$3:$3,'[1]Summary All'!$115:$115)</f>
        <v>53982690.755440846</v>
      </c>
      <c r="E28" s="19">
        <f>_xlfn.XLOOKUP(A28,'[1]Summary All'!$3:$3,'[1]Summary All'!$160:$160)</f>
        <v>1585087.5628000642</v>
      </c>
      <c r="F28" s="46">
        <f>_xlfn.XLOOKUP(A28,'[1]Summary All'!$3:$3,'[1]Summary All'!$162:$162)</f>
        <v>55567778.318240911</v>
      </c>
      <c r="G28">
        <v>1.1238685466800173</v>
      </c>
      <c r="I28" s="47" t="b">
        <f t="shared" si="0"/>
        <v>1</v>
      </c>
    </row>
    <row r="29" spans="1:11" ht="15.75" customHeight="1" x14ac:dyDescent="0.25">
      <c r="A29" s="17">
        <v>32</v>
      </c>
      <c r="B29" s="16">
        <v>210032</v>
      </c>
      <c r="C29" s="16" t="s">
        <v>154</v>
      </c>
      <c r="D29" s="19">
        <f>_xlfn.XLOOKUP(A29,'[1]Summary All'!$3:$3,'[1]Summary All'!$115:$115)</f>
        <v>205769174.8309373</v>
      </c>
      <c r="E29" s="19">
        <f>_xlfn.XLOOKUP(A29,'[1]Summary All'!$3:$3,'[1]Summary All'!$160:$160)</f>
        <v>3883878.9690857409</v>
      </c>
      <c r="F29" s="46">
        <f>_xlfn.XLOOKUP(A29,'[1]Summary All'!$3:$3,'[1]Summary All'!$162:$162)</f>
        <v>209653053.80002305</v>
      </c>
      <c r="G29">
        <v>1.1251393623363799</v>
      </c>
      <c r="I29" s="47" t="b">
        <f t="shared" si="0"/>
        <v>1</v>
      </c>
    </row>
    <row r="30" spans="1:11" ht="15.75" customHeight="1" x14ac:dyDescent="0.25">
      <c r="A30" s="17">
        <v>33</v>
      </c>
      <c r="B30" s="16">
        <v>210033</v>
      </c>
      <c r="C30" s="16" t="s">
        <v>155</v>
      </c>
      <c r="D30" s="19">
        <f>_xlfn.XLOOKUP(A30,'[1]Summary All'!$3:$3,'[1]Summary All'!$115:$115)</f>
        <v>280649695.33257455</v>
      </c>
      <c r="E30" s="19">
        <f>_xlfn.XLOOKUP(A30,'[1]Summary All'!$3:$3,'[1]Summary All'!$160:$160)</f>
        <v>8764132.7826064043</v>
      </c>
      <c r="F30" s="46">
        <f>_xlfn.XLOOKUP(A30,'[1]Summary All'!$3:$3,'[1]Summary All'!$162:$162)</f>
        <v>289413828.11518097</v>
      </c>
      <c r="G30">
        <v>1.1198087208859684</v>
      </c>
      <c r="I30" s="47" t="b">
        <f t="shared" si="0"/>
        <v>1</v>
      </c>
    </row>
    <row r="31" spans="1:11" ht="15.75" customHeight="1" x14ac:dyDescent="0.25">
      <c r="A31" s="17">
        <v>34</v>
      </c>
      <c r="B31" s="16">
        <v>210034</v>
      </c>
      <c r="C31" s="16" t="s">
        <v>107</v>
      </c>
      <c r="D31" s="19">
        <f>_xlfn.XLOOKUP(A31,'[1]Summary All'!$3:$3,'[1]Summary All'!$115:$115)</f>
        <v>225502253.50622511</v>
      </c>
      <c r="E31" s="19">
        <f>_xlfn.XLOOKUP(A31,'[1]Summary All'!$3:$3,'[1]Summary All'!$160:$160)</f>
        <v>16922896.367908284</v>
      </c>
      <c r="F31" s="46">
        <f>_xlfn.XLOOKUP(A31,'[1]Summary All'!$3:$3,'[1]Summary All'!$162:$162)</f>
        <v>242425149.87413341</v>
      </c>
      <c r="G31">
        <v>1.1267050227140725</v>
      </c>
      <c r="I31" s="47" t="b">
        <f t="shared" si="0"/>
        <v>1</v>
      </c>
    </row>
    <row r="32" spans="1:11" ht="15.75" customHeight="1" x14ac:dyDescent="0.25">
      <c r="A32" s="17">
        <v>35</v>
      </c>
      <c r="B32" s="16">
        <v>210035</v>
      </c>
      <c r="C32" s="16" t="s">
        <v>156</v>
      </c>
      <c r="D32" s="19">
        <f>_xlfn.XLOOKUP(A32,'[1]Summary All'!$3:$3,'[1]Summary All'!$115:$115)</f>
        <v>189551311.55740795</v>
      </c>
      <c r="E32" s="19">
        <f>_xlfn.XLOOKUP(A32,'[1]Summary All'!$3:$3,'[1]Summary All'!$160:$160)</f>
        <v>7614086.9886035947</v>
      </c>
      <c r="F32" s="46">
        <f>_xlfn.XLOOKUP(A32,'[1]Summary All'!$3:$3,'[1]Summary All'!$162:$162)</f>
        <v>197165398.54601154</v>
      </c>
      <c r="G32">
        <v>1.1161445571200141</v>
      </c>
      <c r="I32" s="47" t="b">
        <f t="shared" si="0"/>
        <v>1</v>
      </c>
    </row>
    <row r="33" spans="1:9" ht="15.75" customHeight="1" x14ac:dyDescent="0.25">
      <c r="A33" s="17">
        <v>37</v>
      </c>
      <c r="B33" s="16">
        <v>210037</v>
      </c>
      <c r="C33" s="16" t="s">
        <v>157</v>
      </c>
      <c r="D33" s="19">
        <f>_xlfn.XLOOKUP(A33,'[1]Summary All'!$3:$3,'[1]Summary All'!$115:$115)</f>
        <v>295917031.88321793</v>
      </c>
      <c r="E33" s="19">
        <f>_xlfn.XLOOKUP(A33,'[1]Summary All'!$3:$3,'[1]Summary All'!$160:$160)</f>
        <v>23766776.451613829</v>
      </c>
      <c r="F33" s="46">
        <f>_xlfn.XLOOKUP(A33,'[1]Summary All'!$3:$3,'[1]Summary All'!$162:$162)</f>
        <v>319683808.33483177</v>
      </c>
      <c r="G33">
        <v>1.1264600064171217</v>
      </c>
      <c r="I33" s="47" t="b">
        <f t="shared" si="0"/>
        <v>1</v>
      </c>
    </row>
    <row r="34" spans="1:9" ht="15.75" customHeight="1" x14ac:dyDescent="0.25">
      <c r="A34" s="17">
        <v>38</v>
      </c>
      <c r="B34" s="16">
        <v>210038</v>
      </c>
      <c r="C34" s="16" t="s">
        <v>158</v>
      </c>
      <c r="D34" s="19">
        <f>_xlfn.XLOOKUP(A34,'[1]Summary All'!$3:$3,'[1]Summary All'!$115:$115)</f>
        <v>275707181.62112081</v>
      </c>
      <c r="E34" s="19">
        <f>_xlfn.XLOOKUP(A34,'[1]Summary All'!$3:$3,'[1]Summary All'!$160:$160)</f>
        <v>10188802.617190203</v>
      </c>
      <c r="F34" s="46">
        <f>_xlfn.XLOOKUP(A34,'[1]Summary All'!$3:$3,'[1]Summary All'!$162:$162)</f>
        <v>285895984.23831099</v>
      </c>
      <c r="G34">
        <v>1.1269535839837195</v>
      </c>
      <c r="I34" s="47" t="b">
        <f t="shared" si="0"/>
        <v>1</v>
      </c>
    </row>
    <row r="35" spans="1:9" ht="15.75" customHeight="1" x14ac:dyDescent="0.25">
      <c r="A35" s="17">
        <v>39</v>
      </c>
      <c r="B35" s="16">
        <v>210039</v>
      </c>
      <c r="C35" s="16" t="s">
        <v>111</v>
      </c>
      <c r="D35" s="19">
        <f>_xlfn.XLOOKUP(A35,'[1]Summary All'!$3:$3,'[1]Summary All'!$115:$115)</f>
        <v>187887770.00043967</v>
      </c>
      <c r="E35" s="19">
        <f>_xlfn.XLOOKUP(A35,'[1]Summary All'!$3:$3,'[1]Summary All'!$160:$160)</f>
        <v>9780885.9040390812</v>
      </c>
      <c r="F35" s="46">
        <f>_xlfn.XLOOKUP(A35,'[1]Summary All'!$3:$3,'[1]Summary All'!$162:$162)</f>
        <v>197668655.90447876</v>
      </c>
      <c r="G35">
        <v>1.1136396711012622</v>
      </c>
      <c r="I35" s="47" t="b">
        <f t="shared" si="0"/>
        <v>1</v>
      </c>
    </row>
    <row r="36" spans="1:9" ht="15.75" customHeight="1" x14ac:dyDescent="0.25">
      <c r="A36" s="17">
        <v>40</v>
      </c>
      <c r="B36" s="16">
        <v>210040</v>
      </c>
      <c r="C36" s="16" t="s">
        <v>159</v>
      </c>
      <c r="D36" s="19">
        <f>_xlfn.XLOOKUP(A36,'[1]Summary All'!$3:$3,'[1]Summary All'!$115:$115)</f>
        <v>310598806.37138766</v>
      </c>
      <c r="E36" s="19">
        <f>_xlfn.XLOOKUP(A36,'[1]Summary All'!$3:$3,'[1]Summary All'!$160:$160)</f>
        <v>11276143.438725429</v>
      </c>
      <c r="F36" s="46">
        <f>_xlfn.XLOOKUP(A36,'[1]Summary All'!$3:$3,'[1]Summary All'!$162:$162)</f>
        <v>321874949.81011307</v>
      </c>
      <c r="G36">
        <v>1.1238777706357723</v>
      </c>
      <c r="I36" s="47" t="b">
        <f t="shared" si="0"/>
        <v>1</v>
      </c>
    </row>
    <row r="37" spans="1:9" ht="15.75" customHeight="1" x14ac:dyDescent="0.25">
      <c r="A37" s="17">
        <v>43</v>
      </c>
      <c r="B37" s="16">
        <v>210043</v>
      </c>
      <c r="C37" s="16" t="s">
        <v>160</v>
      </c>
      <c r="D37" s="19">
        <f>_xlfn.XLOOKUP(A37,'[1]Summary All'!$3:$3,'[1]Summary All'!$115:$115)</f>
        <v>538290321.51618409</v>
      </c>
      <c r="E37" s="19">
        <f>_xlfn.XLOOKUP(A37,'[1]Summary All'!$3:$3,'[1]Summary All'!$160:$160)</f>
        <v>16883815.865198571</v>
      </c>
      <c r="F37" s="46">
        <f>_xlfn.XLOOKUP(A37,'[1]Summary All'!$3:$3,'[1]Summary All'!$162:$162)</f>
        <v>555174137.3813827</v>
      </c>
      <c r="G37">
        <v>1.1199214396162245</v>
      </c>
      <c r="I37" s="47" t="b">
        <f t="shared" si="0"/>
        <v>1</v>
      </c>
    </row>
    <row r="38" spans="1:9" ht="15.75" customHeight="1" x14ac:dyDescent="0.25">
      <c r="A38" s="17">
        <v>44</v>
      </c>
      <c r="B38" s="16">
        <v>210044</v>
      </c>
      <c r="C38" s="16" t="s">
        <v>115</v>
      </c>
      <c r="D38" s="19">
        <f>_xlfn.XLOOKUP(A38,'[1]Summary All'!$3:$3,'[1]Summary All'!$115:$115)</f>
        <v>521723201.8909722</v>
      </c>
      <c r="E38" s="19">
        <f>_xlfn.XLOOKUP(A38,'[1]Summary All'!$3:$3,'[1]Summary All'!$160:$160)</f>
        <v>14276093.931210604</v>
      </c>
      <c r="F38" s="46">
        <f>_xlfn.XLOOKUP(A38,'[1]Summary All'!$3:$3,'[1]Summary All'!$162:$162)</f>
        <v>535999295.82218277</v>
      </c>
      <c r="G38">
        <v>1.1101883621643456</v>
      </c>
      <c r="I38" s="47" t="b">
        <f t="shared" si="0"/>
        <v>1</v>
      </c>
    </row>
    <row r="39" spans="1:9" ht="15.75" customHeight="1" x14ac:dyDescent="0.25">
      <c r="A39" s="17">
        <v>45</v>
      </c>
      <c r="B39" s="16">
        <v>210045</v>
      </c>
      <c r="C39" s="16" t="s">
        <v>117</v>
      </c>
      <c r="D39" s="19">
        <f>_xlfn.XLOOKUP(A39,'[1]Summary All'!$3:$3,'[1]Summary All'!$115:$115)</f>
        <v>0</v>
      </c>
      <c r="E39" s="19">
        <f>_xlfn.XLOOKUP(A39,'[1]Summary All'!$3:$3,'[1]Summary All'!$160:$160)</f>
        <v>0</v>
      </c>
      <c r="F39" s="46">
        <f>_xlfn.XLOOKUP(A39,'[1]Summary All'!$3:$3,'[1]Summary All'!$162:$162)</f>
        <v>6198237.6950473785</v>
      </c>
      <c r="I39" s="47" t="b">
        <f>(D39+E39)=F39</f>
        <v>0</v>
      </c>
    </row>
    <row r="40" spans="1:9" ht="15.75" customHeight="1" x14ac:dyDescent="0.25">
      <c r="A40" s="17">
        <v>48</v>
      </c>
      <c r="B40" s="16">
        <v>210048</v>
      </c>
      <c r="C40" s="16" t="s">
        <v>161</v>
      </c>
      <c r="D40" s="19">
        <f>_xlfn.XLOOKUP(A40,'[1]Summary All'!$3:$3,'[1]Summary All'!$115:$115)</f>
        <v>399202877.8666532</v>
      </c>
      <c r="E40" s="19">
        <f>_xlfn.XLOOKUP(A40,'[1]Summary All'!$3:$3,'[1]Summary All'!$160:$160)</f>
        <v>12149760.69848579</v>
      </c>
      <c r="F40" s="46">
        <f>_xlfn.XLOOKUP(A40,'[1]Summary All'!$3:$3,'[1]Summary All'!$162:$162)</f>
        <v>411352638.565139</v>
      </c>
      <c r="G40">
        <v>1.1049366075304718</v>
      </c>
      <c r="I40" s="47" t="b">
        <f t="shared" si="0"/>
        <v>1</v>
      </c>
    </row>
    <row r="41" spans="1:9" ht="15.75" customHeight="1" x14ac:dyDescent="0.25">
      <c r="A41" s="17">
        <v>49</v>
      </c>
      <c r="B41" s="16">
        <v>210049</v>
      </c>
      <c r="C41" s="16" t="s">
        <v>162</v>
      </c>
      <c r="D41" s="19">
        <f>_xlfn.XLOOKUP(A41,'[1]Summary All'!$3:$3,'[1]Summary All'!$115:$115)</f>
        <v>452864068.82814842</v>
      </c>
      <c r="E41" s="19">
        <f>_xlfn.XLOOKUP(A41,'[1]Summary All'!$3:$3,'[1]Summary All'!$160:$160)</f>
        <v>11587314.613174824</v>
      </c>
      <c r="F41" s="46">
        <f>_xlfn.XLOOKUP(A41,'[1]Summary All'!$3:$3,'[1]Summary All'!$162:$162)</f>
        <v>464451383.44132322</v>
      </c>
      <c r="G41">
        <v>1.1171673498340509</v>
      </c>
      <c r="I41" s="47" t="b">
        <f t="shared" si="0"/>
        <v>1</v>
      </c>
    </row>
    <row r="42" spans="1:9" ht="15.75" customHeight="1" x14ac:dyDescent="0.25">
      <c r="A42" s="17">
        <v>51</v>
      </c>
      <c r="B42" s="16">
        <v>210051</v>
      </c>
      <c r="C42" s="16" t="s">
        <v>163</v>
      </c>
      <c r="D42" s="19">
        <f>_xlfn.XLOOKUP(A42,'[1]Summary All'!$3:$3,'[1]Summary All'!$115:$115)</f>
        <v>311236650.65650415</v>
      </c>
      <c r="E42" s="19">
        <f>_xlfn.XLOOKUP(A42,'[1]Summary All'!$3:$3,'[1]Summary All'!$160:$160)</f>
        <v>17557802.993393585</v>
      </c>
      <c r="F42" s="46">
        <f>_xlfn.XLOOKUP(A42,'[1]Summary All'!$3:$3,'[1]Summary All'!$162:$162)</f>
        <v>328794453.64989775</v>
      </c>
      <c r="G42">
        <v>1.1189983090382953</v>
      </c>
      <c r="I42" s="47" t="b">
        <f t="shared" si="0"/>
        <v>1</v>
      </c>
    </row>
    <row r="43" spans="1:9" ht="15.75" customHeight="1" x14ac:dyDescent="0.25">
      <c r="A43" s="17">
        <v>55</v>
      </c>
      <c r="B43" s="16">
        <v>210055</v>
      </c>
      <c r="C43" s="16" t="s">
        <v>164</v>
      </c>
      <c r="D43" s="19">
        <f>_xlfn.XLOOKUP(A43,'[1]Summary All'!$3:$3,'[1]Summary All'!$115:$115)</f>
        <v>43394132.391841955</v>
      </c>
      <c r="E43" s="19">
        <f>_xlfn.XLOOKUP(A43,'[1]Summary All'!$3:$3,'[1]Summary All'!$160:$160)</f>
        <v>1526447.8205674535</v>
      </c>
      <c r="F43" s="46">
        <f>_xlfn.XLOOKUP(A43,'[1]Summary All'!$3:$3,'[1]Summary All'!$162:$162)</f>
        <v>44920580.212409407</v>
      </c>
      <c r="G43">
        <v>1.2326840578182912</v>
      </c>
      <c r="I43" s="47" t="b">
        <f t="shared" si="0"/>
        <v>1</v>
      </c>
    </row>
    <row r="44" spans="1:9" ht="15.75" customHeight="1" x14ac:dyDescent="0.25">
      <c r="A44" s="17">
        <v>2004</v>
      </c>
      <c r="B44" s="16">
        <v>210056</v>
      </c>
      <c r="C44" s="16" t="s">
        <v>165</v>
      </c>
      <c r="D44" s="19">
        <f>_xlfn.XLOOKUP(A44,'[1]Summary All'!$3:$3,'[1]Summary All'!$115:$115)</f>
        <v>318721362.59933156</v>
      </c>
      <c r="E44" s="19">
        <f>_xlfn.XLOOKUP(A44,'[1]Summary All'!$3:$3,'[1]Summary All'!$160:$160)</f>
        <v>8959071.6587092038</v>
      </c>
      <c r="F44" s="46">
        <f>_xlfn.XLOOKUP(A44,'[1]Summary All'!$3:$3,'[1]Summary All'!$162:$162)</f>
        <v>327680434.25804079</v>
      </c>
      <c r="G44">
        <v>1.1306741913635847</v>
      </c>
      <c r="I44" s="47" t="b">
        <f t="shared" si="0"/>
        <v>1</v>
      </c>
    </row>
    <row r="45" spans="1:9" ht="15.75" customHeight="1" x14ac:dyDescent="0.25">
      <c r="A45" s="17">
        <v>5050</v>
      </c>
      <c r="B45" s="16">
        <v>210057</v>
      </c>
      <c r="C45" s="16" t="s">
        <v>123</v>
      </c>
      <c r="D45" s="19">
        <f>_xlfn.XLOOKUP(A45,'[1]Summary All'!$3:$3,'[1]Summary All'!$115:$115)</f>
        <v>532574709.25264829</v>
      </c>
      <c r="E45" s="19">
        <f>_xlfn.XLOOKUP(A45,'[1]Summary All'!$3:$3,'[1]Summary All'!$160:$160)</f>
        <v>28593143.284269705</v>
      </c>
      <c r="F45" s="46">
        <f>_xlfn.XLOOKUP(A45,'[1]Summary All'!$3:$3,'[1]Summary All'!$162:$162)</f>
        <v>561167852.53691804</v>
      </c>
      <c r="G45">
        <v>1.1118697568950591</v>
      </c>
      <c r="I45" s="47" t="b">
        <f t="shared" si="0"/>
        <v>1</v>
      </c>
    </row>
    <row r="46" spans="1:9" ht="15.75" customHeight="1" x14ac:dyDescent="0.25">
      <c r="A46" s="17">
        <v>2001</v>
      </c>
      <c r="B46" s="16">
        <v>210058</v>
      </c>
      <c r="C46" s="16" t="s">
        <v>166</v>
      </c>
      <c r="D46" s="19">
        <f>_xlfn.XLOOKUP(A46,'[1]Summary All'!$3:$3,'[1]Summary All'!$115:$115)</f>
        <v>150854074.76901859</v>
      </c>
      <c r="E46" s="19">
        <f>_xlfn.XLOOKUP(A46,'[1]Summary All'!$3:$3,'[1]Summary All'!$160:$160)</f>
        <v>5679040.5980347069</v>
      </c>
      <c r="F46" s="46">
        <f>_xlfn.XLOOKUP(A46,'[1]Summary All'!$3:$3,'[1]Summary All'!$162:$162)</f>
        <v>156533115.3670533</v>
      </c>
      <c r="G46">
        <v>1.1131375571407696</v>
      </c>
      <c r="I46" s="47" t="b">
        <f t="shared" si="0"/>
        <v>1</v>
      </c>
    </row>
    <row r="47" spans="1:9" ht="15.75" customHeight="1" x14ac:dyDescent="0.25">
      <c r="A47" s="17">
        <v>60</v>
      </c>
      <c r="B47" s="16">
        <v>210060</v>
      </c>
      <c r="C47" s="16" t="s">
        <v>167</v>
      </c>
      <c r="D47" s="19">
        <f>_xlfn.XLOOKUP(A47,'[1]Summary All'!$3:$3,'[1]Summary All'!$115:$115)</f>
        <v>69106162.451913446</v>
      </c>
      <c r="E47" s="19">
        <f>_xlfn.XLOOKUP(A47,'[1]Summary All'!$3:$3,'[1]Summary All'!$160:$160)</f>
        <v>2472277.6281959349</v>
      </c>
      <c r="F47" s="46">
        <f>_xlfn.XLOOKUP(A47,'[1]Summary All'!$3:$3,'[1]Summary All'!$162:$162)</f>
        <v>71578440.080109388</v>
      </c>
      <c r="G47">
        <v>1.1225939436565051</v>
      </c>
      <c r="I47" s="47" t="b">
        <f t="shared" si="0"/>
        <v>1</v>
      </c>
    </row>
    <row r="48" spans="1:9" ht="15.75" customHeight="1" x14ac:dyDescent="0.25">
      <c r="A48" s="17">
        <v>61</v>
      </c>
      <c r="B48" s="16">
        <v>210061</v>
      </c>
      <c r="C48" s="16" t="s">
        <v>126</v>
      </c>
      <c r="D48" s="19">
        <f>_xlfn.XLOOKUP(A48,'[1]Summary All'!$3:$3,'[1]Summary All'!$115:$115)</f>
        <v>136431776.89364532</v>
      </c>
      <c r="E48" s="19">
        <f>_xlfn.XLOOKUP(A48,'[1]Summary All'!$3:$3,'[1]Summary All'!$160:$160)</f>
        <v>4438585.108976149</v>
      </c>
      <c r="F48" s="46">
        <f>_xlfn.XLOOKUP(A48,'[1]Summary All'!$3:$3,'[1]Summary All'!$162:$162)</f>
        <v>140870362.00262147</v>
      </c>
      <c r="G48">
        <v>1.1236497259497726</v>
      </c>
      <c r="I48" s="47" t="b">
        <f t="shared" si="0"/>
        <v>1</v>
      </c>
    </row>
    <row r="49" spans="1:9" ht="15.75" customHeight="1" x14ac:dyDescent="0.25">
      <c r="A49" s="17">
        <v>62</v>
      </c>
      <c r="B49" s="16">
        <v>210062</v>
      </c>
      <c r="C49" s="16" t="s">
        <v>168</v>
      </c>
      <c r="D49" s="19">
        <f>_xlfn.XLOOKUP(A49,'[1]Summary All'!$3:$3,'[1]Summary All'!$115:$115)</f>
        <v>342698160.72780275</v>
      </c>
      <c r="E49" s="19">
        <f>_xlfn.XLOOKUP(A49,'[1]Summary All'!$3:$3,'[1]Summary All'!$160:$160)</f>
        <v>18565057.380392186</v>
      </c>
      <c r="F49" s="19">
        <f>_xlfn.XLOOKUP(A49,'[1]Summary All'!$3:$3,'[1]Summary All'!$162:$162)</f>
        <v>361263218.10819495</v>
      </c>
      <c r="G49">
        <v>1.1171900302032232</v>
      </c>
      <c r="I49" s="47" t="b">
        <f t="shared" si="0"/>
        <v>1</v>
      </c>
    </row>
    <row r="50" spans="1:9" ht="15.75" customHeight="1" x14ac:dyDescent="0.25">
      <c r="A50" s="17">
        <v>63</v>
      </c>
      <c r="B50" s="16">
        <v>210063</v>
      </c>
      <c r="C50" s="16" t="s">
        <v>169</v>
      </c>
      <c r="D50" s="19">
        <f>_xlfn.XLOOKUP(A50,'[1]Summary All'!$3:$3,'[1]Summary All'!$115:$115)</f>
        <v>485998460.31691992</v>
      </c>
      <c r="E50" s="19">
        <f>_xlfn.XLOOKUP(A50,'[1]Summary All'!$3:$3,'[1]Summary All'!$160:$160)</f>
        <v>19198743.186412424</v>
      </c>
      <c r="F50" s="19">
        <f>_xlfn.XLOOKUP(A50,'[1]Summary All'!$3:$3,'[1]Summary All'!$162:$162)</f>
        <v>505197203.50333238</v>
      </c>
      <c r="G50">
        <v>1.1169446961820713</v>
      </c>
      <c r="I50" s="47" t="b">
        <f t="shared" si="0"/>
        <v>1</v>
      </c>
    </row>
    <row r="51" spans="1:9" ht="15.75" customHeight="1" x14ac:dyDescent="0.25">
      <c r="A51" s="17">
        <v>87</v>
      </c>
      <c r="B51" s="16">
        <v>210087</v>
      </c>
      <c r="C51" s="16" t="s">
        <v>170</v>
      </c>
      <c r="D51" s="19">
        <f>_xlfn.XLOOKUP(A51,'[1]Summary All'!$3:$3,'[1]Summary All'!$115:$115)</f>
        <v>19043483.2920813</v>
      </c>
      <c r="E51" s="19">
        <f>_xlfn.XLOOKUP(A51,'[1]Summary All'!$3:$3,'[1]Summary All'!$160:$160)</f>
        <v>3721757.6632769229</v>
      </c>
      <c r="F51" s="19">
        <f>_xlfn.XLOOKUP(A51,'[1]Summary All'!$3:$3,'[1]Summary All'!$162:$162)</f>
        <v>22765240.955358222</v>
      </c>
      <c r="G51">
        <v>1.3809623466457082</v>
      </c>
      <c r="I51" s="47" t="b">
        <f t="shared" si="0"/>
        <v>1</v>
      </c>
    </row>
    <row r="52" spans="1:9" ht="15.75" customHeight="1" x14ac:dyDescent="0.25">
      <c r="A52" s="17">
        <v>88</v>
      </c>
      <c r="B52" s="16">
        <v>210088</v>
      </c>
      <c r="C52" s="16" t="s">
        <v>171</v>
      </c>
      <c r="D52" s="19">
        <f>_xlfn.XLOOKUP(A52,'[1]Summary All'!$3:$3,'[1]Summary All'!$115:$115)</f>
        <v>9328567.7736807708</v>
      </c>
      <c r="E52" s="19">
        <f>_xlfn.XLOOKUP(A52,'[1]Summary All'!$3:$3,'[1]Summary All'!$160:$160)</f>
        <v>-64261.857231127666</v>
      </c>
      <c r="F52" s="19">
        <f>_xlfn.XLOOKUP(A52,'[1]Summary All'!$3:$3,'[1]Summary All'!$162:$162)</f>
        <v>9264305.9164496437</v>
      </c>
      <c r="G52">
        <v>1.2012870353525753</v>
      </c>
      <c r="I52" s="47" t="b">
        <f t="shared" si="0"/>
        <v>1</v>
      </c>
    </row>
    <row r="53" spans="1:9" ht="15.75" customHeight="1" x14ac:dyDescent="0.25">
      <c r="A53" s="17">
        <v>333</v>
      </c>
      <c r="B53" s="16">
        <v>210333</v>
      </c>
      <c r="C53" s="16" t="s">
        <v>172</v>
      </c>
      <c r="D53" s="19">
        <f>_xlfn.XLOOKUP(A53,'[1]Summary All'!$3:$3,'[1]Summary All'!$115:$115)</f>
        <v>24814064.305041835</v>
      </c>
      <c r="E53" s="19">
        <f>_xlfn.XLOOKUP(A53,'[1]Summary All'!$3:$3,'[1]Summary All'!$160:$160)</f>
        <v>96236.381017035717</v>
      </c>
      <c r="F53" s="19">
        <f>_xlfn.XLOOKUP(A53,'[1]Summary All'!$3:$3,'[1]Summary All'!$162:$162)</f>
        <v>24910300.686058871</v>
      </c>
      <c r="G53">
        <v>1.261482582785902</v>
      </c>
      <c r="I53" s="47" t="b">
        <f t="shared" si="0"/>
        <v>1</v>
      </c>
    </row>
    <row r="54" spans="1:9" ht="15.75" customHeight="1" x14ac:dyDescent="0.25">
      <c r="A54" s="18">
        <v>5033</v>
      </c>
      <c r="B54" s="16">
        <v>210064</v>
      </c>
      <c r="C54" s="16" t="s">
        <v>59</v>
      </c>
      <c r="D54" s="19">
        <f>_xlfn.XLOOKUP(A54,'[1]Summary All'!$3:$3,'[1]Summary All'!$115:$115)</f>
        <v>73711476.718216836</v>
      </c>
      <c r="E54" s="19">
        <f>_xlfn.XLOOKUP(A54,'[1]Summary All'!$3:$3,'[1]Summary All'!$160:$160)</f>
        <v>2616257.0238077133</v>
      </c>
      <c r="F54" s="19">
        <f>_xlfn.XLOOKUP(A54,'[1]Summary All'!$3:$3,'[1]Summary All'!$162:$162)</f>
        <v>76327733.742024556</v>
      </c>
      <c r="G54">
        <v>1.1360078839078842</v>
      </c>
      <c r="I54" s="47" t="b">
        <f t="shared" si="0"/>
        <v>1</v>
      </c>
    </row>
    <row r="55" spans="1:9" ht="15.75" customHeight="1" x14ac:dyDescent="0.25">
      <c r="A55" s="17">
        <v>8992</v>
      </c>
      <c r="B55" s="16">
        <v>218992</v>
      </c>
      <c r="C55" s="16" t="s">
        <v>173</v>
      </c>
      <c r="D55" s="19">
        <f>_xlfn.XLOOKUP(A55,'[1]Summary All'!$3:$3,'[1]Summary All'!$115:$115)</f>
        <v>277745982.03861064</v>
      </c>
      <c r="E55" s="19">
        <f>_xlfn.XLOOKUP(A55,'[1]Summary All'!$3:$3,'[1]Summary All'!$160:$160)</f>
        <v>8051376.7379963677</v>
      </c>
      <c r="F55" s="19">
        <f>_xlfn.XLOOKUP(A55,'[1]Summary All'!$3:$3,'[1]Summary All'!$162:$162)</f>
        <v>285797358.77660698</v>
      </c>
      <c r="G55">
        <v>1.1193480985155428</v>
      </c>
      <c r="I55" s="47" t="b">
        <f t="shared" si="0"/>
        <v>1</v>
      </c>
    </row>
    <row r="56" spans="1:9" ht="15.75" customHeight="1" x14ac:dyDescent="0.25">
      <c r="A56" s="39">
        <v>65</v>
      </c>
      <c r="B56">
        <v>210065</v>
      </c>
      <c r="C56" t="s">
        <v>174</v>
      </c>
      <c r="D56" s="19">
        <f>_xlfn.XLOOKUP(A56,'[1]Summary All'!$3:$3,'[1]Summary All'!$115:$115)</f>
        <v>175457894.33399042</v>
      </c>
      <c r="E56" s="19">
        <f>_xlfn.XLOOKUP(A56,'[1]Summary All'!$3:$3,'[1]Summary All'!$160:$160)</f>
        <v>5024243.5393009819</v>
      </c>
      <c r="F56" s="19">
        <f>_xlfn.XLOOKUP(A56,'[1]Summary All'!$3:$3,'[1]Summary All'!$162:$162)</f>
        <v>180482137.8732914</v>
      </c>
      <c r="G56">
        <v>1.1115533795130321</v>
      </c>
      <c r="I56" s="47" t="b">
        <f t="shared" si="0"/>
        <v>1</v>
      </c>
    </row>
    <row r="57" spans="1:9" ht="15.75" customHeight="1" x14ac:dyDescent="0.25">
      <c r="D57" s="19"/>
      <c r="E57" s="19"/>
      <c r="F57" s="19"/>
    </row>
    <row r="58" spans="1:9" ht="15.75" customHeight="1" x14ac:dyDescent="0.25">
      <c r="C58" t="s">
        <v>175</v>
      </c>
      <c r="D58" s="19">
        <f>SUM(D5:D56)</f>
        <v>21554890436.990337</v>
      </c>
      <c r="E58" s="19">
        <f t="shared" ref="E58:F58" si="1">SUM(E5:E56)</f>
        <v>916266231.0316999</v>
      </c>
      <c r="F58" s="19">
        <f t="shared" si="1"/>
        <v>22471155719.531666</v>
      </c>
    </row>
    <row r="59" spans="1:9" ht="15.75" customHeight="1" x14ac:dyDescent="0.25"/>
    <row r="60" spans="1:9" ht="15.75" customHeight="1" x14ac:dyDescent="0.25"/>
    <row r="61" spans="1:9" ht="15.75" hidden="1" customHeight="1" x14ac:dyDescent="0.25">
      <c r="D61" s="47" t="s">
        <v>190</v>
      </c>
      <c r="E61" s="47" t="s">
        <v>191</v>
      </c>
      <c r="F61" s="47" t="s">
        <v>194</v>
      </c>
    </row>
    <row r="62" spans="1:9" ht="15.75" hidden="1" customHeight="1" x14ac:dyDescent="0.25">
      <c r="D62" s="47" t="s">
        <v>193</v>
      </c>
      <c r="E62" s="47" t="s">
        <v>192</v>
      </c>
      <c r="F62" s="47" t="s">
        <v>195</v>
      </c>
    </row>
    <row r="63" spans="1:9" ht="15.75" customHeight="1" x14ac:dyDescent="0.25"/>
    <row r="64" spans="1:9" ht="15.75" customHeight="1" x14ac:dyDescent="0.25">
      <c r="D64" s="38">
        <f>D58-'[1]Summary All'!$BE$115</f>
        <v>0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7E311-477F-4705-9963-D0DE96A53A77}">
  <dimension ref="A1:L1000"/>
  <sheetViews>
    <sheetView workbookViewId="0">
      <selection activeCell="F58" sqref="F58"/>
    </sheetView>
  </sheetViews>
  <sheetFormatPr defaultColWidth="11.28515625" defaultRowHeight="15" customHeight="1" x14ac:dyDescent="0.25"/>
  <cols>
    <col min="1" max="1" width="12.28515625" customWidth="1"/>
    <col min="3" max="3" width="17.5703125" customWidth="1"/>
    <col min="4" max="5" width="26.140625" customWidth="1"/>
    <col min="6" max="6" width="18.42578125" bestFit="1" customWidth="1"/>
    <col min="9" max="9" width="0.85546875" style="47" customWidth="1"/>
    <col min="11" max="11" width="12" bestFit="1" customWidth="1"/>
  </cols>
  <sheetData>
    <row r="1" spans="1:12" ht="15" customHeight="1" x14ac:dyDescent="0.25">
      <c r="A1" t="s">
        <v>188</v>
      </c>
    </row>
    <row r="2" spans="1:12" ht="15" customHeight="1" x14ac:dyDescent="0.25">
      <c r="A2" t="s">
        <v>189</v>
      </c>
    </row>
    <row r="3" spans="1:12" x14ac:dyDescent="0.25">
      <c r="B3" s="16"/>
      <c r="C3" s="16"/>
      <c r="D3" s="16"/>
    </row>
    <row r="4" spans="1:12" ht="15.75" x14ac:dyDescent="0.25">
      <c r="A4" s="17" t="s">
        <v>130</v>
      </c>
      <c r="B4" s="16" t="s">
        <v>131</v>
      </c>
      <c r="C4" s="16" t="s">
        <v>132</v>
      </c>
      <c r="D4" s="19" t="s">
        <v>133</v>
      </c>
      <c r="E4" t="s">
        <v>134</v>
      </c>
      <c r="F4" t="s">
        <v>135</v>
      </c>
    </row>
    <row r="5" spans="1:12" ht="15.75" x14ac:dyDescent="0.25">
      <c r="A5" s="17">
        <v>1</v>
      </c>
      <c r="B5" s="16">
        <v>210001</v>
      </c>
      <c r="C5" s="16" t="s">
        <v>65</v>
      </c>
      <c r="D5" s="19">
        <v>507302029.57678121</v>
      </c>
      <c r="E5" s="19">
        <v>30439960.870823346</v>
      </c>
      <c r="F5" s="19">
        <v>537741990.44760454</v>
      </c>
      <c r="G5">
        <v>1.1250719936845397</v>
      </c>
      <c r="I5" s="47" t="b">
        <f>(D5+E5)=F5</f>
        <v>1</v>
      </c>
    </row>
    <row r="6" spans="1:12" ht="15.75" x14ac:dyDescent="0.25">
      <c r="A6" s="17">
        <v>2</v>
      </c>
      <c r="B6" s="16">
        <v>210002</v>
      </c>
      <c r="C6" s="16" t="s">
        <v>136</v>
      </c>
      <c r="D6" s="19">
        <v>1929804253.8971798</v>
      </c>
      <c r="E6" s="19">
        <v>68833638.057222784</v>
      </c>
      <c r="F6" s="19">
        <v>1998637891.9544027</v>
      </c>
      <c r="G6">
        <v>1.1168343089829478</v>
      </c>
      <c r="I6" s="47" t="b">
        <f t="shared" ref="I6:I56" si="0">(D6+E6)=F6</f>
        <v>1</v>
      </c>
    </row>
    <row r="7" spans="1:12" ht="15.75" x14ac:dyDescent="0.25">
      <c r="A7" s="17">
        <v>3</v>
      </c>
      <c r="B7" s="16">
        <v>210003</v>
      </c>
      <c r="C7" s="16" t="s">
        <v>137</v>
      </c>
      <c r="D7" s="19">
        <v>450625999.56213671</v>
      </c>
      <c r="E7" s="19">
        <v>33797427.923036717</v>
      </c>
      <c r="F7" s="19">
        <v>484423427.4851734</v>
      </c>
      <c r="G7">
        <v>1.1171664786310078</v>
      </c>
      <c r="I7" s="47" t="b">
        <f t="shared" si="0"/>
        <v>1</v>
      </c>
    </row>
    <row r="8" spans="1:12" ht="15.75" x14ac:dyDescent="0.25">
      <c r="A8" s="17">
        <v>4</v>
      </c>
      <c r="B8" s="16">
        <v>210004</v>
      </c>
      <c r="C8" s="16" t="s">
        <v>71</v>
      </c>
      <c r="D8" s="19">
        <v>620977885.65347517</v>
      </c>
      <c r="E8" s="19">
        <v>16323501.834362643</v>
      </c>
      <c r="F8" s="19">
        <v>637301387.48783779</v>
      </c>
      <c r="G8">
        <v>1.1139927136263073</v>
      </c>
      <c r="I8" s="47" t="b">
        <f t="shared" si="0"/>
        <v>1</v>
      </c>
    </row>
    <row r="9" spans="1:12" ht="15.75" x14ac:dyDescent="0.25">
      <c r="A9" s="17">
        <v>5</v>
      </c>
      <c r="B9" s="16">
        <v>210005</v>
      </c>
      <c r="C9" s="16" t="s">
        <v>74</v>
      </c>
      <c r="D9" s="19">
        <v>440525242.00127202</v>
      </c>
      <c r="E9" s="19">
        <v>19344156.182607893</v>
      </c>
      <c r="F9" s="19">
        <v>459869398.18387991</v>
      </c>
      <c r="G9">
        <v>1.1153754122420763</v>
      </c>
      <c r="I9" s="47" t="b">
        <f t="shared" si="0"/>
        <v>1</v>
      </c>
    </row>
    <row r="10" spans="1:12" ht="15.75" x14ac:dyDescent="0.25">
      <c r="A10" s="17">
        <v>6</v>
      </c>
      <c r="B10" s="16">
        <v>210006</v>
      </c>
      <c r="C10" s="16" t="s">
        <v>138</v>
      </c>
      <c r="D10" s="19">
        <v>32593864.34534204</v>
      </c>
      <c r="E10" s="19">
        <v>1293905.4612312422</v>
      </c>
      <c r="F10" s="19">
        <v>33887769.806573279</v>
      </c>
      <c r="G10">
        <v>1.1191143641826482</v>
      </c>
      <c r="H10" s="40"/>
      <c r="I10" s="47" t="b">
        <f t="shared" si="0"/>
        <v>1</v>
      </c>
      <c r="J10" s="40"/>
      <c r="K10" s="40"/>
      <c r="L10" s="40"/>
    </row>
    <row r="11" spans="1:12" ht="15.75" x14ac:dyDescent="0.25">
      <c r="A11" s="17">
        <v>8</v>
      </c>
      <c r="B11" s="16">
        <v>210008</v>
      </c>
      <c r="C11" s="16" t="s">
        <v>139</v>
      </c>
      <c r="D11" s="19">
        <v>697629726.96527386</v>
      </c>
      <c r="E11" s="19">
        <v>20331697.654077351</v>
      </c>
      <c r="F11" s="19">
        <v>717961424.61935115</v>
      </c>
      <c r="G11">
        <v>1.1117214986698161</v>
      </c>
      <c r="I11" s="47" t="b">
        <f t="shared" si="0"/>
        <v>1</v>
      </c>
    </row>
    <row r="12" spans="1:12" ht="15.75" x14ac:dyDescent="0.25">
      <c r="A12" s="17">
        <v>9</v>
      </c>
      <c r="B12" s="16">
        <v>210009</v>
      </c>
      <c r="C12" s="16" t="s">
        <v>79</v>
      </c>
      <c r="D12" s="19">
        <v>3174123493.2099657</v>
      </c>
      <c r="E12" s="19">
        <v>135577807.73944077</v>
      </c>
      <c r="F12" s="19">
        <v>3309701300.9494066</v>
      </c>
      <c r="G12">
        <v>1.1077312682949558</v>
      </c>
      <c r="I12" s="47" t="b">
        <f t="shared" si="0"/>
        <v>1</v>
      </c>
    </row>
    <row r="13" spans="1:12" ht="15.75" x14ac:dyDescent="0.25">
      <c r="A13" s="17">
        <v>10</v>
      </c>
      <c r="B13" s="16">
        <v>210010</v>
      </c>
      <c r="C13" s="16" t="s">
        <v>140</v>
      </c>
      <c r="D13" s="19">
        <v>16974409.4034792</v>
      </c>
      <c r="E13" s="19">
        <v>504569.09044597385</v>
      </c>
      <c r="F13" s="19">
        <v>17478978.493925173</v>
      </c>
      <c r="G13">
        <v>1.1702600652609856</v>
      </c>
      <c r="I13" s="47" t="b">
        <f t="shared" si="0"/>
        <v>1</v>
      </c>
    </row>
    <row r="14" spans="1:12" ht="15.75" x14ac:dyDescent="0.25">
      <c r="A14" s="17">
        <v>11</v>
      </c>
      <c r="B14" s="16">
        <v>210011</v>
      </c>
      <c r="C14" s="16" t="s">
        <v>141</v>
      </c>
      <c r="D14" s="19">
        <v>527466834.87731558</v>
      </c>
      <c r="E14" s="19">
        <v>40362567.167884447</v>
      </c>
      <c r="F14" s="19">
        <v>567829402.04519999</v>
      </c>
      <c r="G14">
        <v>1.117959076351269</v>
      </c>
      <c r="I14" s="47" t="b">
        <f t="shared" si="0"/>
        <v>1</v>
      </c>
    </row>
    <row r="15" spans="1:12" ht="15.75" x14ac:dyDescent="0.25">
      <c r="A15" s="17">
        <v>12</v>
      </c>
      <c r="B15" s="16">
        <v>210012</v>
      </c>
      <c r="C15" s="16" t="s">
        <v>142</v>
      </c>
      <c r="D15" s="19">
        <v>966525542.84436297</v>
      </c>
      <c r="E15" s="19">
        <v>25428962.158668239</v>
      </c>
      <c r="F15" s="19">
        <v>991954505.00303125</v>
      </c>
      <c r="G15">
        <v>1.1232376192605842</v>
      </c>
      <c r="I15" s="47" t="b">
        <f t="shared" si="0"/>
        <v>1</v>
      </c>
    </row>
    <row r="16" spans="1:12" ht="15.75" x14ac:dyDescent="0.25">
      <c r="A16" s="17">
        <v>13</v>
      </c>
      <c r="B16" s="16">
        <v>210013</v>
      </c>
      <c r="C16" s="16" t="s">
        <v>143</v>
      </c>
      <c r="D16" s="19">
        <v>33742037.290851362</v>
      </c>
      <c r="E16" s="19">
        <v>1254493.2517298202</v>
      </c>
      <c r="F16" s="19">
        <v>34996530.542581186</v>
      </c>
      <c r="G16">
        <v>1.0933441127280834</v>
      </c>
      <c r="I16" s="47" t="b">
        <f t="shared" si="0"/>
        <v>1</v>
      </c>
    </row>
    <row r="17" spans="1:11" ht="15.75" x14ac:dyDescent="0.25">
      <c r="A17" s="17">
        <v>15</v>
      </c>
      <c r="B17" s="16">
        <v>210015</v>
      </c>
      <c r="C17" s="16" t="s">
        <v>144</v>
      </c>
      <c r="D17" s="19">
        <v>693253672.16527951</v>
      </c>
      <c r="E17" s="19">
        <v>48174740.325134575</v>
      </c>
      <c r="F17" s="19">
        <v>741428412.49041414</v>
      </c>
      <c r="G17">
        <v>1.1235731542051195</v>
      </c>
      <c r="I17" s="47" t="b">
        <f t="shared" si="0"/>
        <v>1</v>
      </c>
    </row>
    <row r="18" spans="1:11" ht="15.75" x14ac:dyDescent="0.25">
      <c r="A18" s="17">
        <v>16</v>
      </c>
      <c r="B18" s="16">
        <v>210016</v>
      </c>
      <c r="C18" s="16" t="s">
        <v>145</v>
      </c>
      <c r="D18" s="19">
        <v>393083216.85680395</v>
      </c>
      <c r="E18" s="19">
        <v>24143390.527321838</v>
      </c>
      <c r="F18" s="19">
        <v>417226607.38412577</v>
      </c>
      <c r="G18">
        <v>1.1239447473962789</v>
      </c>
      <c r="I18" s="47" t="b">
        <f t="shared" si="0"/>
        <v>1</v>
      </c>
    </row>
    <row r="19" spans="1:11" ht="15.75" x14ac:dyDescent="0.25">
      <c r="A19" s="17">
        <v>17</v>
      </c>
      <c r="B19" s="16">
        <v>210017</v>
      </c>
      <c r="C19" s="16" t="s">
        <v>146</v>
      </c>
      <c r="D19" s="19">
        <v>94740995.064713731</v>
      </c>
      <c r="E19" s="19">
        <v>3261412.480094682</v>
      </c>
      <c r="F19" s="19">
        <v>98002407.544808418</v>
      </c>
      <c r="G19">
        <v>1.1220078240126943</v>
      </c>
      <c r="I19" s="47" t="b">
        <f t="shared" si="0"/>
        <v>1</v>
      </c>
    </row>
    <row r="20" spans="1:11" ht="15.75" x14ac:dyDescent="0.25">
      <c r="A20" s="17">
        <v>18</v>
      </c>
      <c r="B20" s="16">
        <v>210018</v>
      </c>
      <c r="C20" s="16" t="s">
        <v>93</v>
      </c>
      <c r="D20" s="19">
        <v>223918421.0956955</v>
      </c>
      <c r="E20" s="19">
        <v>17976426.080429744</v>
      </c>
      <c r="F20" s="19">
        <v>241894847.17612523</v>
      </c>
      <c r="G20">
        <v>1.118484996717898</v>
      </c>
      <c r="I20" s="47" t="b">
        <f t="shared" si="0"/>
        <v>1</v>
      </c>
    </row>
    <row r="21" spans="1:11" ht="15.75" customHeight="1" x14ac:dyDescent="0.25">
      <c r="A21" s="17">
        <v>19</v>
      </c>
      <c r="B21" s="16">
        <v>210019</v>
      </c>
      <c r="C21" s="16" t="s">
        <v>147</v>
      </c>
      <c r="D21" s="19">
        <v>629559549.27611184</v>
      </c>
      <c r="E21" s="19">
        <v>26348303.451740853</v>
      </c>
      <c r="F21" s="19">
        <v>649708666.54244268</v>
      </c>
      <c r="G21">
        <v>1.1267437070730897</v>
      </c>
      <c r="I21" s="47" t="b">
        <f>(D21+E21)=F21</f>
        <v>0</v>
      </c>
      <c r="K21" s="38">
        <f>F39+F21</f>
        <v>655907852.72785258</v>
      </c>
    </row>
    <row r="22" spans="1:11" ht="15.75" customHeight="1" x14ac:dyDescent="0.25">
      <c r="A22" s="17">
        <v>22</v>
      </c>
      <c r="B22" s="16">
        <v>210022</v>
      </c>
      <c r="C22" s="16" t="s">
        <v>95</v>
      </c>
      <c r="D22" s="19">
        <v>451353197.50351125</v>
      </c>
      <c r="E22" s="19">
        <v>16286346.908683475</v>
      </c>
      <c r="F22" s="19">
        <v>467639544.41219473</v>
      </c>
      <c r="G22">
        <v>1.1090401679615984</v>
      </c>
      <c r="I22" s="47" t="b">
        <f t="shared" si="0"/>
        <v>1</v>
      </c>
    </row>
    <row r="23" spans="1:11" ht="15.75" customHeight="1" x14ac:dyDescent="0.25">
      <c r="A23" s="17">
        <v>23</v>
      </c>
      <c r="B23" s="16">
        <v>210023</v>
      </c>
      <c r="C23" s="16" t="s">
        <v>148</v>
      </c>
      <c r="D23" s="19">
        <v>762845011.28010011</v>
      </c>
      <c r="E23" s="19">
        <v>28733670.74528908</v>
      </c>
      <c r="F23" s="19">
        <v>791578682.02538919</v>
      </c>
      <c r="G23">
        <v>1.109936057284536</v>
      </c>
      <c r="I23" s="47" t="b">
        <f t="shared" si="0"/>
        <v>1</v>
      </c>
    </row>
    <row r="24" spans="1:11" ht="15.75" customHeight="1" x14ac:dyDescent="0.25">
      <c r="A24" s="17">
        <v>24</v>
      </c>
      <c r="B24" s="16">
        <v>210024</v>
      </c>
      <c r="C24" s="16" t="s">
        <v>149</v>
      </c>
      <c r="D24" s="19">
        <v>503480367.93414611</v>
      </c>
      <c r="E24" s="19">
        <v>21495632.351426352</v>
      </c>
      <c r="F24" s="19">
        <v>524976000.28557247</v>
      </c>
      <c r="G24">
        <v>1.1237394152553106</v>
      </c>
      <c r="I24" s="47" t="b">
        <f t="shared" si="0"/>
        <v>1</v>
      </c>
    </row>
    <row r="25" spans="1:11" ht="15.75" customHeight="1" x14ac:dyDescent="0.25">
      <c r="A25" s="17">
        <v>27</v>
      </c>
      <c r="B25" s="16">
        <v>210027</v>
      </c>
      <c r="C25" s="16" t="s">
        <v>150</v>
      </c>
      <c r="D25" s="19">
        <v>393237898.81323755</v>
      </c>
      <c r="E25" s="19">
        <v>12642961.019623108</v>
      </c>
      <c r="F25" s="19">
        <v>405880859.83286065</v>
      </c>
      <c r="G25">
        <v>1.1278344219492284</v>
      </c>
      <c r="I25" s="47" t="b">
        <f t="shared" si="0"/>
        <v>1</v>
      </c>
    </row>
    <row r="26" spans="1:11" ht="15.75" customHeight="1" x14ac:dyDescent="0.25">
      <c r="A26" s="17">
        <v>28</v>
      </c>
      <c r="B26" s="16">
        <v>210028</v>
      </c>
      <c r="C26" s="16" t="s">
        <v>151</v>
      </c>
      <c r="D26" s="19">
        <v>238434966.75705001</v>
      </c>
      <c r="E26" s="19">
        <v>16804023.882997658</v>
      </c>
      <c r="F26" s="19">
        <v>255238990.64004767</v>
      </c>
      <c r="G26">
        <v>1.1154290207570936</v>
      </c>
      <c r="I26" s="47" t="b">
        <f t="shared" si="0"/>
        <v>1</v>
      </c>
    </row>
    <row r="27" spans="1:11" ht="15.75" customHeight="1" x14ac:dyDescent="0.25">
      <c r="A27" s="17">
        <v>29</v>
      </c>
      <c r="B27" s="16">
        <v>210029</v>
      </c>
      <c r="C27" s="16" t="s">
        <v>152</v>
      </c>
      <c r="D27" s="19">
        <v>837008183.66081452</v>
      </c>
      <c r="E27" s="19">
        <v>31791180.529665656</v>
      </c>
      <c r="F27" s="19">
        <v>868799364.19048023</v>
      </c>
      <c r="G27">
        <v>1.116827822328361</v>
      </c>
      <c r="I27" s="47" t="b">
        <f t="shared" si="0"/>
        <v>1</v>
      </c>
    </row>
    <row r="28" spans="1:11" ht="15.75" customHeight="1" x14ac:dyDescent="0.25">
      <c r="A28" s="17">
        <v>30</v>
      </c>
      <c r="B28" s="16">
        <v>210030</v>
      </c>
      <c r="C28" s="16" t="s">
        <v>153</v>
      </c>
      <c r="D28" s="19">
        <v>53982690.755440846</v>
      </c>
      <c r="E28" s="19">
        <v>1585087.5628000642</v>
      </c>
      <c r="F28" s="19">
        <v>55567778.318240911</v>
      </c>
      <c r="G28">
        <v>1.1238685466800173</v>
      </c>
      <c r="I28" s="47" t="b">
        <f t="shared" si="0"/>
        <v>1</v>
      </c>
    </row>
    <row r="29" spans="1:11" ht="15.75" customHeight="1" x14ac:dyDescent="0.25">
      <c r="A29" s="17">
        <v>32</v>
      </c>
      <c r="B29" s="16">
        <v>210032</v>
      </c>
      <c r="C29" s="16" t="s">
        <v>154</v>
      </c>
      <c r="D29" s="19">
        <v>205769174.8309373</v>
      </c>
      <c r="E29" s="19">
        <v>3883878.9690857409</v>
      </c>
      <c r="F29" s="19">
        <v>209653053.80002305</v>
      </c>
      <c r="G29">
        <v>1.1251393623363799</v>
      </c>
      <c r="I29" s="47" t="b">
        <f t="shared" si="0"/>
        <v>1</v>
      </c>
    </row>
    <row r="30" spans="1:11" ht="15.75" customHeight="1" x14ac:dyDescent="0.25">
      <c r="A30" s="17">
        <v>33</v>
      </c>
      <c r="B30" s="16">
        <v>210033</v>
      </c>
      <c r="C30" s="16" t="s">
        <v>155</v>
      </c>
      <c r="D30" s="19">
        <v>280649695.33257455</v>
      </c>
      <c r="E30" s="19">
        <v>8764132.7826064043</v>
      </c>
      <c r="F30" s="19">
        <v>289413828.11518097</v>
      </c>
      <c r="G30">
        <v>1.1198087208859684</v>
      </c>
      <c r="I30" s="47" t="b">
        <f t="shared" si="0"/>
        <v>1</v>
      </c>
    </row>
    <row r="31" spans="1:11" ht="15.75" customHeight="1" x14ac:dyDescent="0.25">
      <c r="A31" s="17">
        <v>34</v>
      </c>
      <c r="B31" s="16">
        <v>210034</v>
      </c>
      <c r="C31" s="16" t="s">
        <v>107</v>
      </c>
      <c r="D31" s="19">
        <v>224405546.86145109</v>
      </c>
      <c r="E31" s="19">
        <v>16922896.367908284</v>
      </c>
      <c r="F31" s="19">
        <v>241328443.22935939</v>
      </c>
      <c r="G31">
        <v>1.1267050227140725</v>
      </c>
      <c r="I31" s="47" t="b">
        <f t="shared" si="0"/>
        <v>1</v>
      </c>
    </row>
    <row r="32" spans="1:11" ht="15.75" customHeight="1" x14ac:dyDescent="0.25">
      <c r="A32" s="17">
        <v>35</v>
      </c>
      <c r="B32" s="16">
        <v>210035</v>
      </c>
      <c r="C32" s="16" t="s">
        <v>156</v>
      </c>
      <c r="D32" s="19">
        <v>189551311.55740795</v>
      </c>
      <c r="E32" s="19">
        <v>7614086.9886035947</v>
      </c>
      <c r="F32" s="19">
        <v>197165398.54601154</v>
      </c>
      <c r="G32">
        <v>1.1161445571200141</v>
      </c>
      <c r="I32" s="47" t="b">
        <f t="shared" si="0"/>
        <v>1</v>
      </c>
    </row>
    <row r="33" spans="1:9" ht="15.75" customHeight="1" x14ac:dyDescent="0.25">
      <c r="A33" s="17">
        <v>37</v>
      </c>
      <c r="B33" s="16">
        <v>210037</v>
      </c>
      <c r="C33" s="16" t="s">
        <v>157</v>
      </c>
      <c r="D33" s="19">
        <v>295917031.88321793</v>
      </c>
      <c r="E33" s="19">
        <v>23766776.451613829</v>
      </c>
      <c r="F33" s="19">
        <v>319683808.33483177</v>
      </c>
      <c r="G33">
        <v>1.1264600064171217</v>
      </c>
      <c r="I33" s="47" t="b">
        <f t="shared" si="0"/>
        <v>1</v>
      </c>
    </row>
    <row r="34" spans="1:9" ht="15.75" customHeight="1" x14ac:dyDescent="0.25">
      <c r="A34" s="17">
        <v>38</v>
      </c>
      <c r="B34" s="16">
        <v>210038</v>
      </c>
      <c r="C34" s="16" t="s">
        <v>158</v>
      </c>
      <c r="D34" s="19">
        <v>275707181.62112081</v>
      </c>
      <c r="E34" s="19">
        <v>10188802.617190203</v>
      </c>
      <c r="F34" s="19">
        <v>285895984.23831099</v>
      </c>
      <c r="G34">
        <v>1.1269535839837195</v>
      </c>
      <c r="I34" s="47" t="b">
        <f t="shared" si="0"/>
        <v>1</v>
      </c>
    </row>
    <row r="35" spans="1:9" ht="15.75" customHeight="1" x14ac:dyDescent="0.25">
      <c r="A35" s="17">
        <v>39</v>
      </c>
      <c r="B35" s="16">
        <v>210039</v>
      </c>
      <c r="C35" s="16" t="s">
        <v>111</v>
      </c>
      <c r="D35" s="19">
        <v>187887770.00043967</v>
      </c>
      <c r="E35" s="19">
        <v>9780885.9040390812</v>
      </c>
      <c r="F35" s="19">
        <v>197668655.90447876</v>
      </c>
      <c r="G35">
        <v>1.1136396711012622</v>
      </c>
      <c r="I35" s="47" t="b">
        <f t="shared" si="0"/>
        <v>1</v>
      </c>
    </row>
    <row r="36" spans="1:9" ht="15.75" customHeight="1" x14ac:dyDescent="0.25">
      <c r="A36" s="17">
        <v>40</v>
      </c>
      <c r="B36" s="16">
        <v>210040</v>
      </c>
      <c r="C36" s="16" t="s">
        <v>159</v>
      </c>
      <c r="D36" s="19">
        <v>310598806.37138766</v>
      </c>
      <c r="E36" s="19">
        <v>11276143.438725429</v>
      </c>
      <c r="F36" s="19">
        <v>321874949.81011307</v>
      </c>
      <c r="G36">
        <v>1.1238777706357723</v>
      </c>
      <c r="I36" s="47" t="b">
        <f t="shared" si="0"/>
        <v>1</v>
      </c>
    </row>
    <row r="37" spans="1:9" ht="15.75" customHeight="1" x14ac:dyDescent="0.25">
      <c r="A37" s="17">
        <v>43</v>
      </c>
      <c r="B37" s="16">
        <v>210043</v>
      </c>
      <c r="C37" s="16" t="s">
        <v>160</v>
      </c>
      <c r="D37" s="19">
        <v>538290321.51618409</v>
      </c>
      <c r="E37" s="19">
        <v>16883815.865198571</v>
      </c>
      <c r="F37" s="19">
        <v>555174137.3813827</v>
      </c>
      <c r="G37">
        <v>1.1199214396162245</v>
      </c>
      <c r="I37" s="47" t="b">
        <f t="shared" si="0"/>
        <v>1</v>
      </c>
    </row>
    <row r="38" spans="1:9" ht="15.75" customHeight="1" x14ac:dyDescent="0.25">
      <c r="A38" s="17">
        <v>44</v>
      </c>
      <c r="B38" s="16">
        <v>210044</v>
      </c>
      <c r="C38" s="16" t="s">
        <v>115</v>
      </c>
      <c r="D38" s="19">
        <v>520665135.76263523</v>
      </c>
      <c r="E38" s="19">
        <v>14276093.931210604</v>
      </c>
      <c r="F38" s="19">
        <v>534941229.69384581</v>
      </c>
      <c r="G38">
        <v>1.1101883621643456</v>
      </c>
      <c r="I38" s="47" t="b">
        <f t="shared" si="0"/>
        <v>1</v>
      </c>
    </row>
    <row r="39" spans="1:9" ht="15.75" customHeight="1" x14ac:dyDescent="0.25">
      <c r="A39" s="17">
        <v>45</v>
      </c>
      <c r="B39" s="16">
        <v>210045</v>
      </c>
      <c r="C39" s="16" t="s">
        <v>117</v>
      </c>
      <c r="D39" s="19">
        <v>0</v>
      </c>
      <c r="E39" s="19">
        <v>0</v>
      </c>
      <c r="F39" s="19">
        <v>6199186.1854099035</v>
      </c>
      <c r="I39" s="47" t="b">
        <f>(D39+E39)=F39</f>
        <v>0</v>
      </c>
    </row>
    <row r="40" spans="1:9" ht="15.75" customHeight="1" x14ac:dyDescent="0.25">
      <c r="A40" s="17">
        <v>48</v>
      </c>
      <c r="B40" s="16">
        <v>210048</v>
      </c>
      <c r="C40" s="16" t="s">
        <v>161</v>
      </c>
      <c r="D40" s="19">
        <v>389779107.95348483</v>
      </c>
      <c r="E40" s="19">
        <v>12149760.69848579</v>
      </c>
      <c r="F40" s="19">
        <v>401928868.65197062</v>
      </c>
      <c r="G40">
        <v>1.1049366075304718</v>
      </c>
      <c r="I40" s="47" t="b">
        <f t="shared" si="0"/>
        <v>1</v>
      </c>
    </row>
    <row r="41" spans="1:9" ht="15.75" customHeight="1" x14ac:dyDescent="0.25">
      <c r="A41" s="17">
        <v>49</v>
      </c>
      <c r="B41" s="16">
        <v>210049</v>
      </c>
      <c r="C41" s="16" t="s">
        <v>162</v>
      </c>
      <c r="D41" s="19">
        <v>452880561.35930246</v>
      </c>
      <c r="E41" s="19">
        <v>11587314.613174824</v>
      </c>
      <c r="F41" s="19">
        <v>464467875.97247726</v>
      </c>
      <c r="G41">
        <v>1.1171673498340509</v>
      </c>
      <c r="I41" s="47" t="b">
        <f t="shared" si="0"/>
        <v>1</v>
      </c>
    </row>
    <row r="42" spans="1:9" ht="15.75" customHeight="1" x14ac:dyDescent="0.25">
      <c r="A42" s="17">
        <v>51</v>
      </c>
      <c r="B42" s="16">
        <v>210051</v>
      </c>
      <c r="C42" s="16" t="s">
        <v>163</v>
      </c>
      <c r="D42" s="19">
        <v>311236650.65650415</v>
      </c>
      <c r="E42" s="19">
        <v>17557802.993393585</v>
      </c>
      <c r="F42" s="19">
        <v>328794453.64989775</v>
      </c>
      <c r="G42">
        <v>1.1189983090382953</v>
      </c>
      <c r="I42" s="47" t="b">
        <f t="shared" si="0"/>
        <v>1</v>
      </c>
    </row>
    <row r="43" spans="1:9" ht="15.75" customHeight="1" x14ac:dyDescent="0.25">
      <c r="A43" s="17">
        <v>55</v>
      </c>
      <c r="B43" s="16">
        <v>210055</v>
      </c>
      <c r="C43" s="16" t="s">
        <v>164</v>
      </c>
      <c r="D43" s="19">
        <v>43394132.391841955</v>
      </c>
      <c r="E43" s="19">
        <v>1526447.8205674535</v>
      </c>
      <c r="F43" s="19">
        <v>44920580.212409407</v>
      </c>
      <c r="G43">
        <v>1.2326840578182912</v>
      </c>
      <c r="I43" s="47" t="b">
        <f t="shared" si="0"/>
        <v>1</v>
      </c>
    </row>
    <row r="44" spans="1:9" ht="15.75" customHeight="1" x14ac:dyDescent="0.25">
      <c r="A44" s="17">
        <v>2004</v>
      </c>
      <c r="B44" s="16">
        <v>210056</v>
      </c>
      <c r="C44" s="16" t="s">
        <v>165</v>
      </c>
      <c r="D44" s="19">
        <v>318721362.59933156</v>
      </c>
      <c r="E44" s="19">
        <v>8959071.6587092038</v>
      </c>
      <c r="F44" s="19">
        <v>327680434.25804079</v>
      </c>
      <c r="G44">
        <v>1.1306741913635847</v>
      </c>
      <c r="I44" s="47" t="b">
        <f t="shared" si="0"/>
        <v>1</v>
      </c>
    </row>
    <row r="45" spans="1:9" ht="15.75" customHeight="1" x14ac:dyDescent="0.25">
      <c r="A45" s="17">
        <v>5050</v>
      </c>
      <c r="B45" s="16">
        <v>210057</v>
      </c>
      <c r="C45" s="16" t="s">
        <v>123</v>
      </c>
      <c r="D45" s="19">
        <v>536303051.37910253</v>
      </c>
      <c r="E45" s="19">
        <v>28593143.284269705</v>
      </c>
      <c r="F45" s="19">
        <v>564896194.66337228</v>
      </c>
      <c r="G45">
        <v>1.1118697568950591</v>
      </c>
      <c r="I45" s="47" t="b">
        <f t="shared" si="0"/>
        <v>1</v>
      </c>
    </row>
    <row r="46" spans="1:9" ht="15.75" customHeight="1" x14ac:dyDescent="0.25">
      <c r="A46" s="17">
        <v>2001</v>
      </c>
      <c r="B46" s="16">
        <v>210058</v>
      </c>
      <c r="C46" s="16" t="s">
        <v>166</v>
      </c>
      <c r="D46" s="19">
        <v>150854074.76901859</v>
      </c>
      <c r="E46" s="19">
        <v>5679040.5980347069</v>
      </c>
      <c r="F46" s="19">
        <v>156533115.3670533</v>
      </c>
      <c r="G46">
        <v>1.1131375571407696</v>
      </c>
      <c r="I46" s="47" t="b">
        <f t="shared" si="0"/>
        <v>1</v>
      </c>
    </row>
    <row r="47" spans="1:9" ht="15.75" customHeight="1" x14ac:dyDescent="0.25">
      <c r="A47" s="17">
        <v>60</v>
      </c>
      <c r="B47" s="16">
        <v>210060</v>
      </c>
      <c r="C47" s="16" t="s">
        <v>167</v>
      </c>
      <c r="D47" s="19">
        <v>69106162.451913446</v>
      </c>
      <c r="E47" s="19">
        <v>2472277.6281959349</v>
      </c>
      <c r="F47" s="19">
        <v>71578440.080109388</v>
      </c>
      <c r="G47">
        <v>1.1225939436565051</v>
      </c>
      <c r="I47" s="47" t="b">
        <f t="shared" si="0"/>
        <v>1</v>
      </c>
    </row>
    <row r="48" spans="1:9" ht="15.75" customHeight="1" x14ac:dyDescent="0.25">
      <c r="A48" s="17">
        <v>61</v>
      </c>
      <c r="B48" s="16">
        <v>210061</v>
      </c>
      <c r="C48" s="16" t="s">
        <v>126</v>
      </c>
      <c r="D48" s="19">
        <v>136431776.89364532</v>
      </c>
      <c r="E48" s="19">
        <v>4438585.108976149</v>
      </c>
      <c r="F48" s="19">
        <v>140870362.00262147</v>
      </c>
      <c r="G48">
        <v>1.1236497259497726</v>
      </c>
      <c r="I48" s="47" t="b">
        <f t="shared" si="0"/>
        <v>1</v>
      </c>
    </row>
    <row r="49" spans="1:9" ht="15.75" customHeight="1" x14ac:dyDescent="0.25">
      <c r="A49" s="17">
        <v>62</v>
      </c>
      <c r="B49" s="16">
        <v>210062</v>
      </c>
      <c r="C49" s="16" t="s">
        <v>168</v>
      </c>
      <c r="D49" s="19">
        <v>342698160.72780275</v>
      </c>
      <c r="E49" s="19">
        <v>18565057.380392186</v>
      </c>
      <c r="F49" s="19">
        <v>361263218.10819495</v>
      </c>
      <c r="G49">
        <v>1.1171900302032232</v>
      </c>
      <c r="I49" s="47" t="b">
        <f t="shared" si="0"/>
        <v>1</v>
      </c>
    </row>
    <row r="50" spans="1:9" ht="15.75" customHeight="1" x14ac:dyDescent="0.25">
      <c r="A50" s="17">
        <v>63</v>
      </c>
      <c r="B50" s="16">
        <v>210063</v>
      </c>
      <c r="C50" s="16" t="s">
        <v>169</v>
      </c>
      <c r="D50" s="19">
        <v>488243766.82247883</v>
      </c>
      <c r="E50" s="19">
        <v>19198743.186412424</v>
      </c>
      <c r="F50" s="19">
        <v>507442510.00889122</v>
      </c>
      <c r="G50">
        <v>1.1169446961820713</v>
      </c>
      <c r="I50" s="47" t="b">
        <f t="shared" si="0"/>
        <v>1</v>
      </c>
    </row>
    <row r="51" spans="1:9" ht="15.75" customHeight="1" x14ac:dyDescent="0.25">
      <c r="A51" s="17">
        <v>87</v>
      </c>
      <c r="B51" s="16">
        <v>210087</v>
      </c>
      <c r="C51" s="16" t="s">
        <v>170</v>
      </c>
      <c r="D51" s="19">
        <v>19043483.2920813</v>
      </c>
      <c r="E51" s="19">
        <v>3721757.6632769229</v>
      </c>
      <c r="F51" s="19">
        <v>22765240.955358222</v>
      </c>
      <c r="G51">
        <v>1.3809623466457082</v>
      </c>
      <c r="I51" s="47" t="b">
        <f t="shared" si="0"/>
        <v>1</v>
      </c>
    </row>
    <row r="52" spans="1:9" ht="15.75" customHeight="1" x14ac:dyDescent="0.25">
      <c r="A52" s="17">
        <v>88</v>
      </c>
      <c r="B52" s="16">
        <v>210088</v>
      </c>
      <c r="C52" s="16" t="s">
        <v>171</v>
      </c>
      <c r="D52" s="19">
        <v>9328567.7736807708</v>
      </c>
      <c r="E52" s="19">
        <v>-64261.857231127666</v>
      </c>
      <c r="F52" s="19">
        <v>9264305.9164496437</v>
      </c>
      <c r="G52">
        <v>1.2012870353525753</v>
      </c>
      <c r="I52" s="47" t="b">
        <f t="shared" si="0"/>
        <v>1</v>
      </c>
    </row>
    <row r="53" spans="1:9" ht="15.75" customHeight="1" x14ac:dyDescent="0.25">
      <c r="A53" s="17">
        <v>333</v>
      </c>
      <c r="B53" s="16">
        <v>210333</v>
      </c>
      <c r="C53" s="16" t="s">
        <v>172</v>
      </c>
      <c r="D53" s="19">
        <v>24814064.305041835</v>
      </c>
      <c r="E53" s="19">
        <v>96236.381017035717</v>
      </c>
      <c r="F53" s="19">
        <v>24910300.686058871</v>
      </c>
      <c r="G53">
        <v>1.261482582785902</v>
      </c>
      <c r="I53" s="47" t="b">
        <f t="shared" si="0"/>
        <v>1</v>
      </c>
    </row>
    <row r="54" spans="1:9" ht="15.75" customHeight="1" x14ac:dyDescent="0.25">
      <c r="A54" s="18">
        <v>5033</v>
      </c>
      <c r="B54" s="16">
        <v>210064</v>
      </c>
      <c r="C54" s="16" t="s">
        <v>59</v>
      </c>
      <c r="D54" s="19">
        <v>73711476.718216836</v>
      </c>
      <c r="E54" s="19">
        <v>2616257.0238077133</v>
      </c>
      <c r="F54" s="19">
        <v>76327733.742024556</v>
      </c>
      <c r="G54">
        <v>1.1360078839078842</v>
      </c>
      <c r="I54" s="47" t="b">
        <f t="shared" si="0"/>
        <v>1</v>
      </c>
    </row>
    <row r="55" spans="1:9" ht="15.75" customHeight="1" x14ac:dyDescent="0.25">
      <c r="A55" s="17">
        <v>8992</v>
      </c>
      <c r="B55" s="16">
        <v>218992</v>
      </c>
      <c r="C55" s="16" t="s">
        <v>173</v>
      </c>
      <c r="D55" s="19">
        <v>277745982.03861064</v>
      </c>
      <c r="E55" s="19">
        <v>8051376.7379963677</v>
      </c>
      <c r="F55" s="19">
        <v>285797358.77660698</v>
      </c>
      <c r="G55">
        <v>1.1193480985155428</v>
      </c>
      <c r="I55" s="47" t="b">
        <f t="shared" si="0"/>
        <v>1</v>
      </c>
    </row>
    <row r="56" spans="1:9" x14ac:dyDescent="0.25">
      <c r="A56" s="39">
        <v>65</v>
      </c>
      <c r="B56">
        <v>210065</v>
      </c>
      <c r="C56" t="s">
        <v>174</v>
      </c>
      <c r="D56" s="19">
        <v>175457894.33399042</v>
      </c>
      <c r="E56" s="19">
        <v>5024243.5393009819</v>
      </c>
      <c r="F56" s="19">
        <v>180482137.8732914</v>
      </c>
      <c r="G56">
        <v>1.1115533795130321</v>
      </c>
      <c r="I56" s="47" t="b">
        <f t="shared" si="0"/>
        <v>1</v>
      </c>
    </row>
    <row r="57" spans="1:9" ht="15.75" customHeight="1" x14ac:dyDescent="0.25">
      <c r="D57" s="19"/>
      <c r="E57" s="19"/>
      <c r="F57" s="19"/>
    </row>
    <row r="58" spans="1:9" x14ac:dyDescent="0.25">
      <c r="C58" t="s">
        <v>175</v>
      </c>
      <c r="D58" s="19">
        <f>SUM(D5:D56)</f>
        <v>21522381742.993748</v>
      </c>
      <c r="E58" s="19">
        <f t="shared" ref="E58:F58" si="1">SUM(E5:E56)</f>
        <v>916266231.0316999</v>
      </c>
      <c r="F58" s="19">
        <f t="shared" si="1"/>
        <v>22438647974.02544</v>
      </c>
    </row>
    <row r="59" spans="1:9" ht="15.75" customHeight="1" x14ac:dyDescent="0.25"/>
    <row r="60" spans="1:9" ht="15.75" customHeight="1" x14ac:dyDescent="0.25"/>
    <row r="61" spans="1:9" ht="15.75" hidden="1" customHeight="1" x14ac:dyDescent="0.25">
      <c r="D61" s="47" t="s">
        <v>190</v>
      </c>
      <c r="E61" s="47" t="s">
        <v>191</v>
      </c>
      <c r="F61" s="47" t="s">
        <v>194</v>
      </c>
    </row>
    <row r="62" spans="1:9" ht="15.75" hidden="1" customHeight="1" x14ac:dyDescent="0.25">
      <c r="D62" s="47" t="s">
        <v>193</v>
      </c>
      <c r="E62" s="47" t="s">
        <v>192</v>
      </c>
      <c r="F62" s="47" t="s">
        <v>195</v>
      </c>
    </row>
    <row r="63" spans="1:9" ht="15.75" customHeight="1" x14ac:dyDescent="0.25"/>
    <row r="64" spans="1:9" ht="15.75" customHeight="1" x14ac:dyDescent="0.25">
      <c r="D64" s="38">
        <f>D58-'[1]Summary All'!$BE$115</f>
        <v>-32508693.996589661</v>
      </c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91CA1-A285-42D2-A329-2F2024931B5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6DF827A-1C7B-465E-B9EB-0113A1A6B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1A02B5-11BF-4373-8F72-5DB70EECFF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FY2026 Prj Inflation</vt:lpstr>
      <vt:lpstr>CDS-A Study 2024 over 2023</vt:lpstr>
      <vt:lpstr>Summary All</vt:lpstr>
      <vt:lpstr>Summary All - updated May25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Khoa Do</dc:creator>
  <cp:lastModifiedBy>Karen Teague</cp:lastModifiedBy>
  <dcterms:created xsi:type="dcterms:W3CDTF">2020-06-17T15:56:00Z</dcterms:created>
  <dcterms:modified xsi:type="dcterms:W3CDTF">2025-07-31T15:56:17Z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