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ibarra\Desktop\HSCRC\"/>
    </mc:Choice>
  </mc:AlternateContent>
  <bookViews>
    <workbookView xWindow="0" yWindow="0" windowWidth="28800" windowHeight="13635" firstSheet="1" activeTab="1"/>
  </bookViews>
  <sheets>
    <sheet name="Production Schedule FY 2017" sheetId="1" state="hidden" r:id="rId1"/>
    <sheet name="Reporting Due Dates FY2021" sheetId="2" r:id="rId2"/>
    <sheet name="FINAL Production Schedule" sheetId="4" state="hidden" r:id="rId3"/>
  </sheets>
  <definedNames>
    <definedName name="_xlnm.Print_Area" localSheetId="2">'FINAL Production Schedule'!$B$1:$W$27</definedName>
    <definedName name="_xlnm.Print_Area" localSheetId="0">'Production Schedule FY 2017'!$A$1:$P$34</definedName>
    <definedName name="Z_31798695_DC73_4645_BD50_645C812AFF64_.wvu.Cols" localSheetId="2" hidden="1">'FINAL Production Schedule'!$F:$F,'FINAL Production Schedule'!$H:$H,'FINAL Production Schedule'!$K:$K,'FINAL Production Schedule'!$R:$R,'FINAL Production Schedule'!$T:$W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 FY2021'!$E:$E,'Reporting Due Dates FY2021'!$G:$G</definedName>
    <definedName name="Z_31798695_DC73_4645_BD50_645C812AFF64_.wvu.PrintArea" localSheetId="2" hidden="1">'FINAL Production Schedule'!$B$1:$W$27</definedName>
    <definedName name="Z_31798695_DC73_4645_BD50_645C812AFF64_.wvu.PrintArea" localSheetId="0" hidden="1">'Production Schedule FY 2017'!$A$1:$P$34</definedName>
    <definedName name="Z_31798695_DC73_4645_BD50_645C812AFF64_.wvu.Rows" localSheetId="2" hidden="1">'FINAL Production Schedule'!$40:$40</definedName>
    <definedName name="Z_97A3B940_144B_4D32_991F_0C6EB706E5E2_.wvu.Cols" localSheetId="2" hidden="1">'FINAL Production Schedule'!$F:$F,'FINAL Production Schedule'!$H:$H,'FINAL Production Schedule'!$K:$K,'FINAL Production Schedule'!$R:$R,'FINAL Production Schedule'!$T:$W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 FY2021'!$E:$E,'Reporting Due Dates FY2021'!$G:$G</definedName>
    <definedName name="Z_97A3B940_144B_4D32_991F_0C6EB706E5E2_.wvu.PrintArea" localSheetId="2" hidden="1">'FINAL Production Schedule'!$B$1:$W$27</definedName>
    <definedName name="Z_97A3B940_144B_4D32_991F_0C6EB706E5E2_.wvu.PrintArea" localSheetId="0" hidden="1">'Production Schedule FY 2017'!$A$1:$P$34</definedName>
    <definedName name="Z_97A3B940_144B_4D32_991F_0C6EB706E5E2_.wvu.Rows" localSheetId="2" hidden="1">'FINAL Production Schedule'!$40:$40</definedName>
  </definedNames>
  <calcPr calcId="191029"/>
  <customWorkbookViews>
    <customWorkbookView name="Arun Shankar - Personal View" guid="{97A3B940-144B-4D32-991F-0C6EB706E5E2}" mergeInterval="0" personalView="1" maximized="1" xWindow="-8" yWindow="-8" windowWidth="1936" windowHeight="1056" activeSheetId="2"/>
    <customWorkbookView name="Maria Manavalan - Personal View" guid="{31798695-DC73-4645-BD50-645C812AFF64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2" l="1"/>
  <c r="H19" i="2"/>
  <c r="H14" i="2"/>
  <c r="B27" i="2" l="1"/>
  <c r="D24" i="2" l="1"/>
  <c r="B7" i="2" l="1"/>
  <c r="G19" i="4" l="1"/>
  <c r="L19" i="4" s="1"/>
  <c r="B37" i="4" l="1"/>
  <c r="T27" i="4" l="1"/>
  <c r="U27" i="4" s="1"/>
  <c r="T22" i="4"/>
  <c r="U22" i="4" s="1"/>
  <c r="T17" i="4"/>
  <c r="U17" i="4" s="1"/>
  <c r="T12" i="4"/>
  <c r="U12" i="4" s="1"/>
  <c r="V12" i="4" s="1"/>
  <c r="V22" i="4" l="1"/>
  <c r="V27" i="4"/>
  <c r="W27" i="4" s="1"/>
  <c r="V17" i="4"/>
  <c r="W17" i="4" s="1"/>
  <c r="T7" i="4"/>
  <c r="U7" i="4" s="1"/>
  <c r="V7" i="4" s="1"/>
  <c r="W7" i="4" s="1"/>
  <c r="U9" i="4"/>
  <c r="F7" i="2" l="1"/>
  <c r="E7" i="2" s="1"/>
  <c r="F6" i="2"/>
  <c r="E6" i="2" s="1"/>
  <c r="D6" i="2"/>
  <c r="C6" i="2" s="1"/>
  <c r="D7" i="2" l="1"/>
  <c r="C7" i="2" s="1"/>
  <c r="B8" i="2"/>
  <c r="C6" i="4" l="1"/>
  <c r="T6" i="4" s="1"/>
  <c r="U6" i="4" s="1"/>
  <c r="V6" i="4" s="1"/>
  <c r="W6" i="4" s="1"/>
  <c r="G8" i="2"/>
  <c r="D8" i="2"/>
  <c r="F8" i="2"/>
  <c r="E8" i="2" s="1"/>
  <c r="B11" i="2"/>
  <c r="D9" i="2"/>
  <c r="C9" i="4" l="1"/>
  <c r="C9" i="2"/>
  <c r="E7" i="4"/>
  <c r="C8" i="2"/>
  <c r="E6" i="4"/>
  <c r="B12" i="2"/>
  <c r="F11" i="2"/>
  <c r="E11" i="2" s="1"/>
  <c r="D11" i="2"/>
  <c r="J6" i="4" l="1"/>
  <c r="I6" i="4"/>
  <c r="H6" i="4" s="1"/>
  <c r="M6" i="4"/>
  <c r="J7" i="4"/>
  <c r="I7" i="4"/>
  <c r="H7" i="4" s="1"/>
  <c r="M7" i="4"/>
  <c r="G7" i="4"/>
  <c r="C10" i="4"/>
  <c r="T10" i="4" s="1"/>
  <c r="U10" i="4" s="1"/>
  <c r="V10" i="4" s="1"/>
  <c r="W10" i="4" s="1"/>
  <c r="F12" i="2"/>
  <c r="E12" i="2" s="1"/>
  <c r="C11" i="2"/>
  <c r="E9" i="4"/>
  <c r="I9" i="4" s="1"/>
  <c r="G6" i="4"/>
  <c r="L6" i="4" s="1"/>
  <c r="K6" i="4" s="1"/>
  <c r="D12" i="2"/>
  <c r="B13" i="2"/>
  <c r="D14" i="2" l="1"/>
  <c r="C11" i="4"/>
  <c r="T11" i="4" s="1"/>
  <c r="U11" i="4" s="1"/>
  <c r="V11" i="4" s="1"/>
  <c r="W11" i="4" s="1"/>
  <c r="D13" i="2"/>
  <c r="C13" i="2" s="1"/>
  <c r="W9" i="4"/>
  <c r="H9" i="4"/>
  <c r="F6" i="4"/>
  <c r="G9" i="4"/>
  <c r="L9" i="4" s="1"/>
  <c r="F7" i="4"/>
  <c r="N7" i="4"/>
  <c r="C12" i="2"/>
  <c r="E10" i="4"/>
  <c r="I10" i="4" s="1"/>
  <c r="G13" i="2"/>
  <c r="F13" i="2"/>
  <c r="E13" i="2" s="1"/>
  <c r="B16" i="2"/>
  <c r="C14" i="4" l="1"/>
  <c r="T14" i="4" s="1"/>
  <c r="U14" i="4" s="1"/>
  <c r="V14" i="4" s="1"/>
  <c r="E11" i="4"/>
  <c r="M11" i="4" s="1"/>
  <c r="N6" i="4"/>
  <c r="O6" i="4" s="1"/>
  <c r="P6" i="4" s="1"/>
  <c r="Q6" i="4" s="1"/>
  <c r="R6" i="4" s="1"/>
  <c r="O7" i="4"/>
  <c r="P7" i="4" s="1"/>
  <c r="Q7" i="4" s="1"/>
  <c r="R7" i="4" s="1"/>
  <c r="H10" i="4"/>
  <c r="K7" i="4"/>
  <c r="G10" i="4"/>
  <c r="L10" i="4" s="1"/>
  <c r="C14" i="2"/>
  <c r="E12" i="4"/>
  <c r="N9" i="4"/>
  <c r="F9" i="4"/>
  <c r="B17" i="2"/>
  <c r="E16" i="2"/>
  <c r="D16" i="2"/>
  <c r="I11" i="4" l="1"/>
  <c r="H11" i="4" s="1"/>
  <c r="G11" i="4"/>
  <c r="L11" i="4" s="1"/>
  <c r="N11" i="4" s="1"/>
  <c r="O11" i="4" s="1"/>
  <c r="P11" i="4" s="1"/>
  <c r="Q11" i="4" s="1"/>
  <c r="J11" i="4"/>
  <c r="J12" i="4"/>
  <c r="I12" i="4"/>
  <c r="H12" i="4" s="1"/>
  <c r="M12" i="4"/>
  <c r="C15" i="4"/>
  <c r="T15" i="4" s="1"/>
  <c r="U15" i="4" s="1"/>
  <c r="V15" i="4" s="1"/>
  <c r="W15" i="4" s="1"/>
  <c r="F17" i="2"/>
  <c r="E17" i="2" s="1"/>
  <c r="F11" i="4"/>
  <c r="K9" i="4"/>
  <c r="G12" i="4"/>
  <c r="K12" i="4" s="1"/>
  <c r="C16" i="2"/>
  <c r="E14" i="4"/>
  <c r="G14" i="4" s="1"/>
  <c r="F10" i="4"/>
  <c r="N10" i="4"/>
  <c r="D17" i="2"/>
  <c r="B18" i="2"/>
  <c r="K11" i="4" l="1"/>
  <c r="C16" i="4"/>
  <c r="T16" i="4" s="1"/>
  <c r="U16" i="4" s="1"/>
  <c r="V16" i="4" s="1"/>
  <c r="W16" i="4" s="1"/>
  <c r="R11" i="4"/>
  <c r="I14" i="4"/>
  <c r="H14" i="4" s="1"/>
  <c r="K10" i="4"/>
  <c r="L14" i="4"/>
  <c r="C17" i="2"/>
  <c r="E15" i="4"/>
  <c r="N12" i="4"/>
  <c r="F12" i="4"/>
  <c r="F18" i="2"/>
  <c r="E18" i="2" s="1"/>
  <c r="D19" i="2"/>
  <c r="D18" i="2"/>
  <c r="B21" i="2"/>
  <c r="G18" i="2"/>
  <c r="D21" i="2" l="1"/>
  <c r="C19" i="2"/>
  <c r="O12" i="4"/>
  <c r="P12" i="4" s="1"/>
  <c r="Q12" i="4" s="1"/>
  <c r="R12" i="4" s="1"/>
  <c r="C19" i="4"/>
  <c r="T19" i="4" s="1"/>
  <c r="U19" i="4" s="1"/>
  <c r="V19" i="4" s="1"/>
  <c r="W19" i="4" s="1"/>
  <c r="W14" i="4"/>
  <c r="I15" i="4"/>
  <c r="H15" i="4" s="1"/>
  <c r="G15" i="4"/>
  <c r="L15" i="4" s="1"/>
  <c r="N14" i="4"/>
  <c r="F14" i="4"/>
  <c r="C18" i="2"/>
  <c r="E16" i="4"/>
  <c r="E17" i="4"/>
  <c r="B22" i="2"/>
  <c r="E21" i="2"/>
  <c r="J17" i="4" l="1"/>
  <c r="M17" i="4"/>
  <c r="M16" i="4"/>
  <c r="J16" i="4"/>
  <c r="I17" i="4"/>
  <c r="H17" i="4" s="1"/>
  <c r="C20" i="4"/>
  <c r="T20" i="4" s="1"/>
  <c r="U20" i="4" s="1"/>
  <c r="F22" i="2"/>
  <c r="E22" i="2" s="1"/>
  <c r="I16" i="4"/>
  <c r="H16" i="4" s="1"/>
  <c r="K14" i="4"/>
  <c r="C21" i="2"/>
  <c r="G17" i="4"/>
  <c r="F15" i="4"/>
  <c r="N15" i="4"/>
  <c r="G16" i="4"/>
  <c r="L16" i="4" s="1"/>
  <c r="D22" i="2"/>
  <c r="B23" i="2"/>
  <c r="C21" i="4" l="1"/>
  <c r="T21" i="4" s="1"/>
  <c r="U21" i="4" s="1"/>
  <c r="D23" i="2"/>
  <c r="W12" i="4"/>
  <c r="F17" i="4"/>
  <c r="N17" i="4"/>
  <c r="H19" i="4"/>
  <c r="F16" i="4"/>
  <c r="N16" i="4"/>
  <c r="C22" i="2"/>
  <c r="E20" i="4"/>
  <c r="I20" i="4" s="1"/>
  <c r="K15" i="4"/>
  <c r="G23" i="2"/>
  <c r="B26" i="2"/>
  <c r="F23" i="2"/>
  <c r="E23" i="2" s="1"/>
  <c r="E21" i="4" l="1"/>
  <c r="M21" i="4" s="1"/>
  <c r="C23" i="2"/>
  <c r="O17" i="4"/>
  <c r="P17" i="4" s="1"/>
  <c r="Q17" i="4" s="1"/>
  <c r="R17" i="4" s="1"/>
  <c r="O16" i="4"/>
  <c r="P16" i="4" s="1"/>
  <c r="Q16" i="4" s="1"/>
  <c r="R16" i="4" s="1"/>
  <c r="N19" i="4"/>
  <c r="C24" i="4"/>
  <c r="T24" i="4" s="1"/>
  <c r="U24" i="4" s="1"/>
  <c r="V21" i="4"/>
  <c r="W21" i="4" s="1"/>
  <c r="G20" i="4"/>
  <c r="L20" i="4" s="1"/>
  <c r="H20" i="4"/>
  <c r="K16" i="4"/>
  <c r="F19" i="4"/>
  <c r="C24" i="2"/>
  <c r="E22" i="4"/>
  <c r="K17" i="4"/>
  <c r="E26" i="2"/>
  <c r="D26" i="2"/>
  <c r="G21" i="4" l="1"/>
  <c r="L21" i="4" s="1"/>
  <c r="I21" i="4"/>
  <c r="H21" i="4" s="1"/>
  <c r="J21" i="4"/>
  <c r="I22" i="4"/>
  <c r="H22" i="4" s="1"/>
  <c r="J22" i="4"/>
  <c r="M22" i="4"/>
  <c r="C25" i="4"/>
  <c r="T25" i="4" s="1"/>
  <c r="U25" i="4" s="1"/>
  <c r="F27" i="2"/>
  <c r="E27" i="2" s="1"/>
  <c r="N20" i="4"/>
  <c r="V20" i="4"/>
  <c r="W20" i="4" s="1"/>
  <c r="C26" i="2"/>
  <c r="E24" i="4"/>
  <c r="I24" i="4" s="1"/>
  <c r="G22" i="4"/>
  <c r="K19" i="4"/>
  <c r="F20" i="4"/>
  <c r="B28" i="2"/>
  <c r="F21" i="4" l="1"/>
  <c r="C26" i="4"/>
  <c r="T26" i="4" s="1"/>
  <c r="U26" i="4" s="1"/>
  <c r="V26" i="4" s="1"/>
  <c r="W26" i="4" s="1"/>
  <c r="D28" i="2"/>
  <c r="N21" i="4"/>
  <c r="K21" i="4"/>
  <c r="V24" i="4"/>
  <c r="W24" i="4" s="1"/>
  <c r="H24" i="4"/>
  <c r="F22" i="4"/>
  <c r="N22" i="4"/>
  <c r="C27" i="2"/>
  <c r="E25" i="4"/>
  <c r="I25" i="4" s="1"/>
  <c r="G24" i="4"/>
  <c r="L24" i="4" s="1"/>
  <c r="K20" i="4"/>
  <c r="G28" i="2"/>
  <c r="F28" i="2"/>
  <c r="E28" i="2" s="1"/>
  <c r="D29" i="2"/>
  <c r="E26" i="4" l="1"/>
  <c r="M26" i="4" s="1"/>
  <c r="C28" i="2"/>
  <c r="O21" i="4"/>
  <c r="P21" i="4" s="1"/>
  <c r="Q21" i="4" s="1"/>
  <c r="R21" i="4" s="1"/>
  <c r="O22" i="4"/>
  <c r="P22" i="4" s="1"/>
  <c r="Q22" i="4" s="1"/>
  <c r="R22" i="4" s="1"/>
  <c r="V25" i="4"/>
  <c r="W25" i="4" s="1"/>
  <c r="W22" i="4" s="1"/>
  <c r="F24" i="4"/>
  <c r="N24" i="4"/>
  <c r="H25" i="4"/>
  <c r="G25" i="4"/>
  <c r="L25" i="4" s="1"/>
  <c r="C29" i="2"/>
  <c r="E27" i="4"/>
  <c r="K22" i="4"/>
  <c r="G26" i="4" l="1"/>
  <c r="L26" i="4" s="1"/>
  <c r="J26" i="4"/>
  <c r="I26" i="4"/>
  <c r="H26" i="4" s="1"/>
  <c r="M27" i="4"/>
  <c r="J27" i="4"/>
  <c r="I27" i="4"/>
  <c r="H27" i="4" s="1"/>
  <c r="G27" i="4"/>
  <c r="N25" i="4"/>
  <c r="F25" i="4"/>
  <c r="K24" i="4"/>
  <c r="F26" i="4" l="1"/>
  <c r="N26" i="4"/>
  <c r="K26" i="4"/>
  <c r="F27" i="4"/>
  <c r="N27" i="4"/>
  <c r="K25" i="4"/>
  <c r="O27" i="4" l="1"/>
  <c r="P27" i="4" s="1"/>
  <c r="Q27" i="4" s="1"/>
  <c r="R27" i="4" s="1"/>
  <c r="O26" i="4"/>
  <c r="P26" i="4" s="1"/>
  <c r="Q26" i="4" s="1"/>
  <c r="R26" i="4" s="1"/>
  <c r="K27" i="4"/>
  <c r="D14" i="1" l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comments1.xml><?xml version="1.0" encoding="utf-8"?>
<comments xmlns="http://schemas.openxmlformats.org/spreadsheetml/2006/main">
  <authors>
    <author>Claudine Williams</author>
  </authors>
  <commentList>
    <comment ref="T3" authorId="0" shapeId="0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What are the Demographic reports?</t>
        </r>
      </text>
    </comment>
  </commentList>
</comments>
</file>

<file path=xl/sharedStrings.xml><?xml version="1.0" encoding="utf-8"?>
<sst xmlns="http://schemas.openxmlformats.org/spreadsheetml/2006/main" count="363" uniqueCount="197">
  <si>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</si>
  <si>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</si>
  <si>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</si>
  <si>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</si>
  <si>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</si>
  <si>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</si>
  <si>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</si>
  <si>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</si>
  <si>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</si>
  <si>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</si>
  <si>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</si>
  <si>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</si>
  <si>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</si>
  <si>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</si>
  <si>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</si>
  <si>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</si>
  <si>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</si>
  <si>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</si>
  <si>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</si>
  <si>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</si>
  <si>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</si>
  <si>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</si>
  <si>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</si>
  <si>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</si>
  <si>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</si>
  <si>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</si>
  <si>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</si>
  <si>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</si>
  <si>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</si>
  <si>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</si>
  <si>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</si>
  <si>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</si>
  <si>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</si>
  <si>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</si>
  <si>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</si>
  <si>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</si>
  <si>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</si>
  <si>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</si>
  <si>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</si>
  <si>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</si>
  <si>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</si>
  <si>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</si>
  <si>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</si>
  <si>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</si>
  <si>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</si>
  <si>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</si>
  <si>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</si>
  <si>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</si>
  <si>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</si>
  <si>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</si>
  <si>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</si>
  <si>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</si>
  <si>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</si>
  <si>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</si>
  <si>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</si>
  <si>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</si>
  <si>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</si>
  <si>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</si>
  <si>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</si>
  <si>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</si>
  <si>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</si>
  <si>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</si>
  <si>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</si>
  <si>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</si>
  <si>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</si>
  <si>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</si>
  <si>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</si>
  <si>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</si>
  <si>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</si>
  <si>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</si>
  <si>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</si>
  <si>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</si>
  <si>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</si>
  <si>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</si>
  <si>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</si>
  <si>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</si>
  <si>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</si>
  <si>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</si>
  <si>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</si>
  <si>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</si>
  <si>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</si>
  <si>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</si>
  <si>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</si>
  <si>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</si>
  <si>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FY 2019 Q4</t>
  </si>
  <si>
    <t>N/A</t>
  </si>
  <si>
    <t>FY 2020 Q1</t>
  </si>
  <si>
    <t>FY 2020 Q2</t>
  </si>
  <si>
    <t>FY 2020 Q3</t>
  </si>
  <si>
    <t>hMetrix</t>
  </si>
  <si>
    <t>FY 2020 Q4</t>
  </si>
  <si>
    <t>April, May &amp; June 2019 (Prelim)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</si>
  <si>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</si>
  <si>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</si>
  <si>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</si>
  <si>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</si>
  <si>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</si>
  <si>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Federal &amp; State Holidays (April 18 - Sept 19)</t>
  </si>
  <si>
    <t>Memorial Day</t>
  </si>
  <si>
    <t>Independence Day</t>
  </si>
  <si>
    <t>Labor Day</t>
  </si>
  <si>
    <t>Columbus Day</t>
  </si>
  <si>
    <t>Election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</si>
  <si>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</si>
  <si>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</si>
  <si>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</si>
  <si>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</si>
  <si>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</si>
  <si>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</si>
  <si>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</si>
  <si>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PPCs</t>
  </si>
  <si>
    <t>Reporting to Hospitals</t>
  </si>
  <si>
    <t>St. Paul/hMetrix</t>
  </si>
  <si>
    <t>CRISP, HSCRC</t>
  </si>
  <si>
    <t xml:space="preserve"> FY 2020 Production Schedule</t>
  </si>
  <si>
    <t xml:space="preserve"> Days From Hos Data</t>
  </si>
  <si>
    <t>Days From Hos Data</t>
  </si>
  <si>
    <t xml:space="preserve"> Days From SPG Reciept</t>
  </si>
  <si>
    <t>Patient Level Data  Avail, Send portal reports to CRISP</t>
  </si>
  <si>
    <t xml:space="preserve">Reports due to CRISP from HSCRC for publication </t>
  </si>
  <si>
    <t>First Friday of the month following due date to St Paul (column D)</t>
  </si>
  <si>
    <t>July 2019</t>
  </si>
  <si>
    <t>July &amp; August 2019</t>
  </si>
  <si>
    <t>July, Aug, &amp; Sept. 2019 (Prelim)</t>
  </si>
  <si>
    <t>1nd Qtr Final</t>
  </si>
  <si>
    <t>October 2019</t>
  </si>
  <si>
    <t>Oct &amp; Nov 2019</t>
  </si>
  <si>
    <t>Oct, Nov &amp; Dec 2019 (Prelim)</t>
  </si>
  <si>
    <t>January 2020</t>
  </si>
  <si>
    <t>Jan &amp; Feb 2020</t>
  </si>
  <si>
    <t>Jan, Feb, &amp; March 2020 (Prelim)</t>
  </si>
  <si>
    <t>April 2020</t>
  </si>
  <si>
    <t>April &amp; May 2020</t>
  </si>
  <si>
    <t>April, May &amp; June 2020 (Prelim)</t>
  </si>
  <si>
    <t>Processing Step Turn Around</t>
  </si>
  <si>
    <t>Patient Level Data  Avail in House</t>
  </si>
  <si>
    <t>From MS Etc. Repts Avail</t>
  </si>
  <si>
    <t>FY19 4th Qtr Final</t>
  </si>
  <si>
    <t>OP Type II ECMAD Assignment</t>
  </si>
  <si>
    <t>MS &amp; Trends Repts Avail in House</t>
  </si>
  <si>
    <t>MHAC, RRIP, QBR (quarterly), PAU,  Demographics Adjustment Rpts</t>
  </si>
  <si>
    <t>CRISP Publication dates</t>
  </si>
  <si>
    <t>IP + Obv, OP, OP Type II</t>
  </si>
  <si>
    <t>CRISP/hMetrix</t>
  </si>
  <si>
    <t>IP,OP,PSYCH</t>
  </si>
  <si>
    <t>EIDs</t>
  </si>
  <si>
    <t>Processing Step</t>
  </si>
  <si>
    <t>Market Shift</t>
  </si>
  <si>
    <t>Responsible Party</t>
  </si>
  <si>
    <t>Datasets</t>
  </si>
  <si>
    <t>MS/PAU &amp; Trends Reports Ready for Use</t>
  </si>
  <si>
    <t xml:space="preserve">MS/Trends  Source Data Avail for Reports </t>
  </si>
  <si>
    <t>IP+OBV Source Data Avail</t>
  </si>
  <si>
    <t xml:space="preserve">OP Type II Raw Data Avail to HSCRC </t>
  </si>
  <si>
    <t>CM &amp; EIDs Raw Data Avail to HSCRC</t>
  </si>
  <si>
    <t>PPC Data Grouped</t>
  </si>
  <si>
    <t>EIDs, ADI, Medicaid ID and 42 CFR flags added to CM</t>
  </si>
  <si>
    <t>Business days from CM Processing plus 1 day for internal review</t>
  </si>
  <si>
    <t>From receipt of raw data IP + OP Type I data @ HSCRC</t>
  </si>
  <si>
    <t>From receipt of raw OP Type I data @ HSCRC</t>
  </si>
  <si>
    <t>Close Type (M/QP/QF)</t>
  </si>
  <si>
    <t>M = Monthly; QP= Quarter Preliminary; QF= Quarter Final</t>
  </si>
  <si>
    <t>hMetrix Procesing</t>
  </si>
  <si>
    <t>SPG Procesing</t>
  </si>
  <si>
    <t>Days from End Mon/Qtr</t>
  </si>
  <si>
    <t>Hospital Submission Due Date</t>
  </si>
  <si>
    <t>Business days From Hospital Data Submission Due Date</t>
  </si>
  <si>
    <t>From OP Type II Data w/ECMADS source data available internally</t>
  </si>
  <si>
    <t xml:space="preserve">OP Type II Data w/ECMADS Source Data Avail </t>
  </si>
  <si>
    <t>PPC Raw Data Avail to HSCRC</t>
  </si>
  <si>
    <t xml:space="preserve">Grouped CM Data Avail </t>
  </si>
  <si>
    <t>IP PPC (No EIDs)</t>
  </si>
  <si>
    <t xml:space="preserve">OP Type II </t>
  </si>
  <si>
    <t>OP Type II (No EIDs)</t>
  </si>
  <si>
    <t xml:space="preserve">IP, OP Type I, PSYCH </t>
  </si>
  <si>
    <t>Monthly CM Processed and Grouped</t>
  </si>
  <si>
    <t>Qtr Final CM Data Processed and Grouped</t>
  </si>
  <si>
    <t>Table 1: FY 2021 Case Mix and Financial Reporting Due Dates</t>
  </si>
  <si>
    <t xml:space="preserve"> FY 2021 Production Schedule</t>
  </si>
  <si>
    <t>Due Date hMetrix</t>
  </si>
  <si>
    <t>July 2020</t>
  </si>
  <si>
    <t>July &amp; August 2020</t>
  </si>
  <si>
    <t>Jul, Aug &amp; Sept 2020 (Prelim)</t>
  </si>
  <si>
    <t>October 2020</t>
  </si>
  <si>
    <t>Oct &amp; Nov 2020</t>
  </si>
  <si>
    <t>Oct, Nov &amp; Dec 2020 (Prelim)</t>
  </si>
  <si>
    <t>January 2021</t>
  </si>
  <si>
    <t>Jan &amp; Feb 2021</t>
  </si>
  <si>
    <t>Jan, Feb &amp; Mar 2021 (Prelim)</t>
  </si>
  <si>
    <t>April 2021</t>
  </si>
  <si>
    <t>April &amp; May 2021</t>
  </si>
  <si>
    <t>April, May &amp; June 2021 (Prelim)</t>
  </si>
  <si>
    <t>Federal &amp; State Holidays (April 20 - Sept 21)</t>
  </si>
  <si>
    <t>FY 2021 Q2</t>
  </si>
  <si>
    <t>FY 2021 Q3</t>
  </si>
  <si>
    <t>FY 2021 Q4</t>
  </si>
  <si>
    <t>FY 2021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</si>
</sst>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 tint="0.4999847407452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4" borderId="4" xfId="0" applyFont="1" applyFill="1" applyBorder="1"/>
    <xf numFmtId="0" fontId="11" fillId="14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3" borderId="4" xfId="0" applyFont="1" applyFill="1" applyBorder="1"/>
    <xf numFmtId="0" fontId="0" fillId="0" borderId="0" xfId="0"/>
    <xf numFmtId="0" fontId="3" fillId="7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" fontId="3" fillId="8" borderId="3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wrapText="1"/>
    </xf>
    <xf numFmtId="164" fontId="3" fillId="11" borderId="1" xfId="0" applyNumberFormat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14" fontId="0" fillId="0" borderId="0" xfId="0" applyNumberFormat="1"/>
    <xf numFmtId="14" fontId="14" fillId="0" borderId="0" xfId="0" applyNumberFormat="1" applyFont="1"/>
    <xf numFmtId="0" fontId="15" fillId="13" borderId="1" xfId="0" applyFont="1" applyFill="1" applyBorder="1" applyAlignment="1">
      <alignment horizontal="center" vertical="center"/>
    </xf>
    <xf numFmtId="0" fontId="0" fillId="12" borderId="0" xfId="0" applyFill="1"/>
    <xf numFmtId="14" fontId="11" fillId="13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9" fillId="0" borderId="1" xfId="0" applyFont="1" applyBorder="1"/>
    <xf numFmtId="14" fontId="11" fillId="7" borderId="1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 vertical="center"/>
    </xf>
    <xf numFmtId="0" fontId="3" fillId="8" borderId="3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/>
    <xf numFmtId="14" fontId="17" fillId="0" borderId="1" xfId="0" applyNumberFormat="1" applyFont="1" applyBorder="1"/>
    <xf numFmtId="0" fontId="17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center" vertical="center"/>
    </xf>
    <xf numFmtId="14" fontId="11" fillId="7" borderId="3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/>
    </xf>
    <xf numFmtId="14" fontId="0" fillId="11" borderId="1" xfId="0" applyNumberFormat="1" applyFont="1" applyFill="1" applyBorder="1" applyAlignment="1">
      <alignment horizontal="center"/>
    </xf>
    <xf numFmtId="14" fontId="19" fillId="0" borderId="3" xfId="0" applyNumberFormat="1" applyFont="1" applyBorder="1" applyAlignment="1">
      <alignment horizontal="center" vertical="center"/>
    </xf>
    <xf numFmtId="0" fontId="10" fillId="14" borderId="2" xfId="0" applyFont="1" applyFill="1" applyBorder="1" applyAlignment="1">
      <alignment horizontal="center"/>
    </xf>
    <xf numFmtId="14" fontId="11" fillId="16" borderId="1" xfId="0" applyNumberFormat="1" applyFont="1" applyFill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/>
    </xf>
    <xf numFmtId="14" fontId="18" fillId="7" borderId="3" xfId="0" applyNumberFormat="1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4" fontId="18" fillId="8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0" fillId="14" borderId="4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0" fillId="14" borderId="1" xfId="0" applyFont="1" applyFill="1" applyBorder="1"/>
    <xf numFmtId="0" fontId="11" fillId="14" borderId="1" xfId="0" applyFont="1" applyFill="1" applyBorder="1"/>
    <xf numFmtId="1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4" fontId="11" fillId="13" borderId="1" xfId="0" applyNumberFormat="1" applyFont="1" applyFill="1" applyBorder="1" applyAlignment="1">
      <alignment horizontal="center" vertical="center"/>
    </xf>
    <xf numFmtId="1" fontId="11" fillId="13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/>
    </xf>
    <xf numFmtId="14" fontId="11" fillId="5" borderId="30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9" fontId="11" fillId="5" borderId="1" xfId="0" applyNumberFormat="1" applyFont="1" applyFill="1" applyBorder="1" applyAlignment="1">
      <alignment horizontal="center"/>
    </xf>
    <xf numFmtId="9" fontId="11" fillId="5" borderId="1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11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wrapText="1"/>
    </xf>
    <xf numFmtId="0" fontId="11" fillId="13" borderId="3" xfId="0" applyFont="1" applyFill="1" applyBorder="1" applyAlignment="1">
      <alignment horizontal="center" vertical="center" wrapText="1"/>
    </xf>
    <xf numFmtId="14" fontId="11" fillId="13" borderId="3" xfId="0" applyNumberFormat="1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14" fontId="11" fillId="16" borderId="3" xfId="0" applyNumberFormat="1" applyFont="1" applyFill="1" applyBorder="1" applyAlignment="1">
      <alignment horizontal="center" vertical="center"/>
    </xf>
    <xf numFmtId="1" fontId="11" fillId="16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18" borderId="7" xfId="0" applyFont="1" applyFill="1" applyBorder="1" applyAlignment="1">
      <alignment horizontal="center" wrapText="1"/>
    </xf>
    <xf numFmtId="0" fontId="10" fillId="14" borderId="3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 wrapText="1"/>
    </xf>
    <xf numFmtId="14" fontId="0" fillId="11" borderId="2" xfId="0" applyNumberFormat="1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wrapText="1"/>
    </xf>
    <xf numFmtId="0" fontId="3" fillId="10" borderId="43" xfId="0" applyFont="1" applyFill="1" applyBorder="1" applyAlignment="1">
      <alignment horizontal="center" wrapText="1"/>
    </xf>
    <xf numFmtId="0" fontId="5" fillId="14" borderId="42" xfId="0" applyFont="1" applyFill="1" applyBorder="1" applyAlignment="1">
      <alignment horizontal="center"/>
    </xf>
    <xf numFmtId="49" fontId="6" fillId="0" borderId="42" xfId="0" applyNumberFormat="1" applyFont="1" applyBorder="1" applyAlignment="1">
      <alignment horizontal="center" vertical="center" wrapText="1"/>
    </xf>
    <xf numFmtId="14" fontId="11" fillId="10" borderId="43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 wrapText="1"/>
    </xf>
    <xf numFmtId="0" fontId="10" fillId="14" borderId="41" xfId="0" applyFont="1" applyFill="1" applyBorder="1" applyAlignment="1">
      <alignment horizontal="center"/>
    </xf>
    <xf numFmtId="49" fontId="6" fillId="0" borderId="45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14" fontId="19" fillId="0" borderId="47" xfId="0" applyNumberFormat="1" applyFont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14" fontId="18" fillId="7" borderId="47" xfId="0" applyNumberFormat="1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/>
    </xf>
    <xf numFmtId="14" fontId="11" fillId="7" borderId="48" xfId="0" applyNumberFormat="1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14" fontId="18" fillId="8" borderId="48" xfId="0" applyNumberFormat="1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 wrapText="1"/>
    </xf>
    <xf numFmtId="14" fontId="11" fillId="4" borderId="47" xfId="0" applyNumberFormat="1" applyFont="1" applyFill="1" applyBorder="1" applyAlignment="1">
      <alignment horizontal="center" vertical="center"/>
    </xf>
    <xf numFmtId="14" fontId="11" fillId="10" borderId="48" xfId="0" applyNumberFormat="1" applyFont="1" applyFill="1" applyBorder="1" applyAlignment="1">
      <alignment horizontal="center" vertical="center"/>
    </xf>
    <xf numFmtId="14" fontId="11" fillId="10" borderId="50" xfId="0" applyNumberFormat="1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10" fillId="14" borderId="42" xfId="0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 vertical="center"/>
    </xf>
    <xf numFmtId="1" fontId="1" fillId="8" borderId="36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 vertical="center"/>
    </xf>
    <xf numFmtId="1" fontId="3" fillId="8" borderId="30" xfId="0" applyNumberFormat="1" applyFont="1" applyFill="1" applyBorder="1" applyAlignment="1">
      <alignment horizontal="center" wrapText="1"/>
    </xf>
    <xf numFmtId="14" fontId="11" fillId="8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4" borderId="4" xfId="0" applyNumberFormat="1" applyFont="1" applyFill="1" applyBorder="1"/>
    <xf numFmtId="14" fontId="5" fillId="13" borderId="4" xfId="0" applyNumberFormat="1" applyFont="1" applyFill="1" applyBorder="1"/>
    <xf numFmtId="14" fontId="11" fillId="14" borderId="1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11" fillId="5" borderId="15" xfId="0" applyNumberFormat="1" applyFont="1" applyFill="1" applyBorder="1" applyAlignment="1">
      <alignment horizontal="center" vertical="center"/>
    </xf>
    <xf numFmtId="14" fontId="11" fillId="5" borderId="12" xfId="0" applyNumberFormat="1" applyFont="1" applyFill="1" applyBorder="1" applyAlignment="1">
      <alignment horizontal="center" vertical="center"/>
    </xf>
    <xf numFmtId="14" fontId="11" fillId="5" borderId="16" xfId="0" applyNumberFormat="1" applyFont="1" applyFill="1" applyBorder="1" applyAlignment="1">
      <alignment horizontal="center" vertical="center"/>
    </xf>
    <xf numFmtId="14" fontId="11" fillId="5" borderId="17" xfId="0" applyNumberFormat="1" applyFont="1" applyFill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/>
    </xf>
    <xf numFmtId="14" fontId="11" fillId="5" borderId="3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/>
    </xf>
    <xf numFmtId="0" fontId="16" fillId="15" borderId="3" xfId="0" applyFont="1" applyFill="1" applyBorder="1" applyAlignment="1">
      <alignment horizontal="center"/>
    </xf>
    <xf numFmtId="0" fontId="16" fillId="15" borderId="2" xfId="0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51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2" xfId="0" applyNumberFormat="1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1" fontId="1" fillId="10" borderId="38" xfId="0" applyNumberFormat="1" applyFont="1" applyFill="1" applyBorder="1" applyAlignment="1">
      <alignment horizontal="center" wrapText="1"/>
    </xf>
    <xf numFmtId="1" fontId="1" fillId="10" borderId="36" xfId="0" applyNumberFormat="1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 wrapText="1"/>
    </xf>
    <xf numFmtId="1" fontId="1" fillId="10" borderId="4" xfId="0" applyNumberFormat="1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 vertical="center" wrapText="1"/>
    </xf>
    <xf numFmtId="1" fontId="1" fillId="10" borderId="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4" fillId="14" borderId="4" xfId="0" applyFont="1" applyFill="1" applyBorder="1" applyAlignment="1">
      <alignment horizontal="center"/>
    </xf>
    <xf numFmtId="0" fontId="25" fillId="14" borderId="4" xfId="0" applyFont="1" applyFill="1" applyBorder="1" applyAlignment="1">
      <alignment horizontal="center"/>
    </xf>
    <xf numFmtId="49" fontId="1" fillId="0" borderId="34" xfId="0" applyNumberFormat="1" applyFont="1" applyBorder="1" applyAlignment="1">
      <alignment horizontal="left" wrapText="1"/>
    </xf>
    <xf numFmtId="49" fontId="1" fillId="0" borderId="35" xfId="0" applyNumberFormat="1" applyFont="1" applyBorder="1" applyAlignment="1">
      <alignment horizontal="left" wrapText="1"/>
    </xf>
    <xf numFmtId="0" fontId="1" fillId="7" borderId="36" xfId="0" applyFont="1" applyFill="1" applyBorder="1" applyAlignment="1">
      <alignment horizontal="center" wrapText="1"/>
    </xf>
    <xf numFmtId="0" fontId="1" fillId="7" borderId="37" xfId="0" applyFont="1" applyFill="1" applyBorder="1" applyAlignment="1">
      <alignment horizontal="center" wrapText="1"/>
    </xf>
    <xf numFmtId="14" fontId="12" fillId="11" borderId="1" xfId="0" applyNumberFormat="1" applyFont="1" applyFill="1" applyBorder="1" applyAlignment="1">
      <alignment horizontal="center"/>
    </xf>
    <xf numFmtId="49" fontId="1" fillId="0" borderId="40" xfId="0" applyNumberFormat="1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left" wrapText="1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left"/>
    </xf>
    <xf numFmtId="49" fontId="1" fillId="0" borderId="40" xfId="0" applyNumberFormat="1" applyFont="1" applyBorder="1" applyAlignment="1">
      <alignment horizontal="left" vertical="center" wrapText="1"/>
    </xf>
    <xf numFmtId="49" fontId="1" fillId="0" borderId="32" xfId="0" applyNumberFormat="1" applyFont="1" applyBorder="1" applyAlignment="1">
      <alignment horizontal="left" vertical="center" wrapText="1"/>
    </xf>
    <xf numFmtId="14" fontId="13" fillId="11" borderId="1" xfId="0" applyNumberFormat="1" applyFont="1" applyFill="1" applyBorder="1" applyAlignment="1">
      <alignment horizontal="center" vertical="center" wrapText="1"/>
    </xf>
    <xf numFmtId="1" fontId="1" fillId="8" borderId="3" xfId="0" applyNumberFormat="1" applyFont="1" applyFill="1" applyBorder="1" applyAlignment="1">
      <alignment horizontal="center" vertical="center"/>
    </xf>
    <xf numFmtId="1" fontId="1" fillId="8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vertical="center"/>
    </xf>
    <xf numFmtId="14" fontId="12" fillId="11" borderId="2" xfId="0" applyNumberFormat="1" applyFont="1" applyFill="1" applyBorder="1" applyAlignment="1">
      <alignment horizontal="center"/>
    </xf>
    <xf numFmtId="14" fontId="13" fillId="11" borderId="2" xfId="0" applyNumberFormat="1" applyFont="1" applyFill="1" applyBorder="1" applyAlignment="1">
      <alignment horizontal="center" vertical="center" wrapText="1"/>
    </xf>
    <xf numFmtId="1" fontId="1" fillId="10" borderId="39" xfId="0" applyNumberFormat="1" applyFont="1" applyFill="1" applyBorder="1" applyAlignment="1">
      <alignment horizontal="center" wrapText="1"/>
    </xf>
    <xf numFmtId="1" fontId="1" fillId="10" borderId="41" xfId="0" applyNumberFormat="1" applyFont="1" applyFill="1" applyBorder="1" applyAlignment="1">
      <alignment horizontal="center" wrapText="1"/>
    </xf>
    <xf numFmtId="1" fontId="1" fillId="10" borderId="41" xfId="0" applyNumberFormat="1" applyFont="1" applyFill="1" applyBorder="1" applyAlignment="1">
      <alignment horizontal="center" vertical="center" wrapText="1"/>
    </xf>
    <xf numFmtId="1" fontId="1" fillId="8" borderId="38" xfId="0" applyNumberFormat="1" applyFont="1" applyFill="1" applyBorder="1" applyAlignment="1">
      <alignment horizontal="center"/>
    </xf>
    <xf numFmtId="1" fontId="1" fillId="8" borderId="37" xfId="0" applyNumberFormat="1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horizontal="center" wrapText="1"/>
    </xf>
    <xf numFmtId="1" fontId="1" fillId="8" borderId="3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33"/>
  <sheetViews>
    <sheetView workbookViewId="0">
      <selection sqref="A1:B1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241" t="s">
        <v>0</v>
      </c>
      <c r="B1" s="242"/>
      <c r="C1" s="243" t="s">
        <v>1</v>
      </c>
      <c r="D1" s="244"/>
      <c r="E1" s="245"/>
      <c r="F1" s="246" t="s">
        <v>2</v>
      </c>
      <c r="G1" s="247"/>
      <c r="H1" s="248"/>
      <c r="I1" s="249" t="s">
        <v>3</v>
      </c>
      <c r="J1" s="249"/>
      <c r="K1" s="249"/>
      <c r="L1" s="268" t="s">
        <v>4</v>
      </c>
      <c r="M1" s="269"/>
      <c r="N1" s="269"/>
      <c r="O1" s="269"/>
      <c r="P1" s="270"/>
      <c r="Q1" s="253" t="s">
        <v>5</v>
      </c>
      <c r="R1" s="253"/>
      <c r="S1" s="253"/>
      <c r="T1" s="254" t="s">
        <v>6</v>
      </c>
      <c r="U1" s="254"/>
      <c r="V1" s="254"/>
      <c r="W1" s="267" t="s">
        <v>7</v>
      </c>
      <c r="X1" s="267"/>
      <c r="Y1" s="267"/>
    </row>
    <row r="2" spans="1:25" ht="21" x14ac:dyDescent="0.35">
      <c r="A2" s="241" t="s">
        <v>8</v>
      </c>
      <c r="B2" s="242"/>
      <c r="C2" s="243" t="s">
        <v>9</v>
      </c>
      <c r="D2" s="244"/>
      <c r="E2" s="245"/>
      <c r="F2" s="246" t="s">
        <v>9</v>
      </c>
      <c r="G2" s="247"/>
      <c r="H2" s="248"/>
      <c r="I2" s="249" t="s">
        <v>10</v>
      </c>
      <c r="J2" s="249"/>
      <c r="K2" s="249"/>
      <c r="L2" s="250" t="s">
        <v>11</v>
      </c>
      <c r="M2" s="251"/>
      <c r="N2" s="251"/>
      <c r="O2" s="251"/>
      <c r="P2" s="252"/>
      <c r="Q2" s="253" t="s">
        <v>12</v>
      </c>
      <c r="R2" s="253"/>
      <c r="S2" s="253"/>
      <c r="T2" s="254" t="s">
        <v>13</v>
      </c>
      <c r="U2" s="254"/>
      <c r="V2" s="254"/>
      <c r="W2" s="267" t="s">
        <v>14</v>
      </c>
      <c r="X2" s="267"/>
      <c r="Y2" s="267"/>
    </row>
    <row r="3" spans="1:25" ht="21" x14ac:dyDescent="0.35">
      <c r="A3" s="241" t="s">
        <v>15</v>
      </c>
      <c r="B3" s="242"/>
      <c r="C3" s="243" t="s">
        <v>16</v>
      </c>
      <c r="D3" s="244"/>
      <c r="E3" s="245"/>
      <c r="F3" s="246" t="s">
        <v>17</v>
      </c>
      <c r="G3" s="247"/>
      <c r="H3" s="248"/>
      <c r="I3" s="249" t="s">
        <v>18</v>
      </c>
      <c r="J3" s="249"/>
      <c r="K3" s="249"/>
      <c r="L3" s="250" t="s">
        <v>19</v>
      </c>
      <c r="M3" s="251"/>
      <c r="N3" s="251"/>
      <c r="O3" s="251"/>
      <c r="P3" s="252"/>
      <c r="Q3" s="253" t="s">
        <v>20</v>
      </c>
      <c r="R3" s="253"/>
      <c r="S3" s="253"/>
      <c r="T3" s="254" t="s">
        <v>21</v>
      </c>
      <c r="U3" s="254"/>
      <c r="V3" s="254"/>
      <c r="W3" s="255" t="s">
        <v>22</v>
      </c>
      <c r="X3" s="256"/>
      <c r="Y3" s="257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5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51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258"/>
      <c r="X6" s="259"/>
      <c r="Y6" s="260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261"/>
      <c r="X7" s="262"/>
      <c r="Y7" s="263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80">
        <f>E8+B$30+2</f>
        <v>42668</v>
      </c>
      <c r="J8" s="81">
        <f>I8+B$31</f>
        <v>42670</v>
      </c>
      <c r="K8" s="81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261"/>
      <c r="X8" s="262"/>
      <c r="Y8" s="263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2">
        <f>D9+B$29</f>
        <v>42706</v>
      </c>
      <c r="F9" s="83">
        <f>E9</f>
        <v>42706</v>
      </c>
      <c r="G9" s="83">
        <f>F9+7</f>
        <v>42713</v>
      </c>
      <c r="H9" s="83" t="s">
        <v>51</v>
      </c>
      <c r="I9" s="77">
        <f>E9+B$30+2</f>
        <v>42711</v>
      </c>
      <c r="J9" s="78">
        <f>I9+B$31</f>
        <v>42713</v>
      </c>
      <c r="K9" s="79">
        <f>J9+B$32+2</f>
        <v>42717</v>
      </c>
      <c r="L9" s="84">
        <f>K9</f>
        <v>42717</v>
      </c>
      <c r="M9" s="84">
        <f t="shared" si="0"/>
        <v>42719</v>
      </c>
      <c r="N9" s="84">
        <f t="shared" si="0"/>
        <v>42719</v>
      </c>
      <c r="O9" s="84">
        <f>N9+2+2</f>
        <v>42723</v>
      </c>
      <c r="P9" s="85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264"/>
      <c r="X9" s="265"/>
      <c r="Y9" s="266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232" t="s">
        <v>54</v>
      </c>
      <c r="X11" s="233"/>
      <c r="Y11" s="234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235"/>
      <c r="X12" s="236"/>
      <c r="Y12" s="237"/>
    </row>
    <row r="13" spans="1:25" s="74" customFormat="1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6">
        <f>E13+B$30+2</f>
        <v>42759</v>
      </c>
      <c r="J13" s="81">
        <f>I13+B$31</f>
        <v>42761</v>
      </c>
      <c r="K13" s="87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238"/>
      <c r="X13" s="239"/>
      <c r="Y13" s="240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2">
        <f>D14+B$29+2</f>
        <v>42801</v>
      </c>
      <c r="F14" s="83">
        <f>E14</f>
        <v>42801</v>
      </c>
      <c r="G14" s="83">
        <f>F14+7</f>
        <v>42808</v>
      </c>
      <c r="H14" s="83" t="s">
        <v>51</v>
      </c>
      <c r="I14" s="77">
        <f>E14+B$30</f>
        <v>42804</v>
      </c>
      <c r="J14" s="78">
        <f>I14+B$31+2</f>
        <v>42808</v>
      </c>
      <c r="K14" s="79">
        <f>J14+B$32</f>
        <v>42810</v>
      </c>
      <c r="L14" s="84">
        <f>K14</f>
        <v>42810</v>
      </c>
      <c r="M14" s="84">
        <f>K14+$B$33+2</f>
        <v>42814</v>
      </c>
      <c r="N14" s="84">
        <f>L14+$B$33+2</f>
        <v>42814</v>
      </c>
      <c r="O14" s="84">
        <f t="shared" si="1"/>
        <v>42816</v>
      </c>
      <c r="P14" s="85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258"/>
      <c r="X16" s="259"/>
      <c r="Y16" s="260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261"/>
      <c r="X17" s="262"/>
      <c r="Y17" s="263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6">
        <f>E18+B$30+2</f>
        <v>42850</v>
      </c>
      <c r="J18" s="81">
        <f>I18+B$31</f>
        <v>42852</v>
      </c>
      <c r="K18" s="87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261"/>
      <c r="X18" s="262"/>
      <c r="Y18" s="263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2">
        <f>D19+B$29</f>
        <v>42892</v>
      </c>
      <c r="F19" s="83">
        <f>E19</f>
        <v>42892</v>
      </c>
      <c r="G19" s="83">
        <f>F19+7</f>
        <v>42899</v>
      </c>
      <c r="H19" s="83" t="s">
        <v>51</v>
      </c>
      <c r="I19" s="77">
        <f>E19+B$30</f>
        <v>42895</v>
      </c>
      <c r="J19" s="78">
        <f>I19+B$31+2</f>
        <v>42899</v>
      </c>
      <c r="K19" s="79">
        <f>J19+B$32</f>
        <v>42901</v>
      </c>
      <c r="L19" s="84">
        <f>K19</f>
        <v>42901</v>
      </c>
      <c r="M19" s="84">
        <f>K19+$B$33+2</f>
        <v>42905</v>
      </c>
      <c r="N19" s="84">
        <f>L19+$B$33+2</f>
        <v>42905</v>
      </c>
      <c r="O19" s="84">
        <f t="shared" si="1"/>
        <v>42907</v>
      </c>
      <c r="P19" s="85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264"/>
      <c r="X19" s="265"/>
      <c r="Y19" s="266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232" t="s">
        <v>65</v>
      </c>
      <c r="X21" s="233"/>
      <c r="Y21" s="234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235"/>
      <c r="X22" s="236"/>
      <c r="Y22" s="237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6">
        <f>E23+B$30+2</f>
        <v>42941</v>
      </c>
      <c r="J23" s="81">
        <f>I23+B$31</f>
        <v>42943</v>
      </c>
      <c r="K23" s="87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238"/>
      <c r="X23" s="239"/>
      <c r="Y23" s="240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2">
        <f>D24+B$29</f>
        <v>42979</v>
      </c>
      <c r="F24" s="83">
        <f>E24</f>
        <v>42979</v>
      </c>
      <c r="G24" s="83">
        <f>F24+7</f>
        <v>42986</v>
      </c>
      <c r="H24" s="83" t="s">
        <v>51</v>
      </c>
      <c r="I24" s="77">
        <f>E24+B$30+3</f>
        <v>42985</v>
      </c>
      <c r="J24" s="78">
        <f>I24+B$31+2</f>
        <v>42989</v>
      </c>
      <c r="K24" s="79">
        <f>J24+B$32</f>
        <v>42991</v>
      </c>
      <c r="L24" s="84">
        <f>K24</f>
        <v>42991</v>
      </c>
      <c r="M24" s="84">
        <f t="shared" si="0"/>
        <v>42993</v>
      </c>
      <c r="N24" s="84">
        <f t="shared" si="0"/>
        <v>42993</v>
      </c>
      <c r="O24" s="84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x14ac:dyDescent="0.25">
      <c r="A29" s="96" t="s">
        <v>72</v>
      </c>
      <c r="B29" s="96">
        <v>3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x14ac:dyDescent="0.25">
      <c r="A30" s="96" t="s">
        <v>73</v>
      </c>
      <c r="B30" s="96">
        <v>3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spans="1:25" x14ac:dyDescent="0.25">
      <c r="A31" s="96" t="s">
        <v>74</v>
      </c>
      <c r="B31" s="96">
        <v>2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1:25" x14ac:dyDescent="0.25">
      <c r="A32" s="96" t="s">
        <v>75</v>
      </c>
      <c r="B32" s="96">
        <v>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1:2" x14ac:dyDescent="0.25">
      <c r="A33" s="96" t="s">
        <v>76</v>
      </c>
      <c r="B33" s="96">
        <v>2</v>
      </c>
    </row>
  </sheetData>
  <customSheetViews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55"/>
  <sheetViews>
    <sheetView tabSelected="1" workbookViewId="0">
      <selection activeCell="T27" sqref="T27"/>
    </sheetView>
  </sheetViews>
  <sheetFormatPr defaultColWidth="8.85546875" defaultRowHeight="15" x14ac:dyDescent="0.25"/>
  <cols>
    <col min="1" max="1" width="33.7109375" style="96" customWidth="1"/>
    <col min="2" max="2" width="30" style="108" bestFit="1" customWidth="1"/>
    <col min="3" max="3" width="12.7109375" style="96" customWidth="1"/>
    <col min="4" max="4" width="22.140625" style="108" bestFit="1" customWidth="1"/>
    <col min="5" max="5" width="12.7109375" style="96" hidden="1" customWidth="1"/>
    <col min="6" max="6" width="17.42578125" style="96" customWidth="1"/>
    <col min="7" max="7" width="13.85546875" style="96" hidden="1" customWidth="1"/>
    <col min="8" max="8" width="16.42578125" style="96" customWidth="1"/>
    <col min="9" max="9" width="14.42578125" style="96" customWidth="1"/>
    <col min="10" max="10" width="8.85546875" style="96"/>
    <col min="11" max="11" width="8.42578125" style="96" bestFit="1" customWidth="1"/>
    <col min="12" max="14" width="8.85546875" style="96"/>
    <col min="15" max="15" width="9.7109375" style="96" bestFit="1" customWidth="1"/>
    <col min="16" max="16384" width="8.85546875" style="96"/>
  </cols>
  <sheetData>
    <row r="1" spans="1:15" ht="15.75" x14ac:dyDescent="0.25">
      <c r="A1" s="285" t="s">
        <v>177</v>
      </c>
      <c r="B1" s="285"/>
      <c r="C1" s="285"/>
      <c r="D1" s="285"/>
      <c r="E1" s="285"/>
      <c r="F1" s="285"/>
      <c r="G1" s="285"/>
      <c r="H1" s="285"/>
      <c r="I1" s="285"/>
    </row>
    <row r="2" spans="1:15" ht="15.75" x14ac:dyDescent="0.25">
      <c r="A2" s="286" t="s">
        <v>0</v>
      </c>
      <c r="B2" s="287"/>
      <c r="C2" s="288" t="s">
        <v>1</v>
      </c>
      <c r="D2" s="289"/>
      <c r="E2" s="290" t="s">
        <v>77</v>
      </c>
      <c r="F2" s="290"/>
      <c r="G2" s="291" t="s">
        <v>78</v>
      </c>
      <c r="H2" s="292"/>
      <c r="I2" s="292"/>
      <c r="J2" s="88"/>
    </row>
    <row r="3" spans="1:15" ht="15.75" x14ac:dyDescent="0.25">
      <c r="A3" s="286" t="s">
        <v>79</v>
      </c>
      <c r="B3" s="287"/>
      <c r="C3" s="288" t="s">
        <v>89</v>
      </c>
      <c r="D3" s="289"/>
      <c r="E3" s="290" t="s">
        <v>80</v>
      </c>
      <c r="F3" s="290"/>
      <c r="G3" s="291" t="s">
        <v>80</v>
      </c>
      <c r="H3" s="292"/>
      <c r="I3" s="292"/>
      <c r="J3" s="89"/>
      <c r="O3" s="109">
        <v>43191</v>
      </c>
    </row>
    <row r="4" spans="1:15" ht="37.5" x14ac:dyDescent="0.3">
      <c r="A4" s="90" t="s">
        <v>178</v>
      </c>
      <c r="B4" s="223" t="s">
        <v>24</v>
      </c>
      <c r="C4" s="114" t="s">
        <v>81</v>
      </c>
      <c r="D4" s="113" t="s">
        <v>179</v>
      </c>
      <c r="E4" s="153" t="s">
        <v>81</v>
      </c>
      <c r="F4" s="154" t="s">
        <v>82</v>
      </c>
      <c r="G4" s="161" t="s">
        <v>81</v>
      </c>
      <c r="H4" s="99" t="s">
        <v>82</v>
      </c>
      <c r="I4" s="99" t="s">
        <v>83</v>
      </c>
    </row>
    <row r="5" spans="1:15" ht="15.75" x14ac:dyDescent="0.25">
      <c r="A5" s="91" t="s">
        <v>90</v>
      </c>
      <c r="B5" s="224"/>
      <c r="C5" s="155"/>
      <c r="D5" s="226"/>
      <c r="E5" s="156"/>
      <c r="F5" s="156"/>
      <c r="G5" s="92"/>
      <c r="H5" s="156"/>
      <c r="I5" s="156"/>
    </row>
    <row r="6" spans="1:15" ht="15.75" x14ac:dyDescent="0.25">
      <c r="A6" s="93" t="s">
        <v>131</v>
      </c>
      <c r="B6" s="94">
        <v>43951</v>
      </c>
      <c r="C6" s="104">
        <f>_xlfn.DAYS(D6,B6)</f>
        <v>15</v>
      </c>
      <c r="D6" s="117">
        <f>IF(ISNA(VLOOKUP(B6+$B$34,$B$41:$B$55,1,FALSE)),IF(WEEKDAY(B6+$B$34,3)=5,B6+($B$34+2),IF(WEEKDAY(B6+$B$34,3)=6,B6+($B$34+1),B6+$B$34)),B6+($B$34+1))</f>
        <v>43966</v>
      </c>
      <c r="E6" s="157">
        <f>_xlfn.DAYS(F6,B6)</f>
        <v>32</v>
      </c>
      <c r="F6" s="158">
        <f>IF(ISNA(VLOOKUP(B6+$B$36,$B$41:$B$55,1,FALSE)),IF(WEEKDAY(B6+$B$36,3)=5,B6+$B$36+2,IF(WEEKDAY(B6+$B$36,3)=6,B6+$B$36+1,B6+$B$36)),B6+$B$36+1)</f>
        <v>43983</v>
      </c>
      <c r="G6" s="162" t="s">
        <v>85</v>
      </c>
      <c r="H6" s="293" t="s">
        <v>85</v>
      </c>
      <c r="I6" s="294"/>
    </row>
    <row r="7" spans="1:15" ht="15.75" x14ac:dyDescent="0.25">
      <c r="A7" s="93" t="s">
        <v>132</v>
      </c>
      <c r="B7" s="94">
        <f>EOMONTH(B6,1)</f>
        <v>43982</v>
      </c>
      <c r="C7" s="104">
        <f>_xlfn.DAYS(D7,B7)</f>
        <v>15</v>
      </c>
      <c r="D7" s="117">
        <f>IF(ISNA(VLOOKUP(B7+$B$34,$B$41:$B$55,1,FALSE)),IF(WEEKDAY(B7+$B$34,3)=5,B7+($B$34+2),IF(WEEKDAY(B7+$B$34,3)=6,B7+($B$34+1),B7+$B$34)),B7+($B$34+1))</f>
        <v>43997</v>
      </c>
      <c r="E7" s="157">
        <f>_xlfn.DAYS(F7,B7)</f>
        <v>30</v>
      </c>
      <c r="F7" s="158">
        <f>IF(ISNA(VLOOKUP(B7+$B$36,$B$41:$B$55,1,FALSE)),IF(WEEKDAY(B7+$B$36,3)=5,B7+$B$36+2,IF(WEEKDAY(B7+$B$36,3)=6,B7+$B$36+1,B7+$B$36)),B7+$B$36+1)</f>
        <v>44012</v>
      </c>
      <c r="G7" s="162" t="s">
        <v>85</v>
      </c>
      <c r="H7" s="295"/>
      <c r="I7" s="296"/>
    </row>
    <row r="8" spans="1:15" ht="15.75" x14ac:dyDescent="0.25">
      <c r="A8" s="230" t="s">
        <v>133</v>
      </c>
      <c r="B8" s="281">
        <f>EOMONTH(B7,1)</f>
        <v>44012</v>
      </c>
      <c r="C8" s="104">
        <f>_xlfn.DAYS(D8,B8)</f>
        <v>15</v>
      </c>
      <c r="D8" s="117">
        <f>IF(ISNA(VLOOKUP(B8+$B$34,$B$41:$B$55,1,FALSE)),IF(WEEKDAY(B8+$B$34,3)=5,B8+($B$34+2),IF(WEEKDAY(B8+$B$34,3)=6,B8+($B$34+1),B8+$B$34)),B8+($B$34+1))</f>
        <v>44027</v>
      </c>
      <c r="E8" s="157">
        <f>_xlfn.DAYS(F8,B8)</f>
        <v>30</v>
      </c>
      <c r="F8" s="158">
        <f>IF(ISNA(VLOOKUP(B8+$B$36,$B$41:$B$55,1,FALSE)),IF(WEEKDAY(B8+$B$36,3)=5,B8+$B$36+2,IF(WEEKDAY(B8+$B$36,3)=6,B8+$B$36+1,B8+$B$36)),B8+$B$36+1)</f>
        <v>44042</v>
      </c>
      <c r="G8" s="162">
        <f>_xlfn.DAYS(H8,B8)</f>
        <v>-44012</v>
      </c>
      <c r="H8" s="297"/>
      <c r="I8" s="298"/>
      <c r="O8" s="108"/>
    </row>
    <row r="9" spans="1:15" ht="15.75" x14ac:dyDescent="0.25">
      <c r="A9" s="229" t="s">
        <v>68</v>
      </c>
      <c r="B9" s="282"/>
      <c r="C9" s="104">
        <f>_xlfn.DAYS(D9,B8)</f>
        <v>62</v>
      </c>
      <c r="D9" s="117">
        <f>IF(ISNA(VLOOKUP(B8+$B$35,$B$41:$B$55,1,FALSE)),IF(WEEKDAY(B8+$B$35,3)=5,B8+($B$35+2),IF(WEEKDAY(B8+$B$35,3)=6,B8+($B$35+1),B8+$B$35)),B8+($B$35+1))</f>
        <v>44074</v>
      </c>
      <c r="E9" s="157" t="s">
        <v>85</v>
      </c>
      <c r="F9" s="157" t="s">
        <v>85</v>
      </c>
      <c r="G9" s="163" t="s">
        <v>85</v>
      </c>
      <c r="H9" s="165">
        <v>44082</v>
      </c>
      <c r="I9" s="168">
        <v>0.02</v>
      </c>
      <c r="L9" s="108"/>
    </row>
    <row r="10" spans="1:15" ht="15.75" x14ac:dyDescent="0.25">
      <c r="A10" s="95" t="s">
        <v>196</v>
      </c>
      <c r="B10" s="225"/>
      <c r="C10" s="110"/>
      <c r="D10" s="159"/>
      <c r="E10" s="160"/>
      <c r="F10" s="160"/>
      <c r="G10" s="112"/>
      <c r="H10" s="159"/>
      <c r="I10" s="166"/>
    </row>
    <row r="11" spans="1:15" ht="15.75" x14ac:dyDescent="0.25">
      <c r="A11" s="118" t="s">
        <v>180</v>
      </c>
      <c r="B11" s="119">
        <f>EOMONTH(B8, 1)</f>
        <v>44043</v>
      </c>
      <c r="C11" s="104">
        <f t="shared" ref="C11:C28" si="0">_xlfn.DAYS(D11,B11)</f>
        <v>17</v>
      </c>
      <c r="D11" s="117">
        <f>IF(ISNA(VLOOKUP(B11+$B$34,$B$41:$B$55,1,FALSE)),IF(WEEKDAY(B11+$B$34,3)=5,B11+($B$34+2),IF(WEEKDAY(B11+$B$34,3)=6,B11+($B$34+1),B11+$B$34)),B11+($B$34+1))</f>
        <v>44060</v>
      </c>
      <c r="E11" s="157">
        <f>_xlfn.DAYS(F11,B11)</f>
        <v>31</v>
      </c>
      <c r="F11" s="158">
        <f>IF(ISNA(VLOOKUP(B11+$B$36,$B$41:$B$55,1,FALSE)),IF(WEEKDAY(B11+$B$36,3)=5,B11+$B$36+2,IF(WEEKDAY(B11+$B$36,3)=6,B11+$B$36+1,B11+$B$36)),B11+$B$36+1)</f>
        <v>44074</v>
      </c>
      <c r="G11" s="163" t="s">
        <v>85</v>
      </c>
      <c r="H11" s="271" t="s">
        <v>85</v>
      </c>
      <c r="I11" s="272"/>
    </row>
    <row r="12" spans="1:15" ht="15.75" x14ac:dyDescent="0.25">
      <c r="A12" s="93" t="s">
        <v>181</v>
      </c>
      <c r="B12" s="94">
        <f>EOMONTH(B11, 1)</f>
        <v>44074</v>
      </c>
      <c r="C12" s="104">
        <f t="shared" si="0"/>
        <v>15</v>
      </c>
      <c r="D12" s="117">
        <f>IF(ISNA(VLOOKUP(B12+$B$34,$B$41:$B$55,1,FALSE)),IF(WEEKDAY(B12+$B$34,3)=5,B12+($B$34+2),IF(WEEKDAY(B12+$B$34,3)=6,B12+($B$34+1),B12+$B$34)),B12+($B$34+1))</f>
        <v>44089</v>
      </c>
      <c r="E12" s="157">
        <f>_xlfn.DAYS(F12,B12)</f>
        <v>30</v>
      </c>
      <c r="F12" s="158">
        <f>IF(ISNA(VLOOKUP(B12+$B$36,$B$41:$B$55,1,FALSE)),IF(WEEKDAY(B12+$B$36,3)=5,B12+$B$36+2,IF(WEEKDAY(B12+$B$36,3)=6,B12+$B$36+1,B12+$B$36)),B12+$B$36+1)</f>
        <v>44104</v>
      </c>
      <c r="G12" s="163" t="s">
        <v>85</v>
      </c>
      <c r="H12" s="273"/>
      <c r="I12" s="274"/>
    </row>
    <row r="13" spans="1:15" ht="15.75" x14ac:dyDescent="0.25">
      <c r="A13" s="229" t="s">
        <v>182</v>
      </c>
      <c r="B13" s="281">
        <f>EOMONTH(B12, 1)</f>
        <v>44104</v>
      </c>
      <c r="C13" s="104">
        <f>_xlfn.DAYS(D13,B13)</f>
        <v>15</v>
      </c>
      <c r="D13" s="117">
        <f>IF(ISNA(VLOOKUP(B13+$B$34,$B$41:$B$55,1,FALSE)),IF(WEEKDAY(B13+$B$34,3)=5,B13+($B$34+2),IF(WEEKDAY(B13+$B$34,3)=6,B13+($B$34+1),B13+$B$34)),B13+($B$34+1))</f>
        <v>44119</v>
      </c>
      <c r="E13" s="157">
        <f>_xlfn.DAYS(F13,B13)</f>
        <v>30</v>
      </c>
      <c r="F13" s="158">
        <f>IF(ISNA(VLOOKUP(B13+$B$36,$B$41:$B$55,1,FALSE)),IF(WEEKDAY(B13+$B$36,3)=5,B13+$B$36+2,IF(WEEKDAY(B13+$B$36,3)=6,B13+$B$36+1,B13+$B$36)),B13+$B$36+1)</f>
        <v>44134</v>
      </c>
      <c r="G13" s="162">
        <f>_xlfn.DAYS(H13,B13)</f>
        <v>-44104</v>
      </c>
      <c r="H13" s="275"/>
      <c r="I13" s="276"/>
    </row>
    <row r="14" spans="1:15" ht="15.75" x14ac:dyDescent="0.25">
      <c r="A14" s="231" t="s">
        <v>50</v>
      </c>
      <c r="B14" s="282"/>
      <c r="C14" s="104">
        <f>_xlfn.DAYS(D14,B13)</f>
        <v>61</v>
      </c>
      <c r="D14" s="117">
        <f>IF(ISNA(VLOOKUP(B13+$B$35,$B$41:$B$55,1,FALSE)),IF(WEEKDAY(B13+$B$35,3)=5,B13+($B$35+2),IF(WEEKDAY(B13+$B$35,3)=6,B13+($B$35+1),B13+$B$35)),B13+($B$35+1))</f>
        <v>44165</v>
      </c>
      <c r="E14" s="157" t="s">
        <v>85</v>
      </c>
      <c r="F14" s="157" t="s">
        <v>85</v>
      </c>
      <c r="G14" s="163" t="s">
        <v>85</v>
      </c>
      <c r="H14" s="165">
        <f>IF(ISNA(VLOOKUP(B13+$B$38,$B$41:$B$55,1,FALSE)),IF(WEEKDAY(B13+$B$38,3)=5,B13+$B$38+2,IF(WEEKDAY(B13+$B$38,3)=6,B13+$B$38+1,B13+$B$38)),B13+$B$38+1)</f>
        <v>44172</v>
      </c>
      <c r="I14" s="167">
        <v>0.02</v>
      </c>
    </row>
    <row r="15" spans="1:15" s="111" customFormat="1" ht="15.75" x14ac:dyDescent="0.25">
      <c r="A15" s="91" t="s">
        <v>193</v>
      </c>
      <c r="B15" s="224"/>
      <c r="C15" s="110"/>
      <c r="D15" s="159"/>
      <c r="E15" s="160"/>
      <c r="F15" s="160"/>
      <c r="G15" s="112"/>
      <c r="H15" s="159"/>
      <c r="I15" s="156"/>
    </row>
    <row r="16" spans="1:15" ht="15.75" x14ac:dyDescent="0.25">
      <c r="A16" s="93" t="s">
        <v>183</v>
      </c>
      <c r="B16" s="94">
        <f>EOMONTH(B13,1)</f>
        <v>44135</v>
      </c>
      <c r="C16" s="104">
        <f t="shared" si="0"/>
        <v>16</v>
      </c>
      <c r="D16" s="117">
        <f>IF(ISNA(VLOOKUP(B16+$B$34,$B$41:$B$55,1,FALSE)),IF(WEEKDAY(B16+$B$34,3)=5,B16+($B$34+2),IF(WEEKDAY(B16+$B$34,3)=6,B16+($B$34+1),B16+$B$34)),B16+($B$34+1))</f>
        <v>44151</v>
      </c>
      <c r="E16" s="157">
        <f>_xlfn.DAYS(F16,B16)</f>
        <v>-336</v>
      </c>
      <c r="F16" s="158">
        <v>43799</v>
      </c>
      <c r="G16" s="163" t="s">
        <v>85</v>
      </c>
      <c r="H16" s="271" t="s">
        <v>85</v>
      </c>
      <c r="I16" s="272"/>
    </row>
    <row r="17" spans="1:12" ht="15.75" x14ac:dyDescent="0.25">
      <c r="A17" s="93" t="s">
        <v>184</v>
      </c>
      <c r="B17" s="94">
        <f>EOMONTH(B16,1)</f>
        <v>44165</v>
      </c>
      <c r="C17" s="104">
        <f t="shared" si="0"/>
        <v>15</v>
      </c>
      <c r="D17" s="117">
        <f>IF(ISNA(VLOOKUP(B17+$B$34,$B$41:$B$55,1,FALSE)),IF(WEEKDAY(B17+$B$34,3)=5,B17+($B$34+2),IF(WEEKDAY(B17+$B$34,3)=6,B17+($B$34+1),B17+$B$34)),B17+($B$34+1))</f>
        <v>44180</v>
      </c>
      <c r="E17" s="157">
        <f>_xlfn.DAYS(F17,B17)</f>
        <v>30</v>
      </c>
      <c r="F17" s="158">
        <f>IF(ISNA(VLOOKUP(B17+$B$36,$B$41:$B$55,1,FALSE)),IF(WEEKDAY(B17+$B$36,3)=5,B17+$B$36+2,IF(WEEKDAY(B17+$B$36,3)=6,B17+$B$36+1,B17+$B$36)),B17+$B$36+1)</f>
        <v>44195</v>
      </c>
      <c r="G17" s="163" t="s">
        <v>85</v>
      </c>
      <c r="H17" s="273"/>
      <c r="I17" s="274"/>
      <c r="K17" s="108"/>
    </row>
    <row r="18" spans="1:12" ht="15.75" x14ac:dyDescent="0.25">
      <c r="A18" s="230" t="s">
        <v>185</v>
      </c>
      <c r="B18" s="281">
        <f>EOMONTH(B17,1)</f>
        <v>44196</v>
      </c>
      <c r="C18" s="104">
        <f t="shared" si="0"/>
        <v>15</v>
      </c>
      <c r="D18" s="117">
        <f>IF(ISNA(VLOOKUP(B18+$B$34,$B$41:$B$55,1,FALSE)),IF(WEEKDAY(B18+$B$34,3)=5,B18+($B$34+2),IF(WEEKDAY(B18+$B$34,3)=6,B18+($B$34+1),B18+$B$34)),B18+($B$34+1))</f>
        <v>44211</v>
      </c>
      <c r="E18" s="157">
        <f>_xlfn.DAYS(F18,B18)</f>
        <v>32</v>
      </c>
      <c r="F18" s="158">
        <f>IF(ISNA(VLOOKUP(B18+$B$36,$B$41:$B$55,1,FALSE)),IF(WEEKDAY(B18+$B$36,3)=5,B18+$B$36+2,IF(WEEKDAY(B18+$B$36,3)=6,B18+$B$36+1,B18+$B$36)),B18+$B$36+1)</f>
        <v>44228</v>
      </c>
      <c r="G18" s="162">
        <f>_xlfn.DAYS(H18,B18)</f>
        <v>-44196</v>
      </c>
      <c r="H18" s="275"/>
      <c r="I18" s="276"/>
    </row>
    <row r="19" spans="1:12" ht="15.75" x14ac:dyDescent="0.25">
      <c r="A19" s="231" t="s">
        <v>57</v>
      </c>
      <c r="B19" s="282"/>
      <c r="C19" s="104">
        <f>_xlfn.DAYS(D19,B18)</f>
        <v>60</v>
      </c>
      <c r="D19" s="117">
        <f>IF(ISNA(VLOOKUP(B18+$B$35,$B$41:$B$55,1,FALSE)),IF(WEEKDAY(B18+$B$35,3)=5,B18+($B$35+2),IF(WEEKDAY(B18+$B$35,3)=6,B18+($B$35+1),B18+$B$35)),B18+($B$35+1))</f>
        <v>44256</v>
      </c>
      <c r="E19" s="157" t="s">
        <v>85</v>
      </c>
      <c r="F19" s="157" t="s">
        <v>85</v>
      </c>
      <c r="G19" s="163" t="s">
        <v>85</v>
      </c>
      <c r="H19" s="165">
        <f>IF(ISNA(VLOOKUP(B18+$B$38,$B$41:$B$55,1,FALSE)),IF(WEEKDAY(B18+$B$38,3)=5,B18+$B$38+2,IF(WEEKDAY(B18+$B$38,3)=6,B18+$B$38+1,B18+$B$38)),B18+$B$38+1)</f>
        <v>44263</v>
      </c>
      <c r="I19" s="167">
        <v>0.02</v>
      </c>
    </row>
    <row r="20" spans="1:12" s="111" customFormat="1" ht="15.75" x14ac:dyDescent="0.25">
      <c r="A20" s="91" t="s">
        <v>194</v>
      </c>
      <c r="B20" s="224"/>
      <c r="C20" s="277"/>
      <c r="D20" s="277"/>
      <c r="E20" s="160"/>
      <c r="F20" s="160"/>
      <c r="G20" s="112"/>
      <c r="H20" s="159"/>
      <c r="I20" s="156"/>
    </row>
    <row r="21" spans="1:12" ht="15.75" x14ac:dyDescent="0.25">
      <c r="A21" s="93" t="s">
        <v>186</v>
      </c>
      <c r="B21" s="94">
        <f>EOMONTH(B18,1)</f>
        <v>44227</v>
      </c>
      <c r="C21" s="104">
        <f t="shared" si="0"/>
        <v>16</v>
      </c>
      <c r="D21" s="117">
        <f>IF(ISNA(VLOOKUP(B21+$B$34,$B$41:$B$55,1,FALSE)),IF(WEEKDAY(B21+$B$34,3)=5,B21+($B$34+2),IF(WEEKDAY(B21+$B$34,3)=6,B21+($B$34+1),B21+$B$34)),B21+($B$34+1))</f>
        <v>44243</v>
      </c>
      <c r="E21" s="157">
        <f>_xlfn.DAYS(F21,B21)</f>
        <v>-336</v>
      </c>
      <c r="F21" s="158">
        <v>43891</v>
      </c>
      <c r="G21" s="163" t="s">
        <v>85</v>
      </c>
      <c r="H21" s="271" t="s">
        <v>85</v>
      </c>
      <c r="I21" s="272"/>
    </row>
    <row r="22" spans="1:12" ht="15.75" x14ac:dyDescent="0.25">
      <c r="A22" s="93" t="s">
        <v>187</v>
      </c>
      <c r="B22" s="94">
        <f>EOMONTH(B21,1)</f>
        <v>44255</v>
      </c>
      <c r="C22" s="104">
        <f t="shared" si="0"/>
        <v>15</v>
      </c>
      <c r="D22" s="117">
        <f>IF(ISNA(VLOOKUP(B22+$B$34,$B$41:$B$55,1,FALSE)),IF(WEEKDAY(B22+$B$34,3)=5,B22+($B$34+2),IF(WEEKDAY(B22+$B$34,3)=6,B22+($B$34+1),B22+$B$34)),B22+($B$34+1))</f>
        <v>44270</v>
      </c>
      <c r="E22" s="157">
        <f>_xlfn.DAYS(F22,B22)</f>
        <v>30</v>
      </c>
      <c r="F22" s="158">
        <f>IF(ISNA(VLOOKUP(B22+$B$36,$B$41:$B$55,1,FALSE)),IF(WEEKDAY(B22+$B$36,3)=5,B22+$B$36+2,IF(WEEKDAY(B22+$B$36,3)=6,B22+$B$36+1,B22+$B$36)),B22+$B$36+1)</f>
        <v>44285</v>
      </c>
      <c r="G22" s="163" t="s">
        <v>85</v>
      </c>
      <c r="H22" s="273"/>
      <c r="I22" s="274"/>
    </row>
    <row r="23" spans="1:12" ht="15.75" x14ac:dyDescent="0.25">
      <c r="A23" s="228" t="s">
        <v>188</v>
      </c>
      <c r="B23" s="283">
        <f>EOMONTH(B22,1)</f>
        <v>44286</v>
      </c>
      <c r="C23" s="104">
        <f t="shared" si="0"/>
        <v>15</v>
      </c>
      <c r="D23" s="117">
        <f>IF(ISNA(VLOOKUP(B23+$B$34,$B$41:$B$55,1,FALSE)),IF(WEEKDAY(B23+$B$34,3)=5,B23+($B$34+2),IF(WEEKDAY(B23+$B$34,3)=6,B23+($B$34+1),B23+$B$34)),B23+($B$34+1))</f>
        <v>44301</v>
      </c>
      <c r="E23" s="157">
        <f>_xlfn.DAYS(F23,B23)</f>
        <v>30</v>
      </c>
      <c r="F23" s="158">
        <f>IF(ISNA(VLOOKUP(B23+$B$36,$B$41:$B$55,1,FALSE)),IF(WEEKDAY(B23+$B$36,3)=5,B23+$B$36+2,IF(WEEKDAY(B23+$B$36,3)=6,B23+$B$36+1,B23+$B$36)),B23+$B$36+1)</f>
        <v>44316</v>
      </c>
      <c r="G23" s="162">
        <f>_xlfn.DAYS(H23,B23)</f>
        <v>-44286</v>
      </c>
      <c r="H23" s="275"/>
      <c r="I23" s="276"/>
    </row>
    <row r="24" spans="1:12" ht="15.75" x14ac:dyDescent="0.25">
      <c r="A24" s="231" t="s">
        <v>62</v>
      </c>
      <c r="B24" s="284"/>
      <c r="C24" s="104">
        <f>_xlfn.DAYS(D24,B23)</f>
        <v>62</v>
      </c>
      <c r="D24" s="117">
        <f>IF(ISNA(VLOOKUP(B23+$B$35,$B$41:$B$55,1,FALSE)),IF(WEEKDAY(B23+$B$35,3)=5,B23+($B$35+2),IF(WEEKDAY(B23+$B$35,3)=6,B23+($B$35+1),B23+$B$35)),B23+($B$35+1))+1</f>
        <v>44348</v>
      </c>
      <c r="E24" s="157" t="s">
        <v>85</v>
      </c>
      <c r="F24" s="157" t="s">
        <v>85</v>
      </c>
      <c r="G24" s="163" t="s">
        <v>85</v>
      </c>
      <c r="H24" s="165">
        <f>IF(ISNA(VLOOKUP(B23+$B$38,$B$41:$B$55,1,FALSE)),IF(WEEKDAY(B23+$B$38,3)=5,B23+$B$38+2,IF(WEEKDAY(B23+$B$38,3)=6,B23+$B$38+1,B18+$B$38)),B23+$B$38+1)</f>
        <v>44354</v>
      </c>
      <c r="I24" s="167">
        <v>0.02</v>
      </c>
    </row>
    <row r="25" spans="1:12" s="111" customFormat="1" ht="15.75" x14ac:dyDescent="0.25">
      <c r="A25" s="91" t="s">
        <v>195</v>
      </c>
      <c r="B25" s="224"/>
      <c r="C25" s="277"/>
      <c r="D25" s="277"/>
      <c r="E25" s="160"/>
      <c r="F25" s="159"/>
      <c r="G25" s="112"/>
      <c r="H25" s="159"/>
      <c r="I25" s="156"/>
    </row>
    <row r="26" spans="1:12" ht="15.75" x14ac:dyDescent="0.25">
      <c r="A26" s="93" t="s">
        <v>189</v>
      </c>
      <c r="B26" s="94">
        <f>EOMONTH(B23,1)</f>
        <v>44316</v>
      </c>
      <c r="C26" s="104">
        <f t="shared" si="0"/>
        <v>17</v>
      </c>
      <c r="D26" s="117">
        <f>IF(ISNA(VLOOKUP(B26+$B$34,$B$41:$B$55,1,FALSE)),IF(WEEKDAY(B26+$B$34,3)=5,B26+($B$34+2),IF(WEEKDAY(B26+$B$34,3)=6,B26+($B$34+1),B26+$B$34)),B26+($B$34+1))</f>
        <v>44333</v>
      </c>
      <c r="E26" s="157">
        <f>_xlfn.DAYS(F26,B26)</f>
        <v>-335</v>
      </c>
      <c r="F26" s="158">
        <v>43981</v>
      </c>
      <c r="G26" s="163" t="s">
        <v>85</v>
      </c>
      <c r="H26" s="271" t="s">
        <v>85</v>
      </c>
      <c r="I26" s="272"/>
    </row>
    <row r="27" spans="1:12" ht="15.75" x14ac:dyDescent="0.25">
      <c r="A27" s="93" t="s">
        <v>190</v>
      </c>
      <c r="B27" s="94">
        <f>EOMONTH(B26,1)</f>
        <v>44347</v>
      </c>
      <c r="C27" s="104">
        <f t="shared" si="0"/>
        <v>16</v>
      </c>
      <c r="D27" s="117">
        <v>44363</v>
      </c>
      <c r="E27" s="157">
        <f>_xlfn.DAYS(F27,B27)</f>
        <v>30</v>
      </c>
      <c r="F27" s="158">
        <f>IF(ISNA(VLOOKUP(B27+$B$36,$B$41:$B$55,1,FALSE)),IF(WEEKDAY(B27+$B$36,3)=5,B27+$B$36+2,IF(WEEKDAY(B27+$B$36,3)=6,B27+$B$36+1,B27+$B$36)),B27+$B$36+1)</f>
        <v>44377</v>
      </c>
      <c r="G27" s="163" t="s">
        <v>85</v>
      </c>
      <c r="H27" s="273"/>
      <c r="I27" s="274"/>
    </row>
    <row r="28" spans="1:12" ht="15.75" x14ac:dyDescent="0.25">
      <c r="A28" s="228" t="s">
        <v>191</v>
      </c>
      <c r="B28" s="283">
        <f>EOMONTH(B27,1)</f>
        <v>44377</v>
      </c>
      <c r="C28" s="104">
        <f t="shared" si="0"/>
        <v>15</v>
      </c>
      <c r="D28" s="117">
        <f>IF(ISNA(VLOOKUP(B28+$B$34,$B$41:$B$55,1,FALSE)),IF(WEEKDAY(B28+$B$34,3)=5,B28+($B$34+2),IF(WEEKDAY(B28+$B$34,3)=6,B28+($B$34+1),B28+$B$34)),B28+($B$34+1))</f>
        <v>44392</v>
      </c>
      <c r="E28" s="157">
        <f>_xlfn.DAYS(F28,B28)</f>
        <v>30</v>
      </c>
      <c r="F28" s="158">
        <f>IF(ISNA(VLOOKUP(B28+$B$36,$B$41:$B$55,1,FALSE)),IF(WEEKDAY(B28+$B$36,3)=5,B28+$B$36+2,IF(WEEKDAY(B28+$B$36,3)=6,B28+$B$36+1,B28+$B$36)),B28+$B$36+1)</f>
        <v>44407</v>
      </c>
      <c r="G28" s="162">
        <f>_xlfn.DAYS(H28,B28)</f>
        <v>-44377</v>
      </c>
      <c r="H28" s="275"/>
      <c r="I28" s="276"/>
    </row>
    <row r="29" spans="1:12" ht="15.75" x14ac:dyDescent="0.25">
      <c r="A29" s="231" t="s">
        <v>68</v>
      </c>
      <c r="B29" s="284"/>
      <c r="C29" s="104">
        <f>_xlfn.DAYS(D29,B28)</f>
        <v>61</v>
      </c>
      <c r="D29" s="117">
        <f>IF(ISNA(VLOOKUP(B28+$B$35,$B$41:$B$55,1,FALSE)),IF(WEEKDAY(B28+$B$35,3)=5,B28+($B$35+2),IF(WEEKDAY(B28+$B$35,3)=6,B28+($B$35+1),B28+$B$35)),B28+($B$35+1))</f>
        <v>44438</v>
      </c>
      <c r="E29" s="157" t="s">
        <v>85</v>
      </c>
      <c r="F29" s="157" t="s">
        <v>85</v>
      </c>
      <c r="G29" s="164" t="s">
        <v>85</v>
      </c>
      <c r="H29" s="165">
        <v>44446</v>
      </c>
      <c r="I29" s="167">
        <v>0.02</v>
      </c>
      <c r="L29" s="108"/>
    </row>
    <row r="30" spans="1:12" ht="15.75" x14ac:dyDescent="0.25">
      <c r="A30" s="88" t="s">
        <v>69</v>
      </c>
    </row>
    <row r="31" spans="1:12" ht="15.75" x14ac:dyDescent="0.25">
      <c r="A31" s="89" t="s">
        <v>70</v>
      </c>
    </row>
    <row r="32" spans="1:12" ht="15.75" x14ac:dyDescent="0.25">
      <c r="A32" s="89"/>
    </row>
    <row r="33" spans="1:2" ht="15.75" x14ac:dyDescent="0.25">
      <c r="A33" s="279" t="s">
        <v>92</v>
      </c>
      <c r="B33" s="280"/>
    </row>
    <row r="34" spans="1:2" ht="15.75" x14ac:dyDescent="0.25">
      <c r="A34" s="126" t="s">
        <v>93</v>
      </c>
      <c r="B34" s="227">
        <v>15</v>
      </c>
    </row>
    <row r="35" spans="1:2" ht="15.75" x14ac:dyDescent="0.25">
      <c r="A35" s="126" t="s">
        <v>94</v>
      </c>
      <c r="B35" s="227">
        <v>60</v>
      </c>
    </row>
    <row r="36" spans="1:2" ht="15.75" x14ac:dyDescent="0.25">
      <c r="A36" s="131" t="s">
        <v>77</v>
      </c>
      <c r="B36" s="227">
        <v>30</v>
      </c>
    </row>
    <row r="37" spans="1:2" ht="15.75" x14ac:dyDescent="0.25">
      <c r="A37" s="126" t="s">
        <v>95</v>
      </c>
      <c r="B37" s="227">
        <v>50</v>
      </c>
    </row>
    <row r="38" spans="1:2" ht="15.75" x14ac:dyDescent="0.25">
      <c r="A38" s="126" t="s">
        <v>96</v>
      </c>
      <c r="B38" s="227">
        <v>67</v>
      </c>
    </row>
    <row r="40" spans="1:2" ht="15.75" x14ac:dyDescent="0.25">
      <c r="A40" s="278" t="s">
        <v>192</v>
      </c>
      <c r="B40" s="278"/>
    </row>
    <row r="41" spans="1:2" ht="15.75" x14ac:dyDescent="0.25">
      <c r="A41" s="126" t="s">
        <v>98</v>
      </c>
      <c r="B41" s="115">
        <v>43976</v>
      </c>
    </row>
    <row r="42" spans="1:2" ht="15.75" x14ac:dyDescent="0.25">
      <c r="A42" s="126" t="s">
        <v>99</v>
      </c>
      <c r="B42" s="115">
        <v>44015</v>
      </c>
    </row>
    <row r="43" spans="1:2" ht="15.75" x14ac:dyDescent="0.25">
      <c r="A43" s="126" t="s">
        <v>100</v>
      </c>
      <c r="B43" s="115">
        <v>44081</v>
      </c>
    </row>
    <row r="44" spans="1:2" ht="15.75" x14ac:dyDescent="0.25">
      <c r="A44" s="126" t="s">
        <v>101</v>
      </c>
      <c r="B44" s="115">
        <v>44116</v>
      </c>
    </row>
    <row r="45" spans="1:2" ht="15.75" x14ac:dyDescent="0.25">
      <c r="A45" s="126" t="s">
        <v>102</v>
      </c>
      <c r="B45" s="115">
        <v>43774</v>
      </c>
    </row>
    <row r="46" spans="1:2" ht="15.75" x14ac:dyDescent="0.25">
      <c r="A46" s="126" t="s">
        <v>103</v>
      </c>
      <c r="B46" s="115">
        <v>44146</v>
      </c>
    </row>
    <row r="47" spans="1:2" ht="15.75" x14ac:dyDescent="0.25">
      <c r="A47" s="126" t="s">
        <v>104</v>
      </c>
      <c r="B47" s="115">
        <v>44161</v>
      </c>
    </row>
    <row r="48" spans="1:2" ht="15.75" x14ac:dyDescent="0.25">
      <c r="A48" s="126" t="s">
        <v>105</v>
      </c>
      <c r="B48" s="115">
        <v>44162</v>
      </c>
    </row>
    <row r="49" spans="1:2" ht="15.75" x14ac:dyDescent="0.25">
      <c r="A49" s="126" t="s">
        <v>106</v>
      </c>
      <c r="B49" s="115">
        <v>44190</v>
      </c>
    </row>
    <row r="50" spans="1:2" ht="15.75" x14ac:dyDescent="0.25">
      <c r="A50" s="126" t="s">
        <v>107</v>
      </c>
      <c r="B50" s="115">
        <v>43831</v>
      </c>
    </row>
    <row r="51" spans="1:2" ht="15.75" x14ac:dyDescent="0.25">
      <c r="A51" s="126" t="s">
        <v>108</v>
      </c>
      <c r="B51" s="115">
        <v>44214</v>
      </c>
    </row>
    <row r="52" spans="1:2" ht="15.75" x14ac:dyDescent="0.25">
      <c r="A52" s="126" t="s">
        <v>109</v>
      </c>
      <c r="B52" s="115">
        <v>44242</v>
      </c>
    </row>
    <row r="53" spans="1:2" ht="15.75" x14ac:dyDescent="0.25">
      <c r="A53" s="126" t="s">
        <v>98</v>
      </c>
      <c r="B53" s="115">
        <v>44347</v>
      </c>
    </row>
    <row r="54" spans="1:2" ht="15.75" x14ac:dyDescent="0.25">
      <c r="A54" s="126" t="s">
        <v>99</v>
      </c>
      <c r="B54" s="115">
        <v>44382</v>
      </c>
    </row>
    <row r="55" spans="1:2" ht="15.75" x14ac:dyDescent="0.25">
      <c r="A55" s="126" t="s">
        <v>100</v>
      </c>
      <c r="B55" s="115">
        <v>44445</v>
      </c>
    </row>
  </sheetData>
  <customSheetViews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3">
    <mergeCell ref="A3:B3"/>
    <mergeCell ref="C3:D3"/>
    <mergeCell ref="E3:F3"/>
    <mergeCell ref="G3:I3"/>
    <mergeCell ref="H11:I13"/>
    <mergeCell ref="H6:I8"/>
    <mergeCell ref="B8:B9"/>
    <mergeCell ref="B13:B14"/>
    <mergeCell ref="A1:I1"/>
    <mergeCell ref="A2:B2"/>
    <mergeCell ref="C2:D2"/>
    <mergeCell ref="E2:F2"/>
    <mergeCell ref="G2:I2"/>
    <mergeCell ref="A40:B40"/>
    <mergeCell ref="A33:B33"/>
    <mergeCell ref="B18:B19"/>
    <mergeCell ref="B23:B24"/>
    <mergeCell ref="B28:B29"/>
    <mergeCell ref="H16:I18"/>
    <mergeCell ref="H21:I23"/>
    <mergeCell ref="H26:I28"/>
    <mergeCell ref="C20:D20"/>
    <mergeCell ref="C25:D25"/>
  </mergeCells>
  <conditionalFormatting sqref="A24 A20:C20 E20:I20 A29 A25:C25 E25:I25 A15:I15 A11:H11 A12:G13 A10:I10 A6:H6 A7:G8 A19 A16:H16 A17:G18 A21:H21 A22:G23 A26:H26 A28:G28 A27 C27:G27 C9:I9 A9 A14 C14:I14 C19:I19 C24:I24 C29:I29">
    <cfRule type="expression" dxfId="9" priority="1">
      <formula>ISNA(VLOOKUP(A6,$B$41:$B$55,1,FALSE))=FALSE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8"/>
  <sheetViews>
    <sheetView workbookViewId="0">
      <selection activeCell="B34" sqref="A34:XFD34"/>
    </sheetView>
  </sheetViews>
  <sheetFormatPr defaultColWidth="8.85546875" defaultRowHeight="18.75" x14ac:dyDescent="0.3"/>
  <cols>
    <col min="1" max="1" width="4" style="96" customWidth="1"/>
    <col min="2" max="2" width="35.42578125" customWidth="1"/>
    <col min="3" max="3" width="12.28515625" customWidth="1"/>
    <col min="4" max="4" width="12.140625" customWidth="1"/>
    <col min="5" max="5" width="14.7109375" customWidth="1"/>
    <col min="6" max="6" width="9.5703125" hidden="1" customWidth="1"/>
    <col min="7" max="7" width="12.85546875" customWidth="1"/>
    <col min="8" max="8" width="9.28515625" hidden="1" customWidth="1"/>
    <col min="9" max="9" width="22" customWidth="1"/>
    <col min="10" max="10" width="26.85546875" style="96" bestFit="1" customWidth="1"/>
    <col min="11" max="11" width="19" hidden="1" customWidth="1"/>
    <col min="12" max="12" width="21" customWidth="1"/>
    <col min="13" max="13" width="12.85546875" style="96" customWidth="1"/>
    <col min="14" max="14" width="12" style="96" customWidth="1"/>
    <col min="15" max="15" width="18.28515625" style="96" customWidth="1"/>
    <col min="16" max="16" width="13.7109375" style="96" customWidth="1"/>
    <col min="17" max="17" width="14.42578125" style="96" customWidth="1"/>
    <col min="18" max="18" width="13.140625" style="96" hidden="1" customWidth="1"/>
    <col min="19" max="19" width="9.7109375" style="96" bestFit="1" customWidth="1"/>
    <col min="20" max="20" width="22" style="107" hidden="1" customWidth="1"/>
    <col min="21" max="21" width="14.5703125" style="107" hidden="1" customWidth="1"/>
    <col min="22" max="22" width="19.28515625" style="107" hidden="1" customWidth="1"/>
    <col min="23" max="23" width="19.5703125" style="107" hidden="1" customWidth="1"/>
  </cols>
  <sheetData>
    <row r="1" spans="2:23" ht="44.25" customHeight="1" x14ac:dyDescent="0.35">
      <c r="B1" s="309" t="s">
        <v>146</v>
      </c>
      <c r="C1" s="310"/>
      <c r="D1" s="311" t="s">
        <v>1</v>
      </c>
      <c r="E1" s="311"/>
      <c r="F1" s="311"/>
      <c r="G1" s="312"/>
      <c r="H1" s="332" t="s">
        <v>110</v>
      </c>
      <c r="I1" s="333"/>
      <c r="J1" s="217" t="s">
        <v>172</v>
      </c>
      <c r="K1" s="334" t="s">
        <v>145</v>
      </c>
      <c r="L1" s="335"/>
      <c r="M1" s="299" t="s">
        <v>147</v>
      </c>
      <c r="N1" s="300"/>
      <c r="O1" s="300"/>
      <c r="P1" s="300"/>
      <c r="Q1" s="300"/>
      <c r="R1" s="300"/>
      <c r="S1" s="329"/>
      <c r="T1" s="327" t="s">
        <v>111</v>
      </c>
      <c r="U1" s="313"/>
      <c r="V1" s="313"/>
      <c r="W1" s="313"/>
    </row>
    <row r="2" spans="2:23" ht="21" customHeight="1" x14ac:dyDescent="0.35">
      <c r="B2" s="314" t="s">
        <v>148</v>
      </c>
      <c r="C2" s="315"/>
      <c r="D2" s="316" t="s">
        <v>112</v>
      </c>
      <c r="E2" s="316"/>
      <c r="F2" s="316"/>
      <c r="G2" s="317"/>
      <c r="H2" s="336" t="s">
        <v>112</v>
      </c>
      <c r="I2" s="337"/>
      <c r="J2" s="218" t="s">
        <v>112</v>
      </c>
      <c r="K2" s="338" t="s">
        <v>143</v>
      </c>
      <c r="L2" s="339"/>
      <c r="M2" s="301" t="s">
        <v>80</v>
      </c>
      <c r="N2" s="302"/>
      <c r="O2" s="302"/>
      <c r="P2" s="302"/>
      <c r="Q2" s="302"/>
      <c r="R2" s="302"/>
      <c r="S2" s="330"/>
      <c r="T2" s="327" t="s">
        <v>113</v>
      </c>
      <c r="U2" s="313"/>
      <c r="V2" s="313"/>
      <c r="W2" s="313"/>
    </row>
    <row r="3" spans="2:23" s="180" customFormat="1" ht="21" x14ac:dyDescent="0.35">
      <c r="B3" s="319" t="s">
        <v>149</v>
      </c>
      <c r="C3" s="320"/>
      <c r="D3" s="316" t="s">
        <v>144</v>
      </c>
      <c r="E3" s="316"/>
      <c r="F3" s="316"/>
      <c r="G3" s="317"/>
      <c r="H3" s="322" t="s">
        <v>171</v>
      </c>
      <c r="I3" s="323"/>
      <c r="J3" s="219" t="s">
        <v>173</v>
      </c>
      <c r="K3" s="324" t="s">
        <v>174</v>
      </c>
      <c r="L3" s="325"/>
      <c r="M3" s="303" t="s">
        <v>142</v>
      </c>
      <c r="N3" s="304"/>
      <c r="O3" s="304"/>
      <c r="P3" s="304"/>
      <c r="Q3" s="304"/>
      <c r="R3" s="304"/>
      <c r="S3" s="331"/>
      <c r="T3" s="328" t="s">
        <v>140</v>
      </c>
      <c r="U3" s="321"/>
      <c r="V3" s="321"/>
      <c r="W3" s="321"/>
    </row>
    <row r="4" spans="2:23" ht="131.25" x14ac:dyDescent="0.3">
      <c r="B4" s="193" t="s">
        <v>114</v>
      </c>
      <c r="C4" s="150" t="s">
        <v>24</v>
      </c>
      <c r="D4" s="97" t="s">
        <v>164</v>
      </c>
      <c r="E4" s="98" t="s">
        <v>165</v>
      </c>
      <c r="F4" s="102" t="s">
        <v>115</v>
      </c>
      <c r="G4" s="102" t="s">
        <v>170</v>
      </c>
      <c r="H4" s="120" t="s">
        <v>116</v>
      </c>
      <c r="I4" s="103" t="s">
        <v>169</v>
      </c>
      <c r="J4" s="220" t="s">
        <v>153</v>
      </c>
      <c r="K4" s="171" t="s">
        <v>117</v>
      </c>
      <c r="L4" s="222" t="s">
        <v>154</v>
      </c>
      <c r="M4" s="100" t="s">
        <v>153</v>
      </c>
      <c r="N4" s="101" t="s">
        <v>152</v>
      </c>
      <c r="O4" s="101" t="s">
        <v>168</v>
      </c>
      <c r="P4" s="100" t="s">
        <v>151</v>
      </c>
      <c r="Q4" s="101" t="s">
        <v>150</v>
      </c>
      <c r="R4" s="181" t="s">
        <v>118</v>
      </c>
      <c r="S4" s="194" t="s">
        <v>160</v>
      </c>
      <c r="T4" s="183" t="s">
        <v>119</v>
      </c>
      <c r="U4" s="105"/>
      <c r="V4" s="132" t="s">
        <v>120</v>
      </c>
      <c r="W4" s="106" t="s">
        <v>141</v>
      </c>
    </row>
    <row r="5" spans="2:23" s="74" customFormat="1" ht="15" x14ac:dyDescent="0.25">
      <c r="B5" s="215" t="s">
        <v>84</v>
      </c>
      <c r="C5" s="185"/>
      <c r="D5" s="307" t="s">
        <v>163</v>
      </c>
      <c r="E5" s="307"/>
      <c r="F5" s="307"/>
      <c r="G5" s="307"/>
      <c r="H5" s="185"/>
      <c r="I5" s="185"/>
      <c r="J5" s="185"/>
      <c r="K5" s="216"/>
      <c r="L5" s="185"/>
      <c r="M5" s="182"/>
      <c r="N5" s="185"/>
      <c r="O5" s="185"/>
      <c r="P5" s="185"/>
      <c r="Q5" s="185"/>
      <c r="R5" s="185"/>
      <c r="S5" s="199"/>
      <c r="T5" s="185"/>
      <c r="U5" s="185"/>
      <c r="V5" s="185"/>
      <c r="W5" s="143"/>
    </row>
    <row r="6" spans="2:23" ht="15.75" x14ac:dyDescent="0.25">
      <c r="B6" s="196" t="s">
        <v>91</v>
      </c>
      <c r="C6" s="135">
        <f>'Reporting Due Dates FY2021'!B8</f>
        <v>44012</v>
      </c>
      <c r="D6" s="104">
        <v>16</v>
      </c>
      <c r="E6" s="136">
        <f>'Reporting Due Dates FY2021'!D8</f>
        <v>44027</v>
      </c>
      <c r="F6" s="137">
        <f>_xlfn.DAYS(G6,E6)</f>
        <v>5</v>
      </c>
      <c r="G6" s="117">
        <f>WORKDAY(E6,$C$33,$C$43:$C$57)</f>
        <v>44032</v>
      </c>
      <c r="H6" s="138">
        <f>_xlfn.DAYS(I6,E6)</f>
        <v>6</v>
      </c>
      <c r="I6" s="139">
        <f>IF(ISNA(VLOOKUP(E6+$C$35,$C$43:$C$57,1,FALSE)),IF(WEEKDAY(E6+$C$35,3)=5,E6+$C$35+3,IF(WEEKDAY(E6+$C$35,3)=6,E6+$C$35+1,E6+$C$35)),E6+$C$35+1)</f>
        <v>44033</v>
      </c>
      <c r="J6" s="221">
        <f>IF(ISNA(VLOOKUP(E6+$C$35,$C$43:$C$57,1,FALSE)),IF(WEEKDAY(E6+$C$35,3)=5,E6+$C$35+2,IF(WEEKDAY(E6+$C$35,3)=6,E6+$C$35+1,E6+$C$35)),E6+$C$35+1)</f>
        <v>44032</v>
      </c>
      <c r="K6" s="169">
        <f>_xlfn.DAYS(L6,G6)</f>
        <v>9</v>
      </c>
      <c r="L6" s="170">
        <f>WORKDAY(G6,$C$36,$C$43:$C$57)</f>
        <v>44041</v>
      </c>
      <c r="M6" s="140">
        <f>IF(ISNA(VLOOKUP(E6+$C$35,$C$43:$C$57,1,FALSE)),IF(WEEKDAY(E6+$C$35,3)=5,E6+$C$35+2,IF(WEEKDAY(E6+$C$35,3)=6,E6+$C$35+1,E6+$C$35)),E6+$C$35+1)</f>
        <v>44032</v>
      </c>
      <c r="N6" s="140">
        <f>WORKDAY(L6,$C$37,$C$43:$C$57)</f>
        <v>44047</v>
      </c>
      <c r="O6" s="140">
        <f>WORKDAY(N6,$C$38,$C$43:$C$57)</f>
        <v>44054</v>
      </c>
      <c r="P6" s="140">
        <f>WORKDAY(O6,$C$39,$C$43:$C$57)</f>
        <v>44060</v>
      </c>
      <c r="Q6" s="140">
        <f>WORKDAY(P6,$C$39,$C$43:$C$57)</f>
        <v>44064</v>
      </c>
      <c r="R6" s="140">
        <f>WORKDAY(Q6,$C$40,$C$43:$C$57)</f>
        <v>44070</v>
      </c>
      <c r="S6" s="197" t="s">
        <v>49</v>
      </c>
      <c r="T6" s="184">
        <f>CEILING(EOMONTH(C6,1)-5,7)+9</f>
        <v>44053</v>
      </c>
      <c r="U6" s="141">
        <f>EDATE(T6,0)</f>
        <v>44053</v>
      </c>
      <c r="V6" s="141">
        <f>DATE(YEAR(U6),MONTH(U6),CHOOSE(WEEKDAY(DATE(YEAR(U6),MONTH(U6),4)),2,1,7,6,5,4,3))</f>
        <v>44050</v>
      </c>
      <c r="W6" s="141">
        <f>IF(DAY(V6)&gt;5,V6,V6+7)</f>
        <v>44050</v>
      </c>
    </row>
    <row r="7" spans="2:23" ht="15.75" x14ac:dyDescent="0.25">
      <c r="B7" s="198" t="s">
        <v>137</v>
      </c>
      <c r="C7" s="142">
        <v>43646</v>
      </c>
      <c r="D7" s="104">
        <v>60</v>
      </c>
      <c r="E7" s="136">
        <f>'Reporting Due Dates FY2021'!D9</f>
        <v>44074</v>
      </c>
      <c r="F7" s="137">
        <f>_xlfn.DAYS(G7,E7)</f>
        <v>3</v>
      </c>
      <c r="G7" s="117">
        <f>WORKDAY(E7,$C$33,$C$43:$C$57)</f>
        <v>44077</v>
      </c>
      <c r="H7" s="138">
        <f>_xlfn.DAYS(I7,E7)</f>
        <v>3</v>
      </c>
      <c r="I7" s="139">
        <f>IF(ISNA(VLOOKUP(E7+$C$35,$C$43:$C$57,1,FALSE)),IF(WEEKDAY(E7+$C$35,3)=5,E7+$C$35+3,IF(WEEKDAY(E7+$C$35,3)=6,E7+$C$35+1,E7+$C$35)),E7+$C$35+1)</f>
        <v>44077</v>
      </c>
      <c r="J7" s="221">
        <f>IF(ISNA(VLOOKUP(E7+$C$35,$C$43:$C$57,1,FALSE)),IF(WEEKDAY(E7+$C$35,3)=5,E7+$C$35+3,IF(WEEKDAY(E7+$C$35,3)=6,E7+$C$35+1,E7+$C$35)),E7+$C$35+1)</f>
        <v>44077</v>
      </c>
      <c r="K7" s="169">
        <f>_xlfn.DAYS(L7,G7)</f>
        <v>-342</v>
      </c>
      <c r="L7" s="170">
        <v>43735</v>
      </c>
      <c r="M7" s="140">
        <f>IF(ISNA(VLOOKUP(E7+$C$35,$C$43:$C$57,1,FALSE)),IF(WEEKDAY(E7+$C$35,3)=5,E7+$C$35+2,IF(WEEKDAY(E7+$C$35,3)=6,E7+$C$35+1,E7+$C$35)),E7+$C$35+1)</f>
        <v>44077</v>
      </c>
      <c r="N7" s="140">
        <f>WORKDAY(L7,$C$37,$C$43:$C$57)</f>
        <v>43741</v>
      </c>
      <c r="O7" s="140">
        <f>WORKDAY(N7,$C$38,$C$43:$C$57)</f>
        <v>43748</v>
      </c>
      <c r="P7" s="140">
        <f>WORKDAY(O7,$C$39,$C$43:$C$57)</f>
        <v>43755</v>
      </c>
      <c r="Q7" s="140">
        <f>WORKDAY(P7,$C$39,$C$43:$C$57)</f>
        <v>43761</v>
      </c>
      <c r="R7" s="140">
        <f>WORKDAY(Q7,$C$40,$C$43:$C$57)</f>
        <v>43767</v>
      </c>
      <c r="S7" s="197" t="s">
        <v>51</v>
      </c>
      <c r="T7" s="184">
        <f>CEILING(EOMONTH(C7,3)-5,7)+9</f>
        <v>43745</v>
      </c>
      <c r="U7" s="141">
        <f>EDATE(T7,0)</f>
        <v>43745</v>
      </c>
      <c r="V7" s="141">
        <f>DATE(YEAR(U7),MONTH(U7),CHOOSE(WEEKDAY(DATE(YEAR(U7),MONTH(U7),4)),2,1,7,6,5,4,3))</f>
        <v>43742</v>
      </c>
      <c r="W7" s="141">
        <f>IF(DAY(V7)&gt;5,V7,V7+7)</f>
        <v>43749</v>
      </c>
    </row>
    <row r="8" spans="2:23" ht="15.75" x14ac:dyDescent="0.25">
      <c r="B8" s="195" t="s">
        <v>86</v>
      </c>
      <c r="C8" s="185"/>
      <c r="D8" s="307" t="s">
        <v>163</v>
      </c>
      <c r="E8" s="307"/>
      <c r="F8" s="307"/>
      <c r="G8" s="307"/>
      <c r="H8" s="185"/>
      <c r="I8" s="185"/>
      <c r="J8" s="185"/>
      <c r="K8" s="172"/>
      <c r="L8" s="173"/>
      <c r="M8" s="182"/>
      <c r="N8" s="185"/>
      <c r="O8" s="185"/>
      <c r="P8" s="185"/>
      <c r="Q8" s="185"/>
      <c r="R8" s="185"/>
      <c r="S8" s="199"/>
      <c r="T8" s="152"/>
      <c r="U8" s="152"/>
      <c r="V8" s="152"/>
      <c r="W8" s="143"/>
    </row>
    <row r="9" spans="2:23" ht="15.75" x14ac:dyDescent="0.25">
      <c r="B9" s="196" t="s">
        <v>121</v>
      </c>
      <c r="C9" s="135">
        <f>'Reporting Due Dates FY2021'!B11</f>
        <v>44043</v>
      </c>
      <c r="D9" s="104">
        <v>15</v>
      </c>
      <c r="E9" s="136">
        <f>'Reporting Due Dates FY2021'!D11</f>
        <v>44060</v>
      </c>
      <c r="F9" s="137">
        <f>_xlfn.DAYS(G9,E9)</f>
        <v>3</v>
      </c>
      <c r="G9" s="117">
        <f>WORKDAY(E9,$C$33,$C$43:$C$57)</f>
        <v>44063</v>
      </c>
      <c r="H9" s="138">
        <f>_xlfn.DAYS(I9,E9)</f>
        <v>3</v>
      </c>
      <c r="I9" s="139">
        <f>IF(ISNA(VLOOKUP(E9+$C$35,$C$43:$C$57,1,FALSE)),IF(WEEKDAY(E9+$C$35,3)=5,E9+$C$35+3,IF(WEEKDAY(E9+$C$35,3)=6,E9+$C$35+1,E9+$C$35)),E9+$C$35+1)</f>
        <v>44063</v>
      </c>
      <c r="J9" s="175"/>
      <c r="K9" s="169">
        <f>_xlfn.DAYS(L9,G9)</f>
        <v>11</v>
      </c>
      <c r="L9" s="170">
        <f>WORKDAY(G9,$C$36,$C$43:$C$57)</f>
        <v>44074</v>
      </c>
      <c r="M9" s="175"/>
      <c r="N9" s="140">
        <f>WORKDAY(L9,$C$37,$C$43:$C$57)</f>
        <v>44078</v>
      </c>
      <c r="O9" s="176"/>
      <c r="P9" s="176"/>
      <c r="Q9" s="176"/>
      <c r="R9" s="144"/>
      <c r="S9" s="197" t="s">
        <v>46</v>
      </c>
      <c r="T9" s="184">
        <v>43717</v>
      </c>
      <c r="U9" s="141">
        <f>EDATE(T9,0)</f>
        <v>43717</v>
      </c>
      <c r="V9" s="141">
        <v>43721</v>
      </c>
      <c r="W9" s="141">
        <f>IF(DAY(V9)&gt;5,V9,V9+7)</f>
        <v>43721</v>
      </c>
    </row>
    <row r="10" spans="2:23" ht="15.75" x14ac:dyDescent="0.25">
      <c r="B10" s="196" t="s">
        <v>122</v>
      </c>
      <c r="C10" s="135">
        <f>'Reporting Due Dates FY2021'!B12</f>
        <v>44074</v>
      </c>
      <c r="D10" s="104">
        <v>17</v>
      </c>
      <c r="E10" s="136">
        <f>'Reporting Due Dates FY2021'!D12</f>
        <v>44089</v>
      </c>
      <c r="F10" s="137">
        <f t="shared" ref="F10:F27" si="0">_xlfn.DAYS(G10,E10)</f>
        <v>3</v>
      </c>
      <c r="G10" s="117">
        <f>WORKDAY(E10,$C$33,$C$43:$C$57)</f>
        <v>44092</v>
      </c>
      <c r="H10" s="138">
        <f t="shared" ref="H10:H27" si="1">_xlfn.DAYS(I10,E10)</f>
        <v>3</v>
      </c>
      <c r="I10" s="139">
        <f>IF(ISNA(VLOOKUP(E10+$C$35,$C$43:$C$57,1,FALSE)),IF(WEEKDAY(E10+$C$35,3)=5,E10+$C$35+3,IF(WEEKDAY(E10+$C$35,3)=6,E10+$C$35+1,E10+$C$35)),E10+$C$35+1)</f>
        <v>44092</v>
      </c>
      <c r="J10" s="175"/>
      <c r="K10" s="169">
        <f>_xlfn.DAYS(L10,G10)</f>
        <v>11</v>
      </c>
      <c r="L10" s="170">
        <f>WORKDAY(G10,$C$36,$C$43:$C$57)</f>
        <v>44103</v>
      </c>
      <c r="M10" s="175"/>
      <c r="N10" s="140">
        <f>WORKDAY(L10,$C$37,$C$43:$C$57)</f>
        <v>44109</v>
      </c>
      <c r="O10" s="176"/>
      <c r="P10" s="176"/>
      <c r="Q10" s="176"/>
      <c r="R10" s="144"/>
      <c r="S10" s="197" t="s">
        <v>46</v>
      </c>
      <c r="T10" s="184">
        <f>CEILING(EOMONTH(C10,1)-5,7)+9</f>
        <v>44109</v>
      </c>
      <c r="U10" s="141">
        <f>EDATE(T10,0)</f>
        <v>44109</v>
      </c>
      <c r="V10" s="141">
        <f>DATE(YEAR(U10),MONTH(U10),CHOOSE(WEEKDAY(DATE(YEAR(U10),MONTH(U10),4)),2,1,7,6,5,4,3))</f>
        <v>44106</v>
      </c>
      <c r="W10" s="141">
        <f>IF(DAY(V10)&gt;5,V10,V10+7)</f>
        <v>44113</v>
      </c>
    </row>
    <row r="11" spans="2:23" ht="16.5" thickBot="1" x14ac:dyDescent="0.3">
      <c r="B11" s="200" t="s">
        <v>123</v>
      </c>
      <c r="C11" s="135">
        <f>'Reporting Due Dates FY2021'!B13</f>
        <v>44104</v>
      </c>
      <c r="D11" s="104">
        <v>16</v>
      </c>
      <c r="E11" s="136">
        <f>'Reporting Due Dates FY2021'!D13</f>
        <v>44119</v>
      </c>
      <c r="F11" s="137">
        <f t="shared" si="0"/>
        <v>5</v>
      </c>
      <c r="G11" s="117">
        <f>WORKDAY(E11,$C$33,$C$43:$C$57)</f>
        <v>44124</v>
      </c>
      <c r="H11" s="138">
        <f t="shared" si="1"/>
        <v>4</v>
      </c>
      <c r="I11" s="139">
        <f>IF(ISNA(VLOOKUP(E11+$C$35,$C$43:$C$57,1,FALSE)),IF(WEEKDAY(E11+$C$35,3)=5,E11+$C$35+3,IF(WEEKDAY(E11+$C$35,3)=6,E11+$C$35+1,E11+$C$35)),E11+$C$35+1)</f>
        <v>44123</v>
      </c>
      <c r="J11" s="221">
        <f>IF(ISNA(VLOOKUP(E11+$C$35,$C$43:$C$57,1,FALSE)),IF(WEEKDAY(E11+$C$35,3)=5,E11+$C$35+2,IF(WEEKDAY(E11+$C$35,3)=6,E11+$C$35+1,E11+$C$35)),E11+$C$35+1)</f>
        <v>44123</v>
      </c>
      <c r="K11" s="169">
        <f>_xlfn.DAYS(L11,G11)</f>
        <v>9</v>
      </c>
      <c r="L11" s="170">
        <f>WORKDAY(G11,$C$36,$C$43:$C$57)</f>
        <v>44133</v>
      </c>
      <c r="M11" s="140">
        <f>IF(ISNA(VLOOKUP(E11+$C$35,$C$43:$C$57,1,FALSE)),IF(WEEKDAY(E11+$C$35,3)=5,E11+$C$35+2,IF(WEEKDAY(E11+$C$35,3)=6,E11+$C$35+1,E11+$C$35)),E11+$C$35+1)</f>
        <v>44123</v>
      </c>
      <c r="N11" s="140">
        <f>WORKDAY(L11,$C$37,$C$43:$C$57)</f>
        <v>44139</v>
      </c>
      <c r="O11" s="140">
        <f>WORKDAY(N11,$C$38,$C$43:$C$57)</f>
        <v>44146</v>
      </c>
      <c r="P11" s="140">
        <f>WORKDAY(O11,$C$39,$C$43:$C$57)</f>
        <v>44152</v>
      </c>
      <c r="Q11" s="140">
        <f>WORKDAY(P11,$C$39,$C$43:$C$57)</f>
        <v>44158</v>
      </c>
      <c r="R11" s="140">
        <f>WORKDAY(Q11,$C$40,$C$43:$C$57)</f>
        <v>44162</v>
      </c>
      <c r="S11" s="197" t="s">
        <v>49</v>
      </c>
      <c r="T11" s="184">
        <f>CEILING(EOMONTH(C11,1)-5,7)+9</f>
        <v>44144</v>
      </c>
      <c r="U11" s="141">
        <f>EDATE(T11,0)</f>
        <v>44144</v>
      </c>
      <c r="V11" s="141">
        <f>DATE(YEAR(U11),MONTH(U11),CHOOSE(WEEKDAY(DATE(YEAR(U11),MONTH(U11),4)),2,1,7,6,5,4,3))</f>
        <v>44141</v>
      </c>
      <c r="W11" s="141">
        <f t="shared" ref="W11:W21" si="2">IF(DAY(V11)&gt;5,V11,V11+7)</f>
        <v>44141</v>
      </c>
    </row>
    <row r="12" spans="2:23" ht="16.5" thickTop="1" x14ac:dyDescent="0.25">
      <c r="B12" s="198" t="s">
        <v>124</v>
      </c>
      <c r="C12" s="145">
        <v>43738</v>
      </c>
      <c r="D12" s="104">
        <v>60</v>
      </c>
      <c r="E12" s="136">
        <f>'Reporting Due Dates FY2021'!D14</f>
        <v>44165</v>
      </c>
      <c r="F12" s="137">
        <f t="shared" si="0"/>
        <v>3</v>
      </c>
      <c r="G12" s="117">
        <f>WORKDAY(E12,$C$33,$C$43:$C$57)</f>
        <v>44168</v>
      </c>
      <c r="H12" s="138">
        <f t="shared" si="1"/>
        <v>3</v>
      </c>
      <c r="I12" s="139">
        <f>IF(ISNA(VLOOKUP(E12+$C$35,$C$43:$C$57,1,FALSE)),IF(WEEKDAY(E12+$C$35,3)=5,E12+$C$35+3,IF(WEEKDAY(E12+$C$35,3)=6,E12+$C$35+1,E12+$C$35)),E12+$C$35+1)</f>
        <v>44168</v>
      </c>
      <c r="J12" s="221">
        <f>IF(ISNA(VLOOKUP(E12+$C$35,$C$43:$C$57,1,FALSE)),IF(WEEKDAY(E12+$C$35,3)=5,E12+$C$35+2,IF(WEEKDAY(E12+$C$35,3)=6,E12+$C$35+1,E12+$C$35)),E12+$C$35+1)</f>
        <v>44168</v>
      </c>
      <c r="K12" s="177">
        <f>_xlfn.DAYS(L12,G12)</f>
        <v>-339</v>
      </c>
      <c r="L12" s="178">
        <v>43829</v>
      </c>
      <c r="M12" s="140">
        <f>IF(ISNA(VLOOKUP(E12+$C$35,$C$43:$C$57,1,FALSE)),IF(WEEKDAY(E12+$C$35,3)=5,E12+$C$35+2,IF(WEEKDAY(E12+$C$35,3)=6,E12+$C$35+1,E12+$C$35)),E12+$C$35+1)</f>
        <v>44168</v>
      </c>
      <c r="N12" s="140">
        <f>WORKDAY(L12,$C$37,$C$43:$C$57)</f>
        <v>43836</v>
      </c>
      <c r="O12" s="140">
        <f>WORKDAY(N12,$C$38,$C$43:$C$57)</f>
        <v>43843</v>
      </c>
      <c r="P12" s="140">
        <f>WORKDAY(O12,$C$39,$C$43:$C$57)</f>
        <v>43847</v>
      </c>
      <c r="Q12" s="140">
        <f>WORKDAY(P12,$C$39,$C$43:$C$57)</f>
        <v>43854</v>
      </c>
      <c r="R12" s="140">
        <f>WORKDAY(Q12,$C$40,$C$43:$C$57)</f>
        <v>43860</v>
      </c>
      <c r="S12" s="197" t="s">
        <v>51</v>
      </c>
      <c r="T12" s="184">
        <f>CEILING(EOMONTH(C12,3)-5,7)+9</f>
        <v>43836</v>
      </c>
      <c r="U12" s="141">
        <f>EDATE(T12,0)</f>
        <v>43836</v>
      </c>
      <c r="V12" s="141">
        <f>DATE(YEAR(U12),MONTH(U12),CHOOSE(WEEKDAY(DATE(YEAR(U12),MONTH(U12),4)),2,1,7,6,5,4,3))</f>
        <v>43833</v>
      </c>
      <c r="W12" s="141">
        <f t="shared" si="2"/>
        <v>43840</v>
      </c>
    </row>
    <row r="13" spans="2:23" ht="15.75" x14ac:dyDescent="0.25">
      <c r="B13" s="195" t="s">
        <v>87</v>
      </c>
      <c r="C13" s="185"/>
      <c r="D13" s="307" t="s">
        <v>163</v>
      </c>
      <c r="E13" s="307"/>
      <c r="F13" s="307"/>
      <c r="G13" s="307"/>
      <c r="H13" s="185"/>
      <c r="I13" s="185"/>
      <c r="J13" s="185"/>
      <c r="K13" s="172"/>
      <c r="L13" s="173"/>
      <c r="M13" s="182"/>
      <c r="N13" s="185"/>
      <c r="O13" s="185"/>
      <c r="P13" s="185"/>
      <c r="Q13" s="185"/>
      <c r="R13" s="185"/>
      <c r="S13" s="199"/>
      <c r="T13" s="152"/>
      <c r="U13" s="152"/>
      <c r="V13" s="152"/>
      <c r="W13" s="143"/>
    </row>
    <row r="14" spans="2:23" ht="15.75" x14ac:dyDescent="0.25">
      <c r="B14" s="196" t="s">
        <v>125</v>
      </c>
      <c r="C14" s="135">
        <f>'Reporting Due Dates FY2021'!B16</f>
        <v>44135</v>
      </c>
      <c r="D14" s="104">
        <v>15</v>
      </c>
      <c r="E14" s="136">
        <f>'Reporting Due Dates FY2021'!D16</f>
        <v>44151</v>
      </c>
      <c r="F14" s="137">
        <f t="shared" si="0"/>
        <v>3</v>
      </c>
      <c r="G14" s="117">
        <f>WORKDAY(E14,$C$33,$C$43:$C$57)</f>
        <v>44154</v>
      </c>
      <c r="H14" s="138">
        <f>_xlfn.DAYS(I14,E14)</f>
        <v>3</v>
      </c>
      <c r="I14" s="139">
        <f xml:space="preserve"> IF(ISNA(VLOOKUP(E14+$C$35,$C$43:$C$57,1,FALSE)),IF(WEEKDAY(E14+$C$35,3)=5,E14+$C$35+3,IF(WEEKDAY(E14+$C$35,3)=6,E14+$C$35+2,E14+$C$35)),E14+$C$35+1)</f>
        <v>44154</v>
      </c>
      <c r="J14" s="175"/>
      <c r="K14" s="169">
        <f>_xlfn.DAYS(L14,G14)</f>
        <v>11</v>
      </c>
      <c r="L14" s="170">
        <f>WORKDAY(G14,$C$36,$C$43:$C$57)</f>
        <v>44165</v>
      </c>
      <c r="M14" s="175"/>
      <c r="N14" s="140">
        <f>WORKDAY(L14,$C$37,$C$43:$C$57)</f>
        <v>44169</v>
      </c>
      <c r="O14" s="176"/>
      <c r="P14" s="176"/>
      <c r="Q14" s="176"/>
      <c r="R14" s="144"/>
      <c r="S14" s="197" t="s">
        <v>46</v>
      </c>
      <c r="T14" s="184">
        <f>CEILING(EOMONTH(C14,1)-5,7)+2</f>
        <v>44165</v>
      </c>
      <c r="U14" s="141">
        <f>EDATE(T14,0)</f>
        <v>44165</v>
      </c>
      <c r="V14" s="141">
        <f>DATE(YEAR(U14),MONTH(U14),CHOOSE(WEEKDAY(DATE(YEAR(U14),MONTH(U14),4)),2,1,7,6,5,4,3))</f>
        <v>44141</v>
      </c>
      <c r="W14" s="141">
        <f t="shared" si="2"/>
        <v>44141</v>
      </c>
    </row>
    <row r="15" spans="2:23" ht="15.75" x14ac:dyDescent="0.25">
      <c r="B15" s="196" t="s">
        <v>126</v>
      </c>
      <c r="C15" s="135">
        <f>'Reporting Due Dates FY2021'!B17</f>
        <v>44165</v>
      </c>
      <c r="D15" s="104">
        <v>17</v>
      </c>
      <c r="E15" s="136">
        <f>'Reporting Due Dates FY2021'!D17</f>
        <v>44180</v>
      </c>
      <c r="F15" s="137">
        <f t="shared" si="0"/>
        <v>3</v>
      </c>
      <c r="G15" s="117">
        <f>WORKDAY(E15,$C$33,$C$43:$C$57)</f>
        <v>44183</v>
      </c>
      <c r="H15" s="138">
        <f t="shared" si="1"/>
        <v>3</v>
      </c>
      <c r="I15" s="139">
        <f xml:space="preserve"> IF(ISNA(VLOOKUP(E15+$C$35,$C$43:$C$57,1,FALSE)),IF(WEEKDAY(E15+$C$35,3)=5,E15+$C$35+3,IF(WEEKDAY(E15+$C$35,3)=6,E15+$C$35+2,E15+$C$35)),E15+$C$35+1)</f>
        <v>44183</v>
      </c>
      <c r="J15" s="175"/>
      <c r="K15" s="177">
        <f>_xlfn.DAYS(L15,G15)</f>
        <v>11</v>
      </c>
      <c r="L15" s="178">
        <f>WORKDAY(G15,$C$36,$C$43:$C$57)</f>
        <v>44194</v>
      </c>
      <c r="M15" s="175"/>
      <c r="N15" s="140">
        <f>WORKDAY(L15,$C$37,$C$43:$C$57)</f>
        <v>44200</v>
      </c>
      <c r="O15" s="176"/>
      <c r="P15" s="176"/>
      <c r="Q15" s="176"/>
      <c r="R15" s="144"/>
      <c r="S15" s="197" t="s">
        <v>46</v>
      </c>
      <c r="T15" s="184">
        <f>CEILING(EOMONTH(C15,1)-5,7)+9</f>
        <v>44200</v>
      </c>
      <c r="U15" s="141">
        <f>EDATE(T15,0)</f>
        <v>44200</v>
      </c>
      <c r="V15" s="141">
        <f>DATE(YEAR(U15),MONTH(U15),CHOOSE(WEEKDAY(DATE(YEAR(U15),MONTH(U15),4)),2,1,7,6,5,4,3))</f>
        <v>44197</v>
      </c>
      <c r="W15" s="141">
        <f t="shared" si="2"/>
        <v>44204</v>
      </c>
    </row>
    <row r="16" spans="2:23" ht="16.5" thickBot="1" x14ac:dyDescent="0.3">
      <c r="B16" s="200" t="s">
        <v>127</v>
      </c>
      <c r="C16" s="135">
        <f>'Reporting Due Dates FY2021'!B18</f>
        <v>44196</v>
      </c>
      <c r="D16" s="104">
        <v>15</v>
      </c>
      <c r="E16" s="136">
        <f>'Reporting Due Dates FY2021'!D18</f>
        <v>44211</v>
      </c>
      <c r="F16" s="137">
        <f t="shared" si="0"/>
        <v>5</v>
      </c>
      <c r="G16" s="117">
        <f>WORKDAY(E16,$C$33,$C$43:$C$57)</f>
        <v>44216</v>
      </c>
      <c r="H16" s="138">
        <f t="shared" si="1"/>
        <v>3</v>
      </c>
      <c r="I16" s="139">
        <f xml:space="preserve"> IF(ISNA(VLOOKUP(E16+$C$35,$C$43:$C$57,1,FALSE)),IF(WEEKDAY(E16+$C$35,3)=5,E16+$C$35+3,IF(WEEKDAY(E16+$C$35,3)=6,E16+$C$35+2,E16+$C$35)),E16+$C$35+1)</f>
        <v>44214</v>
      </c>
      <c r="J16" s="221">
        <f>IF(ISNA(VLOOKUP(E16+$C$35,$C$43:$C$57,1,FALSE)),IF(WEEKDAY(E16+$C$35,3)=5,E16+$C$35+3,IF(WEEKDAY(E16+$C$35,3)=6,E16+$C$35+1,E16+$C$35)),E16+$C$35+1)</f>
        <v>44214</v>
      </c>
      <c r="K16" s="169">
        <f>_xlfn.DAYS(L16,G16)</f>
        <v>9</v>
      </c>
      <c r="L16" s="170">
        <f>WORKDAY(G16,$C$36,$C$43:$C$57)</f>
        <v>44225</v>
      </c>
      <c r="M16" s="140">
        <f>IF(ISNA(VLOOKUP(E16+$C$35,$C$43:$C$57,1,FALSE)),IF(WEEKDAY(E16+$C$35,3)=5,E16+$C$35+2,IF(WEEKDAY(E16+$C$35,3)=6,E16+$C$35+1,E16+$C$35)),E16+$C$35+1)</f>
        <v>44214</v>
      </c>
      <c r="N16" s="140">
        <f>WORKDAY(L16,$C$37,$C$43:$C$57)</f>
        <v>44231</v>
      </c>
      <c r="O16" s="140">
        <f>WORKDAY(N16,$C$38,$C$43:$C$57)</f>
        <v>44238</v>
      </c>
      <c r="P16" s="140">
        <f>WORKDAY(O16,$C$39,$C$43:$C$57)</f>
        <v>44244</v>
      </c>
      <c r="Q16" s="140">
        <f>WORKDAY(P16,$C$39,$C$43:$C$57)</f>
        <v>44250</v>
      </c>
      <c r="R16" s="140">
        <f>WORKDAY(Q16,$C$40,$C$43:$C$57)</f>
        <v>44256</v>
      </c>
      <c r="S16" s="197" t="s">
        <v>49</v>
      </c>
      <c r="T16" s="184">
        <f>CEILING(EOMONTH(C16,1)-5,7)+2</f>
        <v>44228</v>
      </c>
      <c r="U16" s="141">
        <f>EDATE(T16,0)</f>
        <v>44228</v>
      </c>
      <c r="V16" s="141">
        <f>DATE(YEAR(U16),MONTH(U16),CHOOSE(WEEKDAY(DATE(YEAR(U16),MONTH(U16),4)),2,1,7,6,5,4,3))</f>
        <v>44232</v>
      </c>
      <c r="W16" s="141">
        <f t="shared" si="2"/>
        <v>44239</v>
      </c>
    </row>
    <row r="17" spans="1:23" ht="16.5" thickTop="1" x14ac:dyDescent="0.25">
      <c r="B17" s="198" t="s">
        <v>57</v>
      </c>
      <c r="C17" s="145">
        <v>43830</v>
      </c>
      <c r="D17" s="104">
        <v>60</v>
      </c>
      <c r="E17" s="136">
        <f>'Reporting Due Dates FY2021'!D19</f>
        <v>44256</v>
      </c>
      <c r="F17" s="137">
        <f t="shared" si="0"/>
        <v>3</v>
      </c>
      <c r="G17" s="117">
        <f>WORKDAY(E17,$C$33,$C$43:$C$57)</f>
        <v>44259</v>
      </c>
      <c r="H17" s="138">
        <f t="shared" si="1"/>
        <v>3</v>
      </c>
      <c r="I17" s="139">
        <f xml:space="preserve"> IF(ISNA(VLOOKUP(E17+$C$35,$C$43:$C$57,1,FALSE)),IF(WEEKDAY(E17+$C$35,3)=5,E17+$C$35+3,IF(WEEKDAY(E17+$C$35,3)=6,E17+$C$35+2,E17+$C$35)),E17+$C$35+1)</f>
        <v>44259</v>
      </c>
      <c r="J17" s="221">
        <f>IF(ISNA(VLOOKUP(E17+$C$35,$C$43:$C$57,1,FALSE)),IF(WEEKDAY(E17+$C$35,3)=5,E17+$C$35+2,IF(WEEKDAY(E17+$C$35,3)=6,E17+$C$35+1,E17+$C$35)),E17+$C$35+1)</f>
        <v>44259</v>
      </c>
      <c r="K17" s="169">
        <f>_xlfn.DAYS(L17,G17)</f>
        <v>-342</v>
      </c>
      <c r="L17" s="170">
        <v>43917</v>
      </c>
      <c r="M17" s="140">
        <f>IF(ISNA(VLOOKUP(E17+$C$35,$C$43:$C$57,1,FALSE)),IF(WEEKDAY(E17+$C$35,3)=5,E17+$C$35+2,IF(WEEKDAY(E17+$C$35,3)=6,E17+$C$35+1,E17+$C$35)),E17+$C$35+1)</f>
        <v>44259</v>
      </c>
      <c r="N17" s="140">
        <f>WORKDAY(L17,$C$37,$C$43:$C$57)</f>
        <v>43923</v>
      </c>
      <c r="O17" s="140">
        <f>WORKDAY(N17,$C$38,$C$43:$C$57)</f>
        <v>43930</v>
      </c>
      <c r="P17" s="140">
        <f>WORKDAY(O17,$C$39,$C$43:$C$57)</f>
        <v>43936</v>
      </c>
      <c r="Q17" s="140">
        <f>WORKDAY(P17,$C$39,$C$43:$C$57)</f>
        <v>43942</v>
      </c>
      <c r="R17" s="140">
        <f>WORKDAY(Q17,$C$40,$C$43:$C$57)</f>
        <v>43948</v>
      </c>
      <c r="S17" s="197" t="s">
        <v>51</v>
      </c>
      <c r="T17" s="184">
        <f>CEILING(EOMONTH(C17,3)-5,7)+9</f>
        <v>43927</v>
      </c>
      <c r="U17" s="141">
        <f>EDATE(T17,0)</f>
        <v>43927</v>
      </c>
      <c r="V17" s="141">
        <f>DATE(YEAR(U17),MONTH(U17),CHOOSE(WEEKDAY(DATE(YEAR(U17),MONTH(U17),4)),2,1,7,6,5,4,3))</f>
        <v>43924</v>
      </c>
      <c r="W17" s="141">
        <f t="shared" si="2"/>
        <v>43931</v>
      </c>
    </row>
    <row r="18" spans="1:23" ht="15.75" x14ac:dyDescent="0.25">
      <c r="B18" s="195" t="s">
        <v>88</v>
      </c>
      <c r="C18" s="185"/>
      <c r="D18" s="308" t="s">
        <v>162</v>
      </c>
      <c r="E18" s="308"/>
      <c r="F18" s="308"/>
      <c r="G18" s="308"/>
      <c r="H18" s="185"/>
      <c r="I18" s="185"/>
      <c r="J18" s="185"/>
      <c r="K18" s="172"/>
      <c r="L18" s="173"/>
      <c r="M18" s="182"/>
      <c r="N18" s="185"/>
      <c r="O18" s="185"/>
      <c r="P18" s="185"/>
      <c r="Q18" s="185"/>
      <c r="R18" s="185"/>
      <c r="S18" s="199"/>
      <c r="T18" s="152"/>
      <c r="U18" s="152"/>
      <c r="V18" s="152"/>
      <c r="W18" s="143"/>
    </row>
    <row r="19" spans="1:23" ht="15.75" x14ac:dyDescent="0.25">
      <c r="B19" s="196" t="s">
        <v>128</v>
      </c>
      <c r="C19" s="135">
        <f>'Reporting Due Dates FY2021'!B21</f>
        <v>44227</v>
      </c>
      <c r="D19" s="104">
        <v>15</v>
      </c>
      <c r="E19" s="146">
        <v>43879</v>
      </c>
      <c r="F19" s="147">
        <f t="shared" si="0"/>
        <v>3</v>
      </c>
      <c r="G19" s="117">
        <f>WORKDAY(E19,$C$33,$C$43:$C$57)</f>
        <v>43882</v>
      </c>
      <c r="H19" s="148">
        <f t="shared" si="1"/>
        <v>3</v>
      </c>
      <c r="I19" s="149">
        <v>43882</v>
      </c>
      <c r="J19" s="175"/>
      <c r="K19" s="174">
        <f>_xlfn.DAYS(L19,G19)</f>
        <v>11</v>
      </c>
      <c r="L19" s="170">
        <f>WORKDAY(G19,$C$36,$C$43:$C$57)</f>
        <v>43893</v>
      </c>
      <c r="M19" s="175"/>
      <c r="N19" s="140">
        <f>WORKDAY(L19,$C$37,$C$43:$C$57)</f>
        <v>43899</v>
      </c>
      <c r="O19" s="176"/>
      <c r="P19" s="176"/>
      <c r="Q19" s="176"/>
      <c r="R19" s="144"/>
      <c r="S19" s="197" t="s">
        <v>46</v>
      </c>
      <c r="T19" s="184">
        <f>CEILING(EOMONTH(C19,1)-5,7)+2</f>
        <v>44256</v>
      </c>
      <c r="U19" s="141">
        <f>EDATE(T19,0)</f>
        <v>44256</v>
      </c>
      <c r="V19" s="141">
        <f>DATE(YEAR(U19),MONTH(U19),CHOOSE(WEEKDAY(DATE(YEAR(U19),MONTH(U19),4)),2,1,7,6,5,4,3))</f>
        <v>44260</v>
      </c>
      <c r="W19" s="141">
        <f t="shared" si="2"/>
        <v>44267</v>
      </c>
    </row>
    <row r="20" spans="1:23" ht="15.75" x14ac:dyDescent="0.25">
      <c r="B20" s="196" t="s">
        <v>129</v>
      </c>
      <c r="C20" s="135">
        <f>'Reporting Due Dates FY2021'!B22</f>
        <v>44255</v>
      </c>
      <c r="D20" s="104">
        <v>15</v>
      </c>
      <c r="E20" s="146">
        <f>'Reporting Due Dates FY2021'!D22</f>
        <v>44270</v>
      </c>
      <c r="F20" s="147">
        <f t="shared" si="0"/>
        <v>3</v>
      </c>
      <c r="G20" s="117">
        <f>WORKDAY(E20,$C$33,$C$43:$C$57)</f>
        <v>44273</v>
      </c>
      <c r="H20" s="148">
        <f t="shared" si="1"/>
        <v>3</v>
      </c>
      <c r="I20" s="149">
        <f>IF(ISNA(VLOOKUP(E20+$C$35,$C$43:$C$57,1,FALSE)),IF(WEEKDAY(E20+$C$35,3)=5,E20+$C$35+3,IF(WEEKDAY(E20+$C$35,3)=6,E20+$C$35+1,E20+$C$35)),E20+$C$35+1)</f>
        <v>44273</v>
      </c>
      <c r="J20" s="175"/>
      <c r="K20" s="174">
        <f>_xlfn.DAYS(L20,G20)</f>
        <v>11</v>
      </c>
      <c r="L20" s="170">
        <f>WORKDAY(G20,$C$36,$C$43:$C$57)</f>
        <v>44284</v>
      </c>
      <c r="M20" s="175"/>
      <c r="N20" s="140">
        <f>WORKDAY(L20,$C$37,$C$43:$C$57)</f>
        <v>44288</v>
      </c>
      <c r="O20" s="176"/>
      <c r="P20" s="176"/>
      <c r="Q20" s="176"/>
      <c r="R20" s="144"/>
      <c r="S20" s="197" t="s">
        <v>46</v>
      </c>
      <c r="T20" s="184">
        <f>CEILING(EOMONTH(C20,1)-5,7)+9</f>
        <v>44291</v>
      </c>
      <c r="U20" s="141">
        <f>EDATE(T20,0)</f>
        <v>44291</v>
      </c>
      <c r="V20" s="141">
        <f>DATE(YEAR(U20),MONTH(U20),CHOOSE(WEEKDAY(DATE(YEAR(U20),MONTH(U20),4)),2,1,7,6,5,4,3))</f>
        <v>44288</v>
      </c>
      <c r="W20" s="141">
        <f t="shared" si="2"/>
        <v>44295</v>
      </c>
    </row>
    <row r="21" spans="1:23" ht="16.5" thickBot="1" x14ac:dyDescent="0.3">
      <c r="B21" s="200" t="s">
        <v>130</v>
      </c>
      <c r="C21" s="135">
        <f>'Reporting Due Dates FY2021'!B23</f>
        <v>44286</v>
      </c>
      <c r="D21" s="104">
        <v>16</v>
      </c>
      <c r="E21" s="146">
        <f>'Reporting Due Dates FY2021'!D23</f>
        <v>44301</v>
      </c>
      <c r="F21" s="147">
        <f t="shared" si="0"/>
        <v>5</v>
      </c>
      <c r="G21" s="117">
        <f>WORKDAY(E21,$C$33,$C$43:$C$57)</f>
        <v>44306</v>
      </c>
      <c r="H21" s="148">
        <f t="shared" si="1"/>
        <v>4</v>
      </c>
      <c r="I21" s="149">
        <f>IF(ISNA(VLOOKUP(E21+$C$35,$C$43:$C$57,1,FALSE)),IF(WEEKDAY(E21+$C$35,3)=5,E21+$C$35+3,IF(WEEKDAY(E21+$C$35,3)=6,E21+$C$35+1,E21+$C$35)),E21+$C$35+1)</f>
        <v>44305</v>
      </c>
      <c r="J21" s="221">
        <f>IF(ISNA(VLOOKUP(E21+$C$35,$C$43:$C$57,1,FALSE)),IF(WEEKDAY(E21+$C$35,3)=5,E21+$C$35+2,IF(WEEKDAY(E21+$C$35,3)=6,E21+$C$35+1,E21+$C$35)),E21+$C$35+1)</f>
        <v>44305</v>
      </c>
      <c r="K21" s="174">
        <f>_xlfn.DAYS(L21,G21)</f>
        <v>9</v>
      </c>
      <c r="L21" s="170">
        <f>WORKDAY(G21,$C$36,$C$43:$C$57)</f>
        <v>44315</v>
      </c>
      <c r="M21" s="140">
        <f>IF(ISNA(VLOOKUP(E21+$C$35,$C$43:$C$57,1,FALSE)),IF(WEEKDAY(E21+$C$35,3)=5,E21+$C$35+2,IF(WEEKDAY(E21+$C$35,3)=6,E21+$C$35+1,E21+$C$35)),E21+$C$35+1)</f>
        <v>44305</v>
      </c>
      <c r="N21" s="140">
        <f>WORKDAY(L21,$C$37,$C$43:$C$57)</f>
        <v>44321</v>
      </c>
      <c r="O21" s="140">
        <f>WORKDAY(N21,$C$38,$C$43:$C$57)</f>
        <v>44328</v>
      </c>
      <c r="P21" s="140">
        <f>WORKDAY(O21,$C$39,$C$43:$C$57)</f>
        <v>44334</v>
      </c>
      <c r="Q21" s="140">
        <f>WORKDAY(P21,$C$39,$C$43:$C$57)</f>
        <v>44340</v>
      </c>
      <c r="R21" s="140">
        <f>WORKDAY(Q21,$C$40,$C$43:$C$57)</f>
        <v>44344</v>
      </c>
      <c r="S21" s="197" t="s">
        <v>49</v>
      </c>
      <c r="T21" s="184">
        <f>CEILING(EOMONTH(C21,1)-5,7)+9</f>
        <v>44326</v>
      </c>
      <c r="U21" s="141">
        <f>EDATE(T21,0)</f>
        <v>44326</v>
      </c>
      <c r="V21" s="141">
        <f>DATE(YEAR(U21),MONTH(U21),CHOOSE(WEEKDAY(DATE(YEAR(U21),MONTH(U21),4)),2,1,7,6,5,4,3))</f>
        <v>44323</v>
      </c>
      <c r="W21" s="141">
        <f t="shared" si="2"/>
        <v>44323</v>
      </c>
    </row>
    <row r="22" spans="1:23" ht="16.5" thickTop="1" x14ac:dyDescent="0.25">
      <c r="B22" s="201" t="s">
        <v>62</v>
      </c>
      <c r="C22" s="142">
        <v>43921</v>
      </c>
      <c r="D22" s="104">
        <v>60</v>
      </c>
      <c r="E22" s="146">
        <f>'Reporting Due Dates FY2021'!D24</f>
        <v>44348</v>
      </c>
      <c r="F22" s="147">
        <f t="shared" si="0"/>
        <v>3</v>
      </c>
      <c r="G22" s="117">
        <f>WORKDAY(E22,$C$33,$C$43:$C$57)</f>
        <v>44351</v>
      </c>
      <c r="H22" s="148">
        <f t="shared" si="1"/>
        <v>3</v>
      </c>
      <c r="I22" s="149">
        <f>IF(ISNA(VLOOKUP(E22+$C$35,$C$43:$C$57,1,FALSE)),IF(WEEKDAY(E22+$C$35,3)=5,E22+$C$35+3,IF(WEEKDAY(E22+$C$35,3)=6,E22+$C$35+1,E22+$C$35)),E22+$C$35+1)</f>
        <v>44351</v>
      </c>
      <c r="J22" s="221">
        <f>IF(ISNA(VLOOKUP(E22+$C$35,$C$43:$C$57,1,FALSE)),IF(WEEKDAY(E22+$C$35,3)=5,E22+$C$35+2,IF(WEEKDAY(E22+$C$35,3)=6,E22+$C$35+1,E22+$C$35)),E22+$C$35+1)</f>
        <v>44351</v>
      </c>
      <c r="K22" s="174">
        <f>_xlfn.DAYS(L22,G22)</f>
        <v>-343</v>
      </c>
      <c r="L22" s="178">
        <v>44008</v>
      </c>
      <c r="M22" s="140">
        <f>IF(ISNA(VLOOKUP(E22+$C$35,$C$43:$C$57,1,FALSE)),IF(WEEKDAY(E22+$C$35,3)=5,E22+$C$35+2,IF(WEEKDAY(E22+$C$35,3)=6,E22+$C$35+1,E22+$C$35)),E22+$C$35+1)</f>
        <v>44351</v>
      </c>
      <c r="N22" s="140">
        <f>WORKDAY(L22,$C$37,$C$43:$C$57)</f>
        <v>44014</v>
      </c>
      <c r="O22" s="140">
        <f>WORKDAY(N22,$C$38,$C$43:$C$57)</f>
        <v>44021</v>
      </c>
      <c r="P22" s="140">
        <f>WORKDAY(O22,$C$39,$C$43:$C$57)</f>
        <v>44027</v>
      </c>
      <c r="Q22" s="140">
        <f>WORKDAY(P22,$C$39,$C$43:$C$57)</f>
        <v>44033</v>
      </c>
      <c r="R22" s="140">
        <f>WORKDAY(Q22,$C$40,$C$43:$C$57)</f>
        <v>44039</v>
      </c>
      <c r="S22" s="197" t="s">
        <v>51</v>
      </c>
      <c r="T22" s="184">
        <f>CEILING(EOMONTH(C22,3)-5,7)+9</f>
        <v>44018</v>
      </c>
      <c r="U22" s="141">
        <f>EDATE(T22,0)</f>
        <v>44018</v>
      </c>
      <c r="V22" s="141">
        <f>DATE(YEAR(U22),MONTH(U22),CHOOSE(WEEKDAY(DATE(YEAR(U22),MONTH(U22),4)),2,1,7,6,5,4,3))</f>
        <v>44015</v>
      </c>
      <c r="W22" s="141">
        <f>W25</f>
        <v>44386</v>
      </c>
    </row>
    <row r="23" spans="1:23" ht="15.75" x14ac:dyDescent="0.25">
      <c r="B23" s="195" t="s">
        <v>90</v>
      </c>
      <c r="C23" s="185"/>
      <c r="D23" s="308" t="s">
        <v>162</v>
      </c>
      <c r="E23" s="308"/>
      <c r="F23" s="308"/>
      <c r="G23" s="308"/>
      <c r="H23" s="185"/>
      <c r="I23" s="185"/>
      <c r="J23" s="185"/>
      <c r="K23" s="172"/>
      <c r="L23" s="173"/>
      <c r="M23" s="182"/>
      <c r="N23" s="185"/>
      <c r="O23" s="185"/>
      <c r="P23" s="185"/>
      <c r="Q23" s="185"/>
      <c r="R23" s="185"/>
      <c r="S23" s="199"/>
      <c r="T23" s="152"/>
      <c r="U23" s="152"/>
      <c r="V23" s="152"/>
      <c r="W23" s="143"/>
    </row>
    <row r="24" spans="1:23" ht="15.75" x14ac:dyDescent="0.25">
      <c r="B24" s="196" t="s">
        <v>131</v>
      </c>
      <c r="C24" s="135">
        <f>'Reporting Due Dates FY2021'!B26</f>
        <v>44316</v>
      </c>
      <c r="D24" s="104">
        <v>15</v>
      </c>
      <c r="E24" s="146">
        <f>'Reporting Due Dates FY2021'!D26</f>
        <v>44333</v>
      </c>
      <c r="F24" s="147">
        <f t="shared" si="0"/>
        <v>3</v>
      </c>
      <c r="G24" s="117">
        <f>WORKDAY(E24,$C$33,$C$43:$C$57)</f>
        <v>44336</v>
      </c>
      <c r="H24" s="148">
        <f t="shared" si="1"/>
        <v>3</v>
      </c>
      <c r="I24" s="149">
        <f>IF(ISNA(VLOOKUP(E24+$C$35,$C$43:$C$57,1,FALSE)),IF(WEEKDAY(E24+$C$35,3)=5,E24+$C$35+3,IF(WEEKDAY(E24+$C$35,3)=6,E24+$C$35+1,E24+$C$35)),E24+$C$35+1)</f>
        <v>44336</v>
      </c>
      <c r="J24" s="175"/>
      <c r="K24" s="174">
        <f>_xlfn.DAYS(L24,G24)</f>
        <v>11</v>
      </c>
      <c r="L24" s="170">
        <f>WORKDAY(G24,$C$36,$C$43:$C$57)</f>
        <v>44347</v>
      </c>
      <c r="M24" s="175"/>
      <c r="N24" s="140">
        <f>WORKDAY(L24,$C$37,$C$43:$C$57)</f>
        <v>44351</v>
      </c>
      <c r="O24" s="176"/>
      <c r="P24" s="176"/>
      <c r="Q24" s="176"/>
      <c r="R24" s="144"/>
      <c r="S24" s="197" t="s">
        <v>46</v>
      </c>
      <c r="T24" s="184">
        <f>CEILING(EOMONTH(C24,1)-5,7)+9</f>
        <v>44354</v>
      </c>
      <c r="U24" s="141">
        <f>EDATE(T24,0)</f>
        <v>44354</v>
      </c>
      <c r="V24" s="141">
        <f>DATE(YEAR(U24),MONTH(U24),CHOOSE(WEEKDAY(DATE(YEAR(U24),MONTH(U24),4)),2,1,7,6,5,4,3))</f>
        <v>44351</v>
      </c>
      <c r="W24" s="141">
        <f>IF(DAY(V24)&gt;5,V24,V24+7)</f>
        <v>44358</v>
      </c>
    </row>
    <row r="25" spans="1:23" ht="15.75" x14ac:dyDescent="0.25">
      <c r="B25" s="196" t="s">
        <v>132</v>
      </c>
      <c r="C25" s="135">
        <f>'Reporting Due Dates FY2021'!B27</f>
        <v>44347</v>
      </c>
      <c r="D25" s="104">
        <v>17</v>
      </c>
      <c r="E25" s="146">
        <f>'Reporting Due Dates FY2021'!D27</f>
        <v>44363</v>
      </c>
      <c r="F25" s="147">
        <f t="shared" si="0"/>
        <v>5</v>
      </c>
      <c r="G25" s="117">
        <f>WORKDAY(E25,$C$33,$C$43:$C$57)</f>
        <v>44368</v>
      </c>
      <c r="H25" s="148">
        <f t="shared" si="1"/>
        <v>6</v>
      </c>
      <c r="I25" s="149">
        <f>IF(ISNA(VLOOKUP(E25+$C$35,$C$43:$C$57,1,FALSE)),IF(WEEKDAY(E25+$C$35,3)=5,E25+$C$35+3,IF(WEEKDAY(E25+$C$35,3)=6,E25+$C$35+1,E25+$C$35)),E25+$C$35+1)</f>
        <v>44369</v>
      </c>
      <c r="J25" s="175"/>
      <c r="K25" s="174">
        <f>_xlfn.DAYS(L25,G25)</f>
        <v>9</v>
      </c>
      <c r="L25" s="178">
        <f>WORKDAY(G25,$C$36,$C$43:$C$57)</f>
        <v>44377</v>
      </c>
      <c r="M25" s="175"/>
      <c r="N25" s="140">
        <f>WORKDAY(L25,$C$37,$C$43:$C$57)</f>
        <v>44383</v>
      </c>
      <c r="O25" s="176"/>
      <c r="P25" s="176"/>
      <c r="Q25" s="176"/>
      <c r="R25" s="144"/>
      <c r="S25" s="197" t="s">
        <v>46</v>
      </c>
      <c r="T25" s="184">
        <f>CEILING(EOMONTH(C25,1)-5,7)+9</f>
        <v>44382</v>
      </c>
      <c r="U25" s="141">
        <f>EDATE(T25,0)</f>
        <v>44382</v>
      </c>
      <c r="V25" s="141">
        <f>DATE(YEAR(U25),MONTH(U25),CHOOSE(WEEKDAY(DATE(YEAR(U25),MONTH(U25),4)),2,1,7,6,5,4,3))</f>
        <v>44379</v>
      </c>
      <c r="W25" s="141">
        <f>IF(DAY(V25)&gt;5,V25,V25+7)</f>
        <v>44386</v>
      </c>
    </row>
    <row r="26" spans="1:23" ht="16.5" thickBot="1" x14ac:dyDescent="0.3">
      <c r="B26" s="200" t="s">
        <v>133</v>
      </c>
      <c r="C26" s="135">
        <f>'Reporting Due Dates FY2021'!B28</f>
        <v>44377</v>
      </c>
      <c r="D26" s="104">
        <v>16</v>
      </c>
      <c r="E26" s="146">
        <f>'Reporting Due Dates FY2021'!D28</f>
        <v>44392</v>
      </c>
      <c r="F26" s="147">
        <f t="shared" si="0"/>
        <v>5</v>
      </c>
      <c r="G26" s="117">
        <f>WORKDAY(E26,$C$33,$C$43:$C$57)</f>
        <v>44397</v>
      </c>
      <c r="H26" s="148">
        <f t="shared" si="1"/>
        <v>4</v>
      </c>
      <c r="I26" s="149">
        <f>IF(ISNA(VLOOKUP(E26+$C$35,$C$43:$C$57,1,FALSE)),IF(WEEKDAY(E26+$C$35,3)=5,E26+$C$35+3,IF(WEEKDAY(E26+$C$35,3)=6,E26+$C$35+1,E26+$C$35)),E26+$C$35+1)</f>
        <v>44396</v>
      </c>
      <c r="J26" s="221">
        <f>IF(ISNA(VLOOKUP(E26+$C$35,$C$43:$C$57,1,FALSE)),IF(WEEKDAY(E26+$C$35,3)=5,E26+$C$35+2,IF(WEEKDAY(E26+$C$35,3)=6,E26+$C$35+1,E26+$C$35)),E26+$C$35+1)</f>
        <v>44396</v>
      </c>
      <c r="K26" s="174">
        <f>_xlfn.DAYS(L26,G26)</f>
        <v>9</v>
      </c>
      <c r="L26" s="170">
        <f>WORKDAY(G26,$C$36,$C$43:$C$57)</f>
        <v>44406</v>
      </c>
      <c r="M26" s="140">
        <f>IF(ISNA(VLOOKUP(E26+$C$35,$C$43:$C$57,1,FALSE)),IF(WEEKDAY(E26+$C$35,3)=5,E26+$C$35+2,IF(WEEKDAY(E26+$C$35,3)=6,E26+$C$35+1,E26+$C$35)),E26+$C$35+1)</f>
        <v>44396</v>
      </c>
      <c r="N26" s="140">
        <f>WORKDAY(L26,$C$37,$C$43:$C$57)</f>
        <v>44412</v>
      </c>
      <c r="O26" s="140">
        <f>WORKDAY(N26,$C$38,$C$43:$C$57)</f>
        <v>44419</v>
      </c>
      <c r="P26" s="140">
        <f>WORKDAY(O26,$C$39,$C$43:$C$57)</f>
        <v>44425</v>
      </c>
      <c r="Q26" s="140">
        <f>WORKDAY(P26,$C$39,$C$43:$C$57)</f>
        <v>44431</v>
      </c>
      <c r="R26" s="140">
        <f>WORKDAY(Q26,$C$40,$C$43:$C$57)</f>
        <v>44435</v>
      </c>
      <c r="S26" s="197" t="s">
        <v>49</v>
      </c>
      <c r="T26" s="184">
        <f>CEILING(EOMONTH(C26,1)-5,7)+9</f>
        <v>44417</v>
      </c>
      <c r="U26" s="141">
        <f>EDATE(T26,0)</f>
        <v>44417</v>
      </c>
      <c r="V26" s="141">
        <f>DATE(YEAR(U26),MONTH(U26),CHOOSE(WEEKDAY(DATE(YEAR(U26),MONTH(U26),4)),2,1,7,6,5,4,3))</f>
        <v>44414</v>
      </c>
      <c r="W26" s="141">
        <f>IF(DAY(V26)&gt;5,V26,V26+7)</f>
        <v>44414</v>
      </c>
    </row>
    <row r="27" spans="1:23" ht="17.25" thickTop="1" thickBot="1" x14ac:dyDescent="0.3">
      <c r="B27" s="202" t="s">
        <v>68</v>
      </c>
      <c r="C27" s="203">
        <v>44012</v>
      </c>
      <c r="D27" s="204">
        <v>60</v>
      </c>
      <c r="E27" s="205">
        <f>'Reporting Due Dates FY2021'!D29</f>
        <v>44438</v>
      </c>
      <c r="F27" s="206">
        <f t="shared" si="0"/>
        <v>3</v>
      </c>
      <c r="G27" s="207">
        <f>WORKDAY(E27,$C$33,$C$43:$C$57)</f>
        <v>44441</v>
      </c>
      <c r="H27" s="208">
        <f t="shared" si="1"/>
        <v>3</v>
      </c>
      <c r="I27" s="209">
        <f>IF(ISNA(VLOOKUP(E27+$C$35,$C$43:$C$57,1,FALSE)),IF(WEEKDAY(E27+$C$35,3)=5,E27+$C$35+3,IF(WEEKDAY(E27+$C$35,3)=6,E27+$C$35+1,E27+$C$35)),E27+$C$35+1)</f>
        <v>44441</v>
      </c>
      <c r="J27" s="221">
        <f>IF(ISNA(VLOOKUP(E27+$C$35,$C$43:$C$57,1,FALSE)),IF(WEEKDAY(E27+$C$35,3)=5,E27+$C$35+2,IF(WEEKDAY(E27+$C$35,3)=6,E27+$C$35+1,E27+$C$35)),E27+$C$35+1)</f>
        <v>44441</v>
      </c>
      <c r="K27" s="210">
        <f>_xlfn.DAYS(L27,G27)</f>
        <v>-340</v>
      </c>
      <c r="L27" s="211">
        <v>44101</v>
      </c>
      <c r="M27" s="212">
        <f>IF(ISNA(VLOOKUP(E27+$C$35,$C$43:$C$57,1,FALSE)),IF(WEEKDAY(E27+$C$35,3)=5,E27+$C$35+2,IF(WEEKDAY(E27+$C$35,3)=6,E27+$C$35+1,E27+$C$35)),E27+$C$35+1)</f>
        <v>44441</v>
      </c>
      <c r="N27" s="212">
        <f>WORKDAY(L27,$C$37,$C$43:$C$57)</f>
        <v>44105</v>
      </c>
      <c r="O27" s="212">
        <f>WORKDAY(N27,$C$38,$C$43:$C$57)</f>
        <v>44112</v>
      </c>
      <c r="P27" s="212">
        <f>WORKDAY(O27,$C$39,$C$43:$C$57)</f>
        <v>44118</v>
      </c>
      <c r="Q27" s="212">
        <f>WORKDAY(P27,$C$39,$C$43:$C$57)</f>
        <v>44124</v>
      </c>
      <c r="R27" s="212">
        <f>WORKDAY(Q27,$C$40,$C$43:$C$57)</f>
        <v>44130</v>
      </c>
      <c r="S27" s="213" t="s">
        <v>51</v>
      </c>
      <c r="T27" s="184">
        <f>CEILING(EOMONTH(C27,3)-5,7)+9</f>
        <v>44109</v>
      </c>
      <c r="U27" s="141">
        <f>EDATE(T27,0)</f>
        <v>44109</v>
      </c>
      <c r="V27" s="141">
        <f>DATE(YEAR(U27),MONTH(U27),CHOOSE(WEEKDAY(DATE(YEAR(U27),MONTH(U27),4)),2,1,7,6,5,4,3))</f>
        <v>44106</v>
      </c>
      <c r="W27" s="141">
        <f>IF(DAY(V27)&gt;5,V27,V27+7)</f>
        <v>44113</v>
      </c>
    </row>
    <row r="28" spans="1:23" ht="21" customHeight="1" x14ac:dyDescent="0.3">
      <c r="B28" s="214" t="s">
        <v>161</v>
      </c>
      <c r="C28" s="121"/>
      <c r="D28" s="121"/>
      <c r="E28" s="122"/>
      <c r="F28" s="123"/>
      <c r="G28" s="124"/>
      <c r="H28" s="121"/>
      <c r="I28" s="124"/>
      <c r="J28" s="124"/>
      <c r="K28" s="125"/>
      <c r="L28" s="124"/>
      <c r="M28" s="124"/>
      <c r="N28" s="124"/>
      <c r="O28" s="124"/>
      <c r="P28" s="124"/>
      <c r="Q28" s="124"/>
      <c r="R28" s="124"/>
      <c r="S28" s="124"/>
    </row>
    <row r="29" spans="1:23" ht="21" customHeight="1" x14ac:dyDescent="0.35">
      <c r="B29" s="121"/>
      <c r="C29" s="133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1"/>
      <c r="O29" s="121"/>
      <c r="P29" s="123"/>
      <c r="Q29" s="121"/>
      <c r="R29" s="121"/>
      <c r="S29" s="123"/>
    </row>
    <row r="30" spans="1:23" ht="21.6" customHeight="1" x14ac:dyDescent="0.35">
      <c r="B30" s="133"/>
      <c r="C30" s="133"/>
      <c r="D30" s="133"/>
      <c r="E30" s="133"/>
      <c r="F30" s="133"/>
      <c r="G30" s="133"/>
      <c r="H30" s="133"/>
      <c r="I30" s="133"/>
      <c r="J30" s="133"/>
      <c r="K30" s="121"/>
      <c r="L30" s="121"/>
      <c r="M30" s="134"/>
      <c r="N30" s="133"/>
      <c r="O30" s="133"/>
      <c r="P30" s="134"/>
      <c r="Q30" s="133"/>
      <c r="R30" s="133"/>
      <c r="S30" s="134"/>
    </row>
    <row r="32" spans="1:23" x14ac:dyDescent="0.3">
      <c r="A32" s="318" t="s">
        <v>134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96"/>
    </row>
    <row r="33" spans="1:23" s="187" customFormat="1" ht="37.5" x14ac:dyDescent="0.25">
      <c r="A33" s="191">
        <v>1</v>
      </c>
      <c r="B33" s="189" t="s">
        <v>175</v>
      </c>
      <c r="C33" s="129">
        <v>3</v>
      </c>
      <c r="D33" s="305" t="s">
        <v>166</v>
      </c>
      <c r="E33" s="305"/>
      <c r="F33" s="305"/>
      <c r="G33" s="305"/>
      <c r="H33" s="305"/>
      <c r="I33" s="305"/>
      <c r="J33" s="305"/>
      <c r="K33" s="305"/>
      <c r="T33" s="188"/>
      <c r="U33" s="188"/>
      <c r="V33" s="188"/>
      <c r="W33" s="188"/>
    </row>
    <row r="34" spans="1:23" s="187" customFormat="1" ht="37.5" x14ac:dyDescent="0.25">
      <c r="A34" s="191"/>
      <c r="B34" s="189" t="s">
        <v>176</v>
      </c>
      <c r="C34" s="129">
        <v>3</v>
      </c>
      <c r="D34" s="305" t="s">
        <v>166</v>
      </c>
      <c r="E34" s="305"/>
      <c r="F34" s="305"/>
      <c r="G34" s="305"/>
      <c r="H34" s="305"/>
      <c r="I34" s="305"/>
      <c r="J34" s="305"/>
      <c r="K34" s="305"/>
      <c r="T34" s="188"/>
      <c r="U34" s="188"/>
      <c r="V34" s="188"/>
      <c r="W34" s="188"/>
    </row>
    <row r="35" spans="1:23" s="187" customFormat="1" x14ac:dyDescent="0.25">
      <c r="A35" s="191">
        <v>2</v>
      </c>
      <c r="B35" s="186" t="s">
        <v>155</v>
      </c>
      <c r="C35" s="129">
        <v>3</v>
      </c>
      <c r="D35" s="305" t="s">
        <v>166</v>
      </c>
      <c r="E35" s="305"/>
      <c r="F35" s="305"/>
      <c r="G35" s="305"/>
      <c r="H35" s="305"/>
      <c r="I35" s="305"/>
      <c r="J35" s="305"/>
      <c r="K35" s="305"/>
      <c r="T35" s="188"/>
      <c r="U35" s="188"/>
      <c r="V35" s="188"/>
      <c r="W35" s="188"/>
    </row>
    <row r="36" spans="1:23" s="187" customFormat="1" ht="37.5" x14ac:dyDescent="0.25">
      <c r="A36" s="191">
        <v>3</v>
      </c>
      <c r="B36" s="189" t="s">
        <v>156</v>
      </c>
      <c r="C36" s="129">
        <v>7</v>
      </c>
      <c r="D36" s="306" t="s">
        <v>157</v>
      </c>
      <c r="E36" s="306"/>
      <c r="F36" s="306"/>
      <c r="G36" s="306"/>
      <c r="H36" s="306"/>
      <c r="I36" s="306"/>
      <c r="J36" s="306"/>
      <c r="K36" s="306"/>
      <c r="T36" s="188"/>
      <c r="U36" s="188"/>
      <c r="V36" s="188"/>
      <c r="W36" s="188"/>
    </row>
    <row r="37" spans="1:23" s="187" customFormat="1" x14ac:dyDescent="0.25">
      <c r="A37" s="191">
        <v>4</v>
      </c>
      <c r="B37" s="190" t="str">
        <f>N4</f>
        <v>IP+OBV Source Data Avail</v>
      </c>
      <c r="C37" s="179">
        <v>4</v>
      </c>
      <c r="D37" s="326" t="s">
        <v>158</v>
      </c>
      <c r="E37" s="326"/>
      <c r="F37" s="326"/>
      <c r="G37" s="326"/>
      <c r="H37" s="326"/>
      <c r="I37" s="326"/>
      <c r="J37" s="326"/>
      <c r="K37" s="326"/>
      <c r="T37" s="188"/>
      <c r="U37" s="188"/>
      <c r="V37" s="188"/>
      <c r="W37" s="188"/>
    </row>
    <row r="38" spans="1:23" s="187" customFormat="1" ht="37.5" x14ac:dyDescent="0.25">
      <c r="A38" s="191">
        <v>5</v>
      </c>
      <c r="B38" s="190" t="s">
        <v>138</v>
      </c>
      <c r="C38" s="179">
        <v>5</v>
      </c>
      <c r="D38" s="326" t="s">
        <v>159</v>
      </c>
      <c r="E38" s="326"/>
      <c r="F38" s="326"/>
      <c r="G38" s="326"/>
      <c r="H38" s="326"/>
      <c r="I38" s="326"/>
      <c r="J38" s="326"/>
      <c r="K38" s="326"/>
      <c r="T38" s="188"/>
      <c r="U38" s="188"/>
      <c r="V38" s="188"/>
      <c r="W38" s="188"/>
    </row>
    <row r="39" spans="1:23" s="187" customFormat="1" ht="37.5" x14ac:dyDescent="0.25">
      <c r="A39" s="191">
        <v>6</v>
      </c>
      <c r="B39" s="190" t="s">
        <v>139</v>
      </c>
      <c r="C39" s="179">
        <v>4</v>
      </c>
      <c r="D39" s="326" t="s">
        <v>167</v>
      </c>
      <c r="E39" s="326"/>
      <c r="F39" s="326"/>
      <c r="G39" s="326"/>
      <c r="H39" s="326"/>
      <c r="I39" s="326"/>
      <c r="J39" s="326"/>
      <c r="K39" s="326"/>
      <c r="T39" s="188"/>
      <c r="U39" s="188"/>
      <c r="V39" s="188"/>
      <c r="W39" s="188"/>
    </row>
    <row r="40" spans="1:23" s="187" customFormat="1" ht="37.5" hidden="1" x14ac:dyDescent="0.25">
      <c r="A40" s="191">
        <v>7</v>
      </c>
      <c r="B40" s="190" t="s">
        <v>135</v>
      </c>
      <c r="C40" s="179">
        <v>4</v>
      </c>
      <c r="D40" s="326" t="s">
        <v>136</v>
      </c>
      <c r="E40" s="326"/>
      <c r="F40" s="326"/>
      <c r="G40" s="326"/>
      <c r="H40" s="326"/>
      <c r="I40" s="326"/>
      <c r="J40" s="326"/>
      <c r="K40" s="326"/>
      <c r="T40" s="188"/>
      <c r="U40" s="188"/>
      <c r="V40" s="188"/>
      <c r="W40" s="188"/>
    </row>
    <row r="41" spans="1:23" ht="26.25" x14ac:dyDescent="0.3">
      <c r="A41" s="192"/>
      <c r="B41" s="130"/>
      <c r="C41" s="130"/>
      <c r="D41" s="96"/>
    </row>
    <row r="42" spans="1:23" x14ac:dyDescent="0.3">
      <c r="B42" s="278" t="s">
        <v>97</v>
      </c>
      <c r="C42" s="278"/>
      <c r="D42" s="96"/>
    </row>
    <row r="43" spans="1:23" x14ac:dyDescent="0.3">
      <c r="B43" s="116" t="s">
        <v>98</v>
      </c>
      <c r="C43" s="127">
        <v>43612</v>
      </c>
      <c r="D43" s="96"/>
    </row>
    <row r="44" spans="1:23" x14ac:dyDescent="0.3">
      <c r="B44" s="116" t="s">
        <v>99</v>
      </c>
      <c r="C44" s="127">
        <v>43650</v>
      </c>
      <c r="D44" s="96"/>
    </row>
    <row r="45" spans="1:23" x14ac:dyDescent="0.3">
      <c r="B45" s="116" t="s">
        <v>100</v>
      </c>
      <c r="C45" s="127">
        <v>43710</v>
      </c>
      <c r="D45" s="96"/>
    </row>
    <row r="46" spans="1:23" x14ac:dyDescent="0.3">
      <c r="B46" s="116" t="s">
        <v>101</v>
      </c>
      <c r="C46" s="127">
        <v>43752</v>
      </c>
      <c r="D46" s="96"/>
    </row>
    <row r="47" spans="1:23" x14ac:dyDescent="0.3">
      <c r="B47" s="116" t="s">
        <v>102</v>
      </c>
      <c r="C47" s="127">
        <v>43774</v>
      </c>
      <c r="D47" s="96"/>
    </row>
    <row r="48" spans="1:23" x14ac:dyDescent="0.3">
      <c r="B48" s="116" t="s">
        <v>103</v>
      </c>
      <c r="C48" s="127">
        <v>43780</v>
      </c>
      <c r="D48" s="96"/>
    </row>
    <row r="49" spans="2:4" x14ac:dyDescent="0.3">
      <c r="B49" s="116" t="s">
        <v>104</v>
      </c>
      <c r="C49" s="127">
        <v>43797</v>
      </c>
      <c r="D49" s="96"/>
    </row>
    <row r="50" spans="2:4" x14ac:dyDescent="0.3">
      <c r="B50" s="116" t="s">
        <v>105</v>
      </c>
      <c r="C50" s="127">
        <v>43798</v>
      </c>
      <c r="D50" s="96"/>
    </row>
    <row r="51" spans="2:4" x14ac:dyDescent="0.3">
      <c r="B51" s="116" t="s">
        <v>106</v>
      </c>
      <c r="C51" s="127">
        <v>43824</v>
      </c>
      <c r="D51" s="96"/>
    </row>
    <row r="52" spans="2:4" x14ac:dyDescent="0.3">
      <c r="B52" s="116" t="s">
        <v>107</v>
      </c>
      <c r="C52" s="127">
        <v>43831</v>
      </c>
      <c r="D52" s="96"/>
    </row>
    <row r="53" spans="2:4" x14ac:dyDescent="0.3">
      <c r="B53" s="116" t="s">
        <v>108</v>
      </c>
      <c r="C53" s="127">
        <v>43850</v>
      </c>
      <c r="D53" s="96"/>
    </row>
    <row r="54" spans="2:4" x14ac:dyDescent="0.3">
      <c r="B54" s="116" t="s">
        <v>109</v>
      </c>
      <c r="C54" s="127">
        <v>43878</v>
      </c>
      <c r="D54" s="96"/>
    </row>
    <row r="55" spans="2:4" x14ac:dyDescent="0.3">
      <c r="B55" s="116" t="s">
        <v>98</v>
      </c>
      <c r="C55" s="127">
        <v>43978</v>
      </c>
      <c r="D55" s="96"/>
    </row>
    <row r="56" spans="2:4" x14ac:dyDescent="0.3">
      <c r="B56" s="116" t="s">
        <v>99</v>
      </c>
      <c r="C56" s="127">
        <v>44016</v>
      </c>
      <c r="D56" s="96"/>
    </row>
    <row r="57" spans="2:4" x14ac:dyDescent="0.3">
      <c r="B57" s="116" t="s">
        <v>100</v>
      </c>
      <c r="C57" s="127">
        <v>44081</v>
      </c>
      <c r="D57" s="96"/>
    </row>
    <row r="58" spans="2:4" x14ac:dyDescent="0.3">
      <c r="B58" s="128"/>
      <c r="C58" s="128"/>
      <c r="D58" s="96"/>
    </row>
  </sheetData>
  <customSheetViews>
    <customSheetView guid="{97A3B940-144B-4D32-991F-0C6EB706E5E2}" showPageBreaks="1" printArea="1" hiddenRows="1" hiddenColumns="1" state="hidden">
      <selection activeCell="B34" sqref="A34:XFD34"/>
      <pageMargins left="0.25" right="0.25" top="0.75" bottom="0.75" header="0.3" footer="0.3"/>
      <printOptions horizontalCentered="1" verticalCentered="1"/>
      <pageSetup paperSize="17" scale="89" orientation="landscape" r:id="rId1"/>
      <headerFooter>
        <oddHeader>&amp;C&amp;"-,Bold"&amp;48FY 2020 Production Schedule</oddHeader>
        <oddFooter>&amp;F</oddFooter>
      </headerFooter>
    </customSheetView>
    <customSheetView guid="{31798695-DC73-4645-BD50-645C812AFF64}" showPageBreaks="1" printArea="1" hiddenRows="1" hiddenColumns="1" state="hidden">
      <selection activeCell="B34" sqref="A34:XFD34"/>
      <pageMargins left="0.25" right="0.25" top="0.75" bottom="0.75" header="0.3" footer="0.3"/>
      <printOptions horizontalCentered="1" verticalCentered="1"/>
      <pageSetup paperSize="17" scale="89" orientation="landscape" r:id="rId2"/>
      <headerFooter>
        <oddHeader>&amp;C&amp;"-,Bold"&amp;48FY 2020 Production Schedule</oddHeader>
        <oddFooter>&amp;F</oddFooter>
      </headerFooter>
    </customSheetView>
  </customSheetViews>
  <mergeCells count="33">
    <mergeCell ref="B42:C42"/>
    <mergeCell ref="T1:W1"/>
    <mergeCell ref="T2:W2"/>
    <mergeCell ref="T3:W3"/>
    <mergeCell ref="M1:S1"/>
    <mergeCell ref="M2:S2"/>
    <mergeCell ref="M3:S3"/>
    <mergeCell ref="B1:C1"/>
    <mergeCell ref="D1:G1"/>
    <mergeCell ref="H1:I1"/>
    <mergeCell ref="K1:L1"/>
    <mergeCell ref="B2:C2"/>
    <mergeCell ref="D2:G2"/>
    <mergeCell ref="H2:I2"/>
    <mergeCell ref="K2:L2"/>
    <mergeCell ref="B3:C3"/>
    <mergeCell ref="D40:K40"/>
    <mergeCell ref="A32:K32"/>
    <mergeCell ref="D18:G18"/>
    <mergeCell ref="D23:G23"/>
    <mergeCell ref="D33:K33"/>
    <mergeCell ref="D35:K35"/>
    <mergeCell ref="D36:K36"/>
    <mergeCell ref="D37:K37"/>
    <mergeCell ref="D34:K34"/>
    <mergeCell ref="D38:K38"/>
    <mergeCell ref="D3:G3"/>
    <mergeCell ref="H3:I3"/>
    <mergeCell ref="K3:L3"/>
    <mergeCell ref="D39:K39"/>
    <mergeCell ref="D13:G13"/>
    <mergeCell ref="D8:G8"/>
    <mergeCell ref="D5:G5"/>
  </mergeCells>
  <conditionalFormatting sqref="B18:D18 B23:C23 B19:F22 M6:S27 B13:C13 H13:L13 B8:C8 H8:L8 B9:L12 B14:L17 H18:L27 B6:L7 B24:G27">
    <cfRule type="expression" dxfId="8" priority="11">
      <formula>ISNA(VLOOKUP(B6,$C$43:$C$57,1,FALSE))=FALSE</formula>
    </cfRule>
  </conditionalFormatting>
  <conditionalFormatting sqref="U6:W27">
    <cfRule type="expression" dxfId="7" priority="10">
      <formula>ISNA(VLOOKUP(U6,$C$43:$C$57,1,FALSE))=FALSE</formula>
    </cfRule>
  </conditionalFormatting>
  <conditionalFormatting sqref="C43:C57">
    <cfRule type="duplicateValues" dxfId="6" priority="9"/>
  </conditionalFormatting>
  <conditionalFormatting sqref="G19:G22">
    <cfRule type="expression" dxfId="5" priority="6">
      <formula>ISNA(VLOOKUP(G19,$C$43:$C$57,1,FALSE))=FALSE</formula>
    </cfRule>
  </conditionalFormatting>
  <conditionalFormatting sqref="D23">
    <cfRule type="expression" dxfId="4" priority="5">
      <formula>ISNA(VLOOKUP(D23,$C$43:$C$57,1,FALSE))=FALSE</formula>
    </cfRule>
  </conditionalFormatting>
  <conditionalFormatting sqref="C5">
    <cfRule type="expression" dxfId="3" priority="1">
      <formula>ISNA(VLOOKUP(C5,$C$43:$C$57,1,FALSE))=FALSE</formula>
    </cfRule>
  </conditionalFormatting>
  <conditionalFormatting sqref="D13">
    <cfRule type="expression" dxfId="2" priority="4">
      <formula>ISNA(VLOOKUP(D13,$C$43:$C$57,1,FALSE))=FALSE</formula>
    </cfRule>
  </conditionalFormatting>
  <conditionalFormatting sqref="D8">
    <cfRule type="expression" dxfId="1" priority="3">
      <formula>ISNA(VLOOKUP(D8,$C$43:$C$57,1,FALSE))=FALSE</formula>
    </cfRule>
  </conditionalFormatting>
  <conditionalFormatting sqref="D5">
    <cfRule type="expression" dxfId="0" priority="2">
      <formula>ISNA(VLOOKUP(D5,$C$43:$C$57,1,FALSE))=FALSE</formula>
    </cfRule>
  </conditionalFormatting>
  <printOptions horizontalCentered="1" verticalCentered="1"/>
  <pageMargins left="0.25" right="0.25" top="0.75" bottom="0.75" header="0.3" footer="0.3"/>
  <pageSetup paperSize="17" scale="89" orientation="landscape" r:id="rId3"/>
  <headerFooter>
    <oddHeader>&amp;C&amp;"-,Bold"&amp;48FY 2020 Production Schedule</oddHeader>
    <oddFooter>&amp;F</oddFooter>
  </headerFooter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BAE57-E388-49FD-8AF2-946AC8D22DA8}"/>
</file>

<file path=customXml/itemProps2.xml><?xml version="1.0" encoding="utf-8"?>
<ds:datastoreItem xmlns:ds="http://schemas.openxmlformats.org/officeDocument/2006/customXml" ds:itemID="{0178EEB0-6F86-44DA-A3D1-4987C39751B5}"/>
</file>

<file path=customXml/itemProps3.xml><?xml version="1.0" encoding="utf-8"?>
<ds:datastoreItem xmlns:ds="http://schemas.openxmlformats.org/officeDocument/2006/customXml" ds:itemID="{80E8DD6F-6797-4945-A893-D1E87844F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Production Schedule FY 2017</vt:lpstr>
      <vt:lpstr>Reporting Due Dates FY2021</vt:lpstr>
      <vt:lpstr>FINAL Production Schedule</vt:lpstr>
      <vt:lpstr>'FINAL Production Schedule'!Print_Area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Oscar Ibarra</cp:lastModifiedBy>
  <cp:revision/>
  <cp:lastPrinted>2019-12-13T21:15:50Z</cp:lastPrinted>
  <dcterms:created xsi:type="dcterms:W3CDTF">2014-10-27T20:38:52Z</dcterms:created>
  <dcterms:modified xsi:type="dcterms:W3CDTF">2020-04-21T15:40:38Z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